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21년도\일일업무\생산일보\"/>
    </mc:Choice>
  </mc:AlternateContent>
  <xr:revisionPtr revIDLastSave="0" documentId="13_ncr:1_{E59F1BEC-BB6E-4646-83C5-E56D2F00177B}" xr6:coauthVersionLast="47" xr6:coauthVersionMax="47" xr10:uidLastSave="{00000000-0000-0000-0000-000000000000}"/>
  <bookViews>
    <workbookView xWindow="-120" yWindow="-120" windowWidth="29040" windowHeight="15840" activeTab="21" xr2:uid="{00000000-000D-0000-FFFF-FFFF00000000}"/>
  </bookViews>
  <sheets>
    <sheet name="01" sheetId="2138" r:id="rId1"/>
    <sheet name="02" sheetId="2139" r:id="rId2"/>
    <sheet name="03" sheetId="2140" r:id="rId3"/>
    <sheet name="04" sheetId="2141" r:id="rId4"/>
    <sheet name="05" sheetId="2142" r:id="rId5"/>
    <sheet name="08" sheetId="2143" r:id="rId6"/>
    <sheet name="09" sheetId="2144" r:id="rId7"/>
    <sheet name="10" sheetId="2145" r:id="rId8"/>
    <sheet name="11" sheetId="2146" r:id="rId9"/>
    <sheet name="12" sheetId="2147" r:id="rId10"/>
    <sheet name="15" sheetId="2148" r:id="rId11"/>
    <sheet name="16" sheetId="2149" r:id="rId12"/>
    <sheet name="17" sheetId="2150" r:id="rId13"/>
    <sheet name="18" sheetId="2151" r:id="rId14"/>
    <sheet name="19" sheetId="2152" r:id="rId15"/>
    <sheet name="22" sheetId="2153" r:id="rId16"/>
    <sheet name="23" sheetId="2154" r:id="rId17"/>
    <sheet name="24" sheetId="2155" r:id="rId18"/>
    <sheet name="25" sheetId="2156" r:id="rId19"/>
    <sheet name="26" sheetId="2157" r:id="rId20"/>
    <sheet name="29" sheetId="2158" r:id="rId21"/>
    <sheet name="30" sheetId="2159" r:id="rId22"/>
    <sheet name="총괄" sheetId="16" r:id="rId23"/>
  </sheets>
  <definedNames>
    <definedName name="_xlnm.Print_Area" localSheetId="0">'01'!$A$1:$AD$96</definedName>
    <definedName name="_xlnm.Print_Area" localSheetId="1">'02'!$A$1:$AD$96</definedName>
    <definedName name="_xlnm.Print_Area" localSheetId="2">'03'!$A$1:$AD$95</definedName>
    <definedName name="_xlnm.Print_Area" localSheetId="3">'04'!$A$1:$AD$96</definedName>
    <definedName name="_xlnm.Print_Area" localSheetId="4">'05'!$A$1:$AD$96</definedName>
    <definedName name="_xlnm.Print_Area" localSheetId="5">'08'!$A$1:$AD$97</definedName>
    <definedName name="_xlnm.Print_Area" localSheetId="6">'09'!$A$1:$AD$96</definedName>
    <definedName name="_xlnm.Print_Area" localSheetId="7">'10'!$A$1:$AD$95</definedName>
    <definedName name="_xlnm.Print_Area" localSheetId="8">'11'!$A$1:$AD$95</definedName>
    <definedName name="_xlnm.Print_Area" localSheetId="9">'12'!$A$1:$AD$95</definedName>
    <definedName name="_xlnm.Print_Area" localSheetId="10">'15'!$A$1:$AD$98</definedName>
    <definedName name="_xlnm.Print_Area" localSheetId="11">'16'!$A$1:$AD$97</definedName>
    <definedName name="_xlnm.Print_Area" localSheetId="12">'17'!$A$1:$AD$96</definedName>
    <definedName name="_xlnm.Print_Area" localSheetId="13">'18'!$A$1:$AD$95</definedName>
    <definedName name="_xlnm.Print_Area" localSheetId="14">'19'!$A$1:$AD$96</definedName>
    <definedName name="_xlnm.Print_Area" localSheetId="15">'22'!$A$1:$AD$96</definedName>
    <definedName name="_xlnm.Print_Area" localSheetId="16">'23'!$A$1:$AD$99</definedName>
    <definedName name="_xlnm.Print_Area" localSheetId="17">'24'!$A$1:$AD$96</definedName>
    <definedName name="_xlnm.Print_Area" localSheetId="18">'25'!$A$1:$AD$95</definedName>
    <definedName name="_xlnm.Print_Area" localSheetId="19">'26'!$A$1:$AD$98</definedName>
    <definedName name="_xlnm.Print_Area" localSheetId="20">'29'!$A$1:$AD$96</definedName>
    <definedName name="_xlnm.Print_Area" localSheetId="21">'30'!$A$1:$AD$96</definedName>
    <definedName name="ㅁ1" localSheetId="0">'01'!$M$1048531:$M$1048576</definedName>
    <definedName name="ㅁ1" localSheetId="1">'02'!$M$1048531:$M$1048576</definedName>
    <definedName name="ㅁ1" localSheetId="2">'03'!$M$1048530:$M$1048576</definedName>
    <definedName name="ㅁ1" localSheetId="3">'04'!$M$1048531:$M$1048576</definedName>
    <definedName name="ㅁ1" localSheetId="4">'05'!$M$1048531:$M$1048576</definedName>
    <definedName name="ㅁ1" localSheetId="5">'08'!$M$1048532:$M$1048576</definedName>
    <definedName name="ㅁ1" localSheetId="6">'09'!$M$1048531:$M$1048576</definedName>
    <definedName name="ㅁ1" localSheetId="7">'10'!$M$1048530:$M$1048576</definedName>
    <definedName name="ㅁ1" localSheetId="8">'11'!$M$1048530:$M$1048576</definedName>
    <definedName name="ㅁ1" localSheetId="9">'12'!$M$1048530:$M$1048576</definedName>
    <definedName name="ㅁ1" localSheetId="10">'15'!$M$1048533:$M$1048576</definedName>
    <definedName name="ㅁ1" localSheetId="11">'16'!$M$1048532:$M$1048576</definedName>
    <definedName name="ㅁ1" localSheetId="12">'17'!$M$1048531:$M$1048576</definedName>
    <definedName name="ㅁ1" localSheetId="13">'18'!$M$1048530:$M$1048576</definedName>
    <definedName name="ㅁ1" localSheetId="14">'19'!$M$1048531:$M$1048576</definedName>
    <definedName name="ㅁ1" localSheetId="15">'22'!$M$1048531:$M$1048576</definedName>
    <definedName name="ㅁ1" localSheetId="16">'23'!$M$1048534:$M$1048576</definedName>
    <definedName name="ㅁ1" localSheetId="17">'24'!$M$1048531:$M$1048576</definedName>
    <definedName name="ㅁ1" localSheetId="18">'25'!$M$1048530:$M$1048576</definedName>
    <definedName name="ㅁ1" localSheetId="19">'26'!$M$1048533:$M$1048576</definedName>
    <definedName name="ㅁ1" localSheetId="20">'29'!$M$1048531:$M$1048576</definedName>
    <definedName name="ㅁ1" localSheetId="21">'30'!$M$1048531:$M$1048576</definedName>
    <definedName name="ㅁ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7" i="16" l="1"/>
  <c r="AE26" i="16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L22" i="2159"/>
  <c r="L21" i="2159"/>
  <c r="L20" i="2159"/>
  <c r="K20" i="2159"/>
  <c r="L19" i="2159"/>
  <c r="L17" i="2159"/>
  <c r="L16" i="2159"/>
  <c r="L15" i="2159"/>
  <c r="L14" i="2159"/>
  <c r="L13" i="2159"/>
  <c r="L12" i="2159"/>
  <c r="L11" i="2159"/>
  <c r="L9" i="2159"/>
  <c r="L8" i="2159"/>
  <c r="K9" i="2159"/>
  <c r="K8" i="2159"/>
  <c r="L6" i="2159"/>
  <c r="K21" i="2159" l="1"/>
  <c r="K19" i="2159"/>
  <c r="K17" i="2159"/>
  <c r="K16" i="2159"/>
  <c r="K14" i="2159"/>
  <c r="K13" i="2159"/>
  <c r="K12" i="2159"/>
  <c r="K11" i="2159"/>
  <c r="K7" i="2159"/>
  <c r="K6" i="2159"/>
  <c r="A86" i="2159"/>
  <c r="A87" i="2159" s="1"/>
  <c r="A88" i="2159" s="1"/>
  <c r="A89" i="2159" s="1"/>
  <c r="A90" i="2159" s="1"/>
  <c r="A91" i="2159" s="1"/>
  <c r="AF70" i="2159"/>
  <c r="AF69" i="2159"/>
  <c r="AF72" i="2159" s="1"/>
  <c r="AA31" i="2159"/>
  <c r="Z31" i="2159"/>
  <c r="Y31" i="2159"/>
  <c r="X31" i="2159"/>
  <c r="W31" i="2159"/>
  <c r="V31" i="2159"/>
  <c r="U31" i="2159"/>
  <c r="T31" i="2159"/>
  <c r="S31" i="2159"/>
  <c r="R31" i="2159"/>
  <c r="N31" i="2159"/>
  <c r="J31" i="2159"/>
  <c r="I31" i="2159"/>
  <c r="AF30" i="2159"/>
  <c r="AB30" i="2159"/>
  <c r="Q30" i="2159"/>
  <c r="P30" i="2159"/>
  <c r="AC30" i="2159" s="1"/>
  <c r="AD30" i="2159" s="1"/>
  <c r="O30" i="2159"/>
  <c r="M30" i="2159"/>
  <c r="K30" i="2159"/>
  <c r="AF29" i="2159"/>
  <c r="AB29" i="2159"/>
  <c r="Q29" i="2159"/>
  <c r="P29" i="2159"/>
  <c r="AC29" i="2159" s="1"/>
  <c r="AD29" i="2159" s="1"/>
  <c r="O29" i="2159"/>
  <c r="M29" i="2159"/>
  <c r="K29" i="2159"/>
  <c r="AF28" i="2159"/>
  <c r="AC28" i="2159"/>
  <c r="AD28" i="2159" s="1"/>
  <c r="AB28" i="2159"/>
  <c r="Q28" i="2159"/>
  <c r="P28" i="2159"/>
  <c r="O28" i="2159"/>
  <c r="M28" i="2159"/>
  <c r="K28" i="2159"/>
  <c r="AF27" i="2159"/>
  <c r="AB27" i="2159"/>
  <c r="Q27" i="2159"/>
  <c r="P27" i="2159"/>
  <c r="AC27" i="2159" s="1"/>
  <c r="AD27" i="2159" s="1"/>
  <c r="O27" i="2159"/>
  <c r="M27" i="2159"/>
  <c r="K27" i="2159"/>
  <c r="AF26" i="2159"/>
  <c r="AC26" i="2159"/>
  <c r="AD26" i="2159" s="1"/>
  <c r="AB26" i="2159"/>
  <c r="Q26" i="2159"/>
  <c r="P26" i="2159"/>
  <c r="O26" i="2159"/>
  <c r="M26" i="2159"/>
  <c r="K26" i="2159"/>
  <c r="AF25" i="2159"/>
  <c r="AB25" i="2159"/>
  <c r="Q25" i="2159"/>
  <c r="P25" i="2159"/>
  <c r="AC25" i="2159" s="1"/>
  <c r="AD25" i="2159" s="1"/>
  <c r="O25" i="2159"/>
  <c r="M25" i="2159"/>
  <c r="K25" i="2159"/>
  <c r="AF24" i="2159"/>
  <c r="AC24" i="2159"/>
  <c r="AD24" i="2159" s="1"/>
  <c r="AB24" i="2159"/>
  <c r="Q24" i="2159"/>
  <c r="P24" i="2159"/>
  <c r="O24" i="2159"/>
  <c r="M24" i="2159"/>
  <c r="K24" i="2159"/>
  <c r="AF23" i="2159"/>
  <c r="AB23" i="2159"/>
  <c r="Q23" i="2159"/>
  <c r="P23" i="2159"/>
  <c r="AC23" i="2159" s="1"/>
  <c r="AD23" i="2159" s="1"/>
  <c r="O23" i="2159"/>
  <c r="M23" i="2159"/>
  <c r="K23" i="2159"/>
  <c r="AF22" i="2159"/>
  <c r="AB22" i="2159"/>
  <c r="Q22" i="2159"/>
  <c r="P22" i="2159" s="1"/>
  <c r="AC22" i="2159" s="1"/>
  <c r="O22" i="2159"/>
  <c r="M22" i="2159"/>
  <c r="K22" i="2159"/>
  <c r="AF21" i="2159"/>
  <c r="Q21" i="2159"/>
  <c r="P21" i="2159"/>
  <c r="AC21" i="2159" s="1"/>
  <c r="O21" i="2159"/>
  <c r="AB21" i="2159"/>
  <c r="AF20" i="2159"/>
  <c r="AC20" i="2159"/>
  <c r="AB20" i="2159"/>
  <c r="Q20" i="2159"/>
  <c r="P20" i="2159"/>
  <c r="O20" i="2159"/>
  <c r="M20" i="2159"/>
  <c r="AF19" i="2159"/>
  <c r="AB19" i="2159"/>
  <c r="Q19" i="2159"/>
  <c r="M19" i="2159"/>
  <c r="P19" i="2159"/>
  <c r="AC19" i="2159" s="1"/>
  <c r="AF18" i="2159"/>
  <c r="AB18" i="2159"/>
  <c r="Q18" i="2159"/>
  <c r="P18" i="2159"/>
  <c r="AC18" i="2159" s="1"/>
  <c r="AD18" i="2159" s="1"/>
  <c r="O18" i="2159"/>
  <c r="M18" i="2159"/>
  <c r="K18" i="2159"/>
  <c r="AF17" i="2159"/>
  <c r="AB17" i="2159"/>
  <c r="Q17" i="2159"/>
  <c r="P17" i="2159"/>
  <c r="AC17" i="2159" s="1"/>
  <c r="O17" i="2159"/>
  <c r="M17" i="2159"/>
  <c r="AF16" i="2159"/>
  <c r="AB16" i="2159"/>
  <c r="Q16" i="2159"/>
  <c r="M16" i="2159"/>
  <c r="P16" i="2159"/>
  <c r="AC16" i="2159" s="1"/>
  <c r="AF15" i="2159"/>
  <c r="AB15" i="2159"/>
  <c r="Q15" i="2159"/>
  <c r="P15" i="2159" s="1"/>
  <c r="AC15" i="2159" s="1"/>
  <c r="O15" i="2159"/>
  <c r="M15" i="2159"/>
  <c r="K15" i="2159"/>
  <c r="AF14" i="2159"/>
  <c r="AB14" i="2159"/>
  <c r="Q14" i="2159"/>
  <c r="P14" i="2159"/>
  <c r="AC14" i="2159" s="1"/>
  <c r="AD14" i="2159" s="1"/>
  <c r="O14" i="2159"/>
  <c r="M14" i="2159"/>
  <c r="AF13" i="2159"/>
  <c r="AB13" i="2159"/>
  <c r="Q13" i="2159"/>
  <c r="P13" i="2159" s="1"/>
  <c r="AC13" i="2159" s="1"/>
  <c r="M13" i="2159"/>
  <c r="AF12" i="2159"/>
  <c r="Q12" i="2159"/>
  <c r="P12" i="2159" s="1"/>
  <c r="AC12" i="2159" s="1"/>
  <c r="AF11" i="2159"/>
  <c r="Q11" i="2159"/>
  <c r="P11" i="2159" s="1"/>
  <c r="AC11" i="2159" s="1"/>
  <c r="O11" i="2159"/>
  <c r="AB11" i="2159"/>
  <c r="AF10" i="2159"/>
  <c r="AB10" i="2159"/>
  <c r="Q10" i="2159"/>
  <c r="P10" i="2159"/>
  <c r="AC10" i="2159" s="1"/>
  <c r="AD10" i="2159" s="1"/>
  <c r="O10" i="2159"/>
  <c r="M10" i="2159"/>
  <c r="K10" i="2159"/>
  <c r="AF9" i="2159"/>
  <c r="AB9" i="2159"/>
  <c r="Q9" i="2159"/>
  <c r="P9" i="2159" s="1"/>
  <c r="AC9" i="2159" s="1"/>
  <c r="M9" i="2159"/>
  <c r="AF8" i="2159"/>
  <c r="AB8" i="2159"/>
  <c r="Q8" i="2159"/>
  <c r="P8" i="2159" s="1"/>
  <c r="AC8" i="2159" s="1"/>
  <c r="O8" i="2159"/>
  <c r="M8" i="2159"/>
  <c r="AF7" i="2159"/>
  <c r="AB7" i="2159"/>
  <c r="Q7" i="2159"/>
  <c r="P7" i="2159"/>
  <c r="AC7" i="2159" s="1"/>
  <c r="O7" i="2159"/>
  <c r="M7" i="2159"/>
  <c r="AF6" i="2159"/>
  <c r="AB6" i="2159"/>
  <c r="Q6" i="2159"/>
  <c r="M6" i="2159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L21" i="2158"/>
  <c r="K21" i="2158"/>
  <c r="L20" i="2158"/>
  <c r="L19" i="2158"/>
  <c r="L17" i="2158"/>
  <c r="K17" i="2158" s="1"/>
  <c r="L16" i="2158"/>
  <c r="L14" i="2158"/>
  <c r="L13" i="2158"/>
  <c r="K13" i="2158" s="1"/>
  <c r="L12" i="2158"/>
  <c r="M12" i="2158" s="1"/>
  <c r="L11" i="2158"/>
  <c r="K11" i="2158" s="1"/>
  <c r="L10" i="2158"/>
  <c r="M10" i="2158" s="1"/>
  <c r="K10" i="2158"/>
  <c r="L9" i="2158"/>
  <c r="K9" i="2158" s="1"/>
  <c r="K8" i="2158"/>
  <c r="L7" i="2158"/>
  <c r="K7" i="2158" s="1"/>
  <c r="L6" i="2158"/>
  <c r="K6" i="2158"/>
  <c r="K22" i="2158"/>
  <c r="K20" i="2158"/>
  <c r="K19" i="2158"/>
  <c r="K16" i="2158"/>
  <c r="K14" i="2158"/>
  <c r="A86" i="2158"/>
  <c r="A87" i="2158" s="1"/>
  <c r="A88" i="2158" s="1"/>
  <c r="A89" i="2158" s="1"/>
  <c r="A90" i="2158" s="1"/>
  <c r="A91" i="2158" s="1"/>
  <c r="AF70" i="2158"/>
  <c r="AF69" i="2158"/>
  <c r="AF72" i="2158" s="1"/>
  <c r="AA31" i="2158"/>
  <c r="Z31" i="2158"/>
  <c r="Y31" i="2158"/>
  <c r="X31" i="2158"/>
  <c r="W31" i="2158"/>
  <c r="V31" i="2158"/>
  <c r="U31" i="2158"/>
  <c r="T31" i="2158"/>
  <c r="S31" i="2158"/>
  <c r="R31" i="2158"/>
  <c r="N31" i="2158"/>
  <c r="J31" i="2158"/>
  <c r="I31" i="2158"/>
  <c r="AF30" i="2158"/>
  <c r="AB30" i="2158"/>
  <c r="Q30" i="2158"/>
  <c r="P30" i="2158"/>
  <c r="AC30" i="2158" s="1"/>
  <c r="O30" i="2158"/>
  <c r="M30" i="2158"/>
  <c r="K30" i="2158"/>
  <c r="AF29" i="2158"/>
  <c r="AB29" i="2158"/>
  <c r="Q29" i="2158"/>
  <c r="P29" i="2158"/>
  <c r="AC29" i="2158" s="1"/>
  <c r="O29" i="2158"/>
  <c r="M29" i="2158"/>
  <c r="K29" i="2158"/>
  <c r="AF28" i="2158"/>
  <c r="AB28" i="2158"/>
  <c r="Q28" i="2158"/>
  <c r="P28" i="2158"/>
  <c r="AC28" i="2158" s="1"/>
  <c r="O28" i="2158"/>
  <c r="M28" i="2158"/>
  <c r="K28" i="2158"/>
  <c r="AF27" i="2158"/>
  <c r="AB27" i="2158"/>
  <c r="Q27" i="2158"/>
  <c r="P27" i="2158"/>
  <c r="AC27" i="2158" s="1"/>
  <c r="O27" i="2158"/>
  <c r="M27" i="2158"/>
  <c r="K27" i="2158"/>
  <c r="AF26" i="2158"/>
  <c r="AB26" i="2158"/>
  <c r="Q26" i="2158"/>
  <c r="P26" i="2158"/>
  <c r="AC26" i="2158" s="1"/>
  <c r="O26" i="2158"/>
  <c r="M26" i="2158"/>
  <c r="K26" i="2158"/>
  <c r="AF25" i="2158"/>
  <c r="AB25" i="2158"/>
  <c r="Q25" i="2158"/>
  <c r="P25" i="2158"/>
  <c r="AC25" i="2158" s="1"/>
  <c r="O25" i="2158"/>
  <c r="M25" i="2158"/>
  <c r="K25" i="2158"/>
  <c r="AF24" i="2158"/>
  <c r="AB24" i="2158"/>
  <c r="Q24" i="2158"/>
  <c r="P24" i="2158"/>
  <c r="AC24" i="2158" s="1"/>
  <c r="O24" i="2158"/>
  <c r="M24" i="2158"/>
  <c r="K24" i="2158"/>
  <c r="AF23" i="2158"/>
  <c r="AB23" i="2158"/>
  <c r="Q23" i="2158"/>
  <c r="P23" i="2158"/>
  <c r="AC23" i="2158" s="1"/>
  <c r="O23" i="2158"/>
  <c r="M23" i="2158"/>
  <c r="K23" i="2158"/>
  <c r="AF22" i="2158"/>
  <c r="AB22" i="2158"/>
  <c r="Q22" i="2158"/>
  <c r="P22" i="2158"/>
  <c r="AC22" i="2158" s="1"/>
  <c r="M22" i="2158"/>
  <c r="O22" i="2158"/>
  <c r="AF21" i="2158"/>
  <c r="Q21" i="2158"/>
  <c r="P21" i="2158"/>
  <c r="AC21" i="2158" s="1"/>
  <c r="AF20" i="2158"/>
  <c r="AB20" i="2158"/>
  <c r="Q20" i="2158"/>
  <c r="P20" i="2158"/>
  <c r="AC20" i="2158" s="1"/>
  <c r="O20" i="2158"/>
  <c r="M20" i="2158"/>
  <c r="AF19" i="2158"/>
  <c r="Q19" i="2158"/>
  <c r="O19" i="2158"/>
  <c r="AB19" i="2158"/>
  <c r="AF18" i="2158"/>
  <c r="AB18" i="2158"/>
  <c r="Q18" i="2158"/>
  <c r="P18" i="2158"/>
  <c r="AC18" i="2158" s="1"/>
  <c r="O18" i="2158"/>
  <c r="M18" i="2158"/>
  <c r="K18" i="2158"/>
  <c r="AF17" i="2158"/>
  <c r="Q17" i="2158"/>
  <c r="P17" i="2158"/>
  <c r="AC17" i="2158" s="1"/>
  <c r="M17" i="2158"/>
  <c r="AF16" i="2158"/>
  <c r="Q16" i="2158"/>
  <c r="O16" i="2158"/>
  <c r="AB16" i="2158"/>
  <c r="AF15" i="2158"/>
  <c r="AB15" i="2158"/>
  <c r="Q15" i="2158"/>
  <c r="P15" i="2158"/>
  <c r="AC15" i="2158" s="1"/>
  <c r="O15" i="2158"/>
  <c r="M15" i="2158"/>
  <c r="K15" i="2158"/>
  <c r="AF14" i="2158"/>
  <c r="AB14" i="2158"/>
  <c r="Q14" i="2158"/>
  <c r="P14" i="2158"/>
  <c r="AC14" i="2158" s="1"/>
  <c r="M14" i="2158"/>
  <c r="O14" i="2158"/>
  <c r="AF13" i="2158"/>
  <c r="Q13" i="2158"/>
  <c r="AF12" i="2158"/>
  <c r="Q12" i="2158"/>
  <c r="P12" i="2158"/>
  <c r="AC12" i="2158" s="1"/>
  <c r="AF11" i="2158"/>
  <c r="Q11" i="2158"/>
  <c r="O11" i="2158"/>
  <c r="AB11" i="2158"/>
  <c r="AF10" i="2158"/>
  <c r="AB10" i="2158"/>
  <c r="Q10" i="2158"/>
  <c r="AF9" i="2158"/>
  <c r="AB9" i="2158"/>
  <c r="Q9" i="2158"/>
  <c r="P9" i="2158" s="1"/>
  <c r="AC9" i="2158" s="1"/>
  <c r="O9" i="2158"/>
  <c r="M9" i="2158"/>
  <c r="AF8" i="2158"/>
  <c r="AB8" i="2158"/>
  <c r="Q8" i="2158"/>
  <c r="P8" i="2158" s="1"/>
  <c r="AC8" i="2158" s="1"/>
  <c r="O8" i="2158"/>
  <c r="M8" i="2158"/>
  <c r="AF7" i="2158"/>
  <c r="Q7" i="2158"/>
  <c r="M7" i="2158"/>
  <c r="AF6" i="2158"/>
  <c r="Q6" i="2158"/>
  <c r="O6" i="2158"/>
  <c r="AB6" i="2158"/>
  <c r="AA27" i="16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24" i="2157"/>
  <c r="L23" i="2157"/>
  <c r="L22" i="2157"/>
  <c r="L21" i="2157"/>
  <c r="L19" i="2157"/>
  <c r="L18" i="2157"/>
  <c r="K18" i="2157"/>
  <c r="AD22" i="2159" l="1"/>
  <c r="AD17" i="2159"/>
  <c r="AD15" i="2159"/>
  <c r="AD11" i="2159"/>
  <c r="Q31" i="2159"/>
  <c r="AD7" i="2159"/>
  <c r="P6" i="2159"/>
  <c r="AD8" i="2159"/>
  <c r="AD20" i="2159"/>
  <c r="AD21" i="2159"/>
  <c r="AC6" i="2159"/>
  <c r="P31" i="2159"/>
  <c r="L31" i="2159"/>
  <c r="O31" i="2159" s="1"/>
  <c r="O6" i="2159"/>
  <c r="O9" i="2159"/>
  <c r="AD9" i="2159" s="1"/>
  <c r="M12" i="2159"/>
  <c r="AB12" i="2159"/>
  <c r="AB31" i="2159" s="1"/>
  <c r="O13" i="2159"/>
  <c r="AD13" i="2159" s="1"/>
  <c r="O16" i="2159"/>
  <c r="AD16" i="2159" s="1"/>
  <c r="O19" i="2159"/>
  <c r="AD19" i="2159" s="1"/>
  <c r="M11" i="2159"/>
  <c r="O12" i="2159"/>
  <c r="M21" i="2159"/>
  <c r="O17" i="2158"/>
  <c r="AB17" i="2158"/>
  <c r="AD17" i="2158" s="1"/>
  <c r="P7" i="2158"/>
  <c r="AC7" i="2158" s="1"/>
  <c r="O10" i="2158"/>
  <c r="AB12" i="2158"/>
  <c r="AD20" i="2158"/>
  <c r="AD23" i="2158"/>
  <c r="AD27" i="2158"/>
  <c r="O7" i="2158"/>
  <c r="P10" i="2158"/>
  <c r="AC10" i="2158" s="1"/>
  <c r="O12" i="2158"/>
  <c r="K12" i="2158"/>
  <c r="AD14" i="2158"/>
  <c r="P13" i="2158"/>
  <c r="AC13" i="2158" s="1"/>
  <c r="AD25" i="2158"/>
  <c r="AD29" i="2158"/>
  <c r="AB7" i="2158"/>
  <c r="AD15" i="2158"/>
  <c r="AD24" i="2158"/>
  <c r="AD28" i="2158"/>
  <c r="AD26" i="2158"/>
  <c r="AD30" i="2158"/>
  <c r="Q31" i="2158"/>
  <c r="AD9" i="2158"/>
  <c r="AD7" i="2158"/>
  <c r="AD10" i="2158"/>
  <c r="AD8" i="2158"/>
  <c r="AD18" i="2158"/>
  <c r="AD12" i="2158"/>
  <c r="AD22" i="2158"/>
  <c r="L31" i="2158"/>
  <c r="O31" i="2158" s="1"/>
  <c r="P6" i="2158"/>
  <c r="P11" i="2158"/>
  <c r="AC11" i="2158" s="1"/>
  <c r="AD11" i="2158" s="1"/>
  <c r="M13" i="2158"/>
  <c r="AB13" i="2158"/>
  <c r="P16" i="2158"/>
  <c r="AC16" i="2158" s="1"/>
  <c r="AD16" i="2158" s="1"/>
  <c r="P19" i="2158"/>
  <c r="AC19" i="2158" s="1"/>
  <c r="AD19" i="2158" s="1"/>
  <c r="M21" i="2158"/>
  <c r="AB21" i="2158"/>
  <c r="O13" i="2158"/>
  <c r="O21" i="2158"/>
  <c r="M6" i="2158"/>
  <c r="M11" i="2158"/>
  <c r="M16" i="2158"/>
  <c r="M19" i="2158"/>
  <c r="AF18" i="2157"/>
  <c r="AB18" i="2157"/>
  <c r="Q18" i="2157"/>
  <c r="P18" i="2157" s="1"/>
  <c r="AC18" i="2157" s="1"/>
  <c r="AD18" i="2157" s="1"/>
  <c r="O18" i="2157"/>
  <c r="M18" i="2157"/>
  <c r="K16" i="2157"/>
  <c r="L15" i="2157"/>
  <c r="P15" i="2157" s="1"/>
  <c r="AC15" i="2157" s="1"/>
  <c r="L14" i="2157"/>
  <c r="L13" i="2157"/>
  <c r="O13" i="2157" s="1"/>
  <c r="L12" i="2157"/>
  <c r="K12" i="2157" s="1"/>
  <c r="L11" i="2157"/>
  <c r="AB11" i="2157" s="1"/>
  <c r="L10" i="2157"/>
  <c r="K9" i="2157"/>
  <c r="K10" i="2157"/>
  <c r="K8" i="2157"/>
  <c r="AF10" i="2157"/>
  <c r="AB10" i="2157"/>
  <c r="Q10" i="2157"/>
  <c r="P10" i="2157" s="1"/>
  <c r="AC10" i="2157" s="1"/>
  <c r="O10" i="2157"/>
  <c r="M10" i="2157"/>
  <c r="AF9" i="2157"/>
  <c r="AB9" i="2157"/>
  <c r="Q9" i="2157"/>
  <c r="P9" i="2157" s="1"/>
  <c r="AC9" i="2157" s="1"/>
  <c r="O9" i="2157"/>
  <c r="M9" i="2157"/>
  <c r="L7" i="2157"/>
  <c r="M7" i="2157" s="1"/>
  <c r="K7" i="2157"/>
  <c r="L6" i="2157"/>
  <c r="K6" i="2157" s="1"/>
  <c r="K24" i="2157"/>
  <c r="K23" i="2157"/>
  <c r="K22" i="2157"/>
  <c r="K21" i="2157"/>
  <c r="K19" i="2157"/>
  <c r="K17" i="2157"/>
  <c r="K15" i="2157"/>
  <c r="K14" i="2157"/>
  <c r="K13" i="2157"/>
  <c r="A88" i="2157"/>
  <c r="A89" i="2157" s="1"/>
  <c r="A90" i="2157" s="1"/>
  <c r="A91" i="2157" s="1"/>
  <c r="A92" i="2157" s="1"/>
  <c r="A93" i="2157" s="1"/>
  <c r="AF72" i="2157"/>
  <c r="AF71" i="2157"/>
  <c r="AF74" i="2157" s="1"/>
  <c r="AA33" i="2157"/>
  <c r="Z33" i="2157"/>
  <c r="Y33" i="2157"/>
  <c r="X33" i="2157"/>
  <c r="W33" i="2157"/>
  <c r="V33" i="2157"/>
  <c r="U33" i="2157"/>
  <c r="T33" i="2157"/>
  <c r="S33" i="2157"/>
  <c r="R33" i="2157"/>
  <c r="N33" i="2157"/>
  <c r="J33" i="2157"/>
  <c r="I33" i="2157"/>
  <c r="AF32" i="2157"/>
  <c r="AB32" i="2157"/>
  <c r="Q32" i="2157"/>
  <c r="P32" i="2157"/>
  <c r="AC32" i="2157" s="1"/>
  <c r="O32" i="2157"/>
  <c r="M32" i="2157"/>
  <c r="K32" i="2157"/>
  <c r="AF31" i="2157"/>
  <c r="AB31" i="2157"/>
  <c r="Q31" i="2157"/>
  <c r="P31" i="2157"/>
  <c r="AC31" i="2157" s="1"/>
  <c r="O31" i="2157"/>
  <c r="M31" i="2157"/>
  <c r="K31" i="2157"/>
  <c r="AF30" i="2157"/>
  <c r="AB30" i="2157"/>
  <c r="Q30" i="2157"/>
  <c r="P30" i="2157"/>
  <c r="AC30" i="2157" s="1"/>
  <c r="O30" i="2157"/>
  <c r="M30" i="2157"/>
  <c r="K30" i="2157"/>
  <c r="AF29" i="2157"/>
  <c r="AB29" i="2157"/>
  <c r="Q29" i="2157"/>
  <c r="P29" i="2157"/>
  <c r="AC29" i="2157" s="1"/>
  <c r="O29" i="2157"/>
  <c r="M29" i="2157"/>
  <c r="K29" i="2157"/>
  <c r="AF28" i="2157"/>
  <c r="AB28" i="2157"/>
  <c r="Q28" i="2157"/>
  <c r="P28" i="2157"/>
  <c r="AC28" i="2157" s="1"/>
  <c r="O28" i="2157"/>
  <c r="M28" i="2157"/>
  <c r="K28" i="2157"/>
  <c r="AF27" i="2157"/>
  <c r="AB27" i="2157"/>
  <c r="Q27" i="2157"/>
  <c r="P27" i="2157"/>
  <c r="AC27" i="2157" s="1"/>
  <c r="O27" i="2157"/>
  <c r="M27" i="2157"/>
  <c r="K27" i="2157"/>
  <c r="AF26" i="2157"/>
  <c r="AB26" i="2157"/>
  <c r="Q26" i="2157"/>
  <c r="P26" i="2157"/>
  <c r="AC26" i="2157" s="1"/>
  <c r="O26" i="2157"/>
  <c r="M26" i="2157"/>
  <c r="K26" i="2157"/>
  <c r="AF25" i="2157"/>
  <c r="AB25" i="2157"/>
  <c r="Q25" i="2157"/>
  <c r="P25" i="2157"/>
  <c r="AC25" i="2157" s="1"/>
  <c r="O25" i="2157"/>
  <c r="M25" i="2157"/>
  <c r="K25" i="2157"/>
  <c r="AF24" i="2157"/>
  <c r="AB24" i="2157"/>
  <c r="Q24" i="2157"/>
  <c r="M24" i="2157"/>
  <c r="P24" i="2157"/>
  <c r="AC24" i="2157" s="1"/>
  <c r="AF23" i="2157"/>
  <c r="Q23" i="2157"/>
  <c r="P23" i="2157"/>
  <c r="AC23" i="2157" s="1"/>
  <c r="AF22" i="2157"/>
  <c r="AB22" i="2157"/>
  <c r="Q22" i="2157"/>
  <c r="P22" i="2157"/>
  <c r="AC22" i="2157" s="1"/>
  <c r="O22" i="2157"/>
  <c r="M22" i="2157"/>
  <c r="AF21" i="2157"/>
  <c r="AB21" i="2157"/>
  <c r="Q21" i="2157"/>
  <c r="O21" i="2157"/>
  <c r="M21" i="2157"/>
  <c r="P21" i="2157"/>
  <c r="AC21" i="2157" s="1"/>
  <c r="AD21" i="2157" s="1"/>
  <c r="AF20" i="2157"/>
  <c r="AB20" i="2157"/>
  <c r="Q20" i="2157"/>
  <c r="P20" i="2157"/>
  <c r="AC20" i="2157" s="1"/>
  <c r="O20" i="2157"/>
  <c r="M20" i="2157"/>
  <c r="K20" i="2157"/>
  <c r="AF19" i="2157"/>
  <c r="AB19" i="2157"/>
  <c r="Q19" i="2157"/>
  <c r="P19" i="2157"/>
  <c r="AC19" i="2157" s="1"/>
  <c r="O19" i="2157"/>
  <c r="M19" i="2157"/>
  <c r="AF17" i="2157"/>
  <c r="AB17" i="2157"/>
  <c r="Q17" i="2157"/>
  <c r="P17" i="2157" s="1"/>
  <c r="AC17" i="2157" s="1"/>
  <c r="O17" i="2157"/>
  <c r="M17" i="2157"/>
  <c r="AF16" i="2157"/>
  <c r="AB16" i="2157"/>
  <c r="Q16" i="2157"/>
  <c r="M16" i="2157"/>
  <c r="P16" i="2157"/>
  <c r="AC16" i="2157" s="1"/>
  <c r="AF15" i="2157"/>
  <c r="Q15" i="2157"/>
  <c r="AF14" i="2157"/>
  <c r="Q14" i="2157"/>
  <c r="P14" i="2157"/>
  <c r="AC14" i="2157" s="1"/>
  <c r="O14" i="2157"/>
  <c r="M14" i="2157"/>
  <c r="AB14" i="2157"/>
  <c r="AF13" i="2157"/>
  <c r="AB13" i="2157"/>
  <c r="Q13" i="2157"/>
  <c r="P13" i="2157" s="1"/>
  <c r="AC13" i="2157" s="1"/>
  <c r="M13" i="2157"/>
  <c r="AF12" i="2157"/>
  <c r="AB12" i="2157"/>
  <c r="Q12" i="2157"/>
  <c r="P12" i="2157" s="1"/>
  <c r="AC12" i="2157" s="1"/>
  <c r="M12" i="2157"/>
  <c r="AF11" i="2157"/>
  <c r="Q11" i="2157"/>
  <c r="M11" i="2157"/>
  <c r="AF8" i="2157"/>
  <c r="AB8" i="2157"/>
  <c r="Q8" i="2157"/>
  <c r="P8" i="2157" s="1"/>
  <c r="AC8" i="2157" s="1"/>
  <c r="O8" i="2157"/>
  <c r="M8" i="2157"/>
  <c r="AF7" i="2157"/>
  <c r="AB7" i="2157"/>
  <c r="Q7" i="2157"/>
  <c r="AF6" i="2157"/>
  <c r="Q6" i="2157"/>
  <c r="P6" i="2157" s="1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1" i="2156"/>
  <c r="L20" i="2156"/>
  <c r="L19" i="2156"/>
  <c r="K19" i="2156" s="1"/>
  <c r="L18" i="2156"/>
  <c r="L16" i="2156"/>
  <c r="L15" i="2156"/>
  <c r="K15" i="2156"/>
  <c r="L14" i="2156"/>
  <c r="L13" i="2156"/>
  <c r="L12" i="2156"/>
  <c r="L11" i="2156"/>
  <c r="K11" i="2156" s="1"/>
  <c r="L10" i="2156"/>
  <c r="K10" i="2156" s="1"/>
  <c r="L8" i="2156"/>
  <c r="K8" i="2156" s="1"/>
  <c r="L7" i="2156"/>
  <c r="L6" i="2156"/>
  <c r="K6" i="2156" s="1"/>
  <c r="K21" i="2156"/>
  <c r="K20" i="2156"/>
  <c r="K18" i="2156"/>
  <c r="K16" i="2156"/>
  <c r="K14" i="2156"/>
  <c r="K13" i="2156"/>
  <c r="K12" i="2156"/>
  <c r="K9" i="2156"/>
  <c r="K7" i="2156"/>
  <c r="A85" i="2156"/>
  <c r="A86" i="2156" s="1"/>
  <c r="A87" i="2156" s="1"/>
  <c r="A88" i="2156" s="1"/>
  <c r="A89" i="2156" s="1"/>
  <c r="A90" i="2156" s="1"/>
  <c r="AF69" i="2156"/>
  <c r="AF68" i="2156"/>
  <c r="AF71" i="2156" s="1"/>
  <c r="AA30" i="2156"/>
  <c r="Z30" i="2156"/>
  <c r="Y30" i="2156"/>
  <c r="X30" i="2156"/>
  <c r="W30" i="2156"/>
  <c r="V30" i="2156"/>
  <c r="U30" i="2156"/>
  <c r="T30" i="2156"/>
  <c r="S30" i="2156"/>
  <c r="R30" i="2156"/>
  <c r="N30" i="2156"/>
  <c r="J30" i="2156"/>
  <c r="I30" i="2156"/>
  <c r="AF29" i="2156"/>
  <c r="AB29" i="2156"/>
  <c r="Q29" i="2156"/>
  <c r="P29" i="2156"/>
  <c r="AC29" i="2156" s="1"/>
  <c r="AD29" i="2156" s="1"/>
  <c r="O29" i="2156"/>
  <c r="M29" i="2156"/>
  <c r="K29" i="2156"/>
  <c r="AF28" i="2156"/>
  <c r="AB28" i="2156"/>
  <c r="Q28" i="2156"/>
  <c r="P28" i="2156"/>
  <c r="AC28" i="2156" s="1"/>
  <c r="O28" i="2156"/>
  <c r="M28" i="2156"/>
  <c r="K28" i="2156"/>
  <c r="AF27" i="2156"/>
  <c r="AB27" i="2156"/>
  <c r="Q27" i="2156"/>
  <c r="P27" i="2156"/>
  <c r="AC27" i="2156" s="1"/>
  <c r="AD27" i="2156" s="1"/>
  <c r="O27" i="2156"/>
  <c r="M27" i="2156"/>
  <c r="K27" i="2156"/>
  <c r="AF26" i="2156"/>
  <c r="AB26" i="2156"/>
  <c r="Q26" i="2156"/>
  <c r="P26" i="2156"/>
  <c r="AC26" i="2156" s="1"/>
  <c r="AD26" i="2156" s="1"/>
  <c r="O26" i="2156"/>
  <c r="M26" i="2156"/>
  <c r="K26" i="2156"/>
  <c r="AF25" i="2156"/>
  <c r="AB25" i="2156"/>
  <c r="Q25" i="2156"/>
  <c r="P25" i="2156"/>
  <c r="AC25" i="2156" s="1"/>
  <c r="O25" i="2156"/>
  <c r="M25" i="2156"/>
  <c r="K25" i="2156"/>
  <c r="AF24" i="2156"/>
  <c r="AC24" i="2156"/>
  <c r="AB24" i="2156"/>
  <c r="Q24" i="2156"/>
  <c r="P24" i="2156"/>
  <c r="O24" i="2156"/>
  <c r="M24" i="2156"/>
  <c r="K24" i="2156"/>
  <c r="AF23" i="2156"/>
  <c r="AB23" i="2156"/>
  <c r="Q23" i="2156"/>
  <c r="P23" i="2156"/>
  <c r="AC23" i="2156" s="1"/>
  <c r="O23" i="2156"/>
  <c r="M23" i="2156"/>
  <c r="K23" i="2156"/>
  <c r="AF22" i="2156"/>
  <c r="AC22" i="2156"/>
  <c r="AB22" i="2156"/>
  <c r="Q22" i="2156"/>
  <c r="P22" i="2156"/>
  <c r="O22" i="2156"/>
  <c r="M22" i="2156"/>
  <c r="K22" i="2156"/>
  <c r="AF21" i="2156"/>
  <c r="Q21" i="2156"/>
  <c r="P21" i="2156"/>
  <c r="AC21" i="2156" s="1"/>
  <c r="O21" i="2156"/>
  <c r="AF20" i="2156"/>
  <c r="Q20" i="2156"/>
  <c r="P20" i="2156"/>
  <c r="AC20" i="2156" s="1"/>
  <c r="O20" i="2156"/>
  <c r="AB20" i="2156"/>
  <c r="AF19" i="2156"/>
  <c r="AB19" i="2156"/>
  <c r="Q19" i="2156"/>
  <c r="P19" i="2156" s="1"/>
  <c r="AC19" i="2156" s="1"/>
  <c r="AD19" i="2156" s="1"/>
  <c r="O19" i="2156"/>
  <c r="M19" i="2156"/>
  <c r="AF18" i="2156"/>
  <c r="Q18" i="2156"/>
  <c r="AB18" i="2156"/>
  <c r="AF17" i="2156"/>
  <c r="AB17" i="2156"/>
  <c r="Q17" i="2156"/>
  <c r="P17" i="2156"/>
  <c r="AC17" i="2156" s="1"/>
  <c r="O17" i="2156"/>
  <c r="M17" i="2156"/>
  <c r="K17" i="2156"/>
  <c r="AF16" i="2156"/>
  <c r="AB16" i="2156"/>
  <c r="Q16" i="2156"/>
  <c r="O16" i="2156"/>
  <c r="M16" i="2156"/>
  <c r="P16" i="2156"/>
  <c r="AC16" i="2156" s="1"/>
  <c r="AD16" i="2156" s="1"/>
  <c r="AF15" i="2156"/>
  <c r="AB15" i="2156"/>
  <c r="Q15" i="2156"/>
  <c r="P15" i="2156" s="1"/>
  <c r="AC15" i="2156" s="1"/>
  <c r="AD15" i="2156" s="1"/>
  <c r="O15" i="2156"/>
  <c r="M15" i="2156"/>
  <c r="AF14" i="2156"/>
  <c r="AB14" i="2156"/>
  <c r="Q14" i="2156"/>
  <c r="P14" i="2156"/>
  <c r="AC14" i="2156" s="1"/>
  <c r="O14" i="2156"/>
  <c r="M14" i="2156"/>
  <c r="AF13" i="2156"/>
  <c r="Q13" i="2156"/>
  <c r="P13" i="2156" s="1"/>
  <c r="AC13" i="2156" s="1"/>
  <c r="O13" i="2156"/>
  <c r="AB13" i="2156"/>
  <c r="AF12" i="2156"/>
  <c r="AB12" i="2156"/>
  <c r="Q12" i="2156"/>
  <c r="P12" i="2156" s="1"/>
  <c r="AC12" i="2156" s="1"/>
  <c r="O12" i="2156"/>
  <c r="M12" i="2156"/>
  <c r="AF11" i="2156"/>
  <c r="Q11" i="2156"/>
  <c r="AB11" i="2156"/>
  <c r="AF10" i="2156"/>
  <c r="Q10" i="2156"/>
  <c r="P10" i="2156" s="1"/>
  <c r="AC10" i="2156" s="1"/>
  <c r="O10" i="2156"/>
  <c r="AF9" i="2156"/>
  <c r="AB9" i="2156"/>
  <c r="Q9" i="2156"/>
  <c r="P9" i="2156" s="1"/>
  <c r="AC9" i="2156" s="1"/>
  <c r="O9" i="2156"/>
  <c r="M9" i="2156"/>
  <c r="AF8" i="2156"/>
  <c r="AB8" i="2156"/>
  <c r="Q8" i="2156"/>
  <c r="P8" i="2156" s="1"/>
  <c r="AC8" i="2156" s="1"/>
  <c r="O8" i="2156"/>
  <c r="M8" i="2156"/>
  <c r="AF7" i="2156"/>
  <c r="Q7" i="2156"/>
  <c r="P7" i="2156" s="1"/>
  <c r="AC7" i="2156" s="1"/>
  <c r="O7" i="2156"/>
  <c r="AB7" i="2156"/>
  <c r="AF6" i="2156"/>
  <c r="AB6" i="2156"/>
  <c r="Q6" i="2156"/>
  <c r="O6" i="2156"/>
  <c r="M6" i="215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0" i="16"/>
  <c r="Y9" i="16"/>
  <c r="Y8" i="16"/>
  <c r="Y7" i="16"/>
  <c r="Y6" i="16"/>
  <c r="Y5" i="16"/>
  <c r="Y4" i="16"/>
  <c r="Y3" i="16"/>
  <c r="L22" i="2155"/>
  <c r="L21" i="2155"/>
  <c r="L20" i="2155"/>
  <c r="L19" i="2155"/>
  <c r="L17" i="2155"/>
  <c r="K14" i="2155"/>
  <c r="AF14" i="2155"/>
  <c r="AB14" i="2155"/>
  <c r="Q14" i="2155"/>
  <c r="P14" i="2155" s="1"/>
  <c r="AC14" i="2155" s="1"/>
  <c r="O14" i="2155"/>
  <c r="M14" i="2155"/>
  <c r="L13" i="2155"/>
  <c r="L12" i="2155"/>
  <c r="L11" i="2155"/>
  <c r="K11" i="2155" s="1"/>
  <c r="L10" i="2155"/>
  <c r="L7" i="2155"/>
  <c r="K7" i="2155" s="1"/>
  <c r="M31" i="2159" l="1"/>
  <c r="AD12" i="2159"/>
  <c r="K31" i="2159"/>
  <c r="AD6" i="2159"/>
  <c r="AC31" i="2159"/>
  <c r="AB31" i="2158"/>
  <c r="AD21" i="2158"/>
  <c r="AD13" i="2158"/>
  <c r="M31" i="2158"/>
  <c r="P31" i="2158"/>
  <c r="AC6" i="2158"/>
  <c r="K31" i="2158"/>
  <c r="O11" i="2157"/>
  <c r="AD28" i="2157"/>
  <c r="AD32" i="2157"/>
  <c r="K11" i="2157"/>
  <c r="P11" i="2157"/>
  <c r="AC11" i="2157" s="1"/>
  <c r="AD10" i="2157"/>
  <c r="AD9" i="2157"/>
  <c r="AD11" i="2157"/>
  <c r="AD27" i="2157"/>
  <c r="AD31" i="2157"/>
  <c r="AD26" i="2157"/>
  <c r="AD30" i="2157"/>
  <c r="AD25" i="2157"/>
  <c r="AD29" i="2157"/>
  <c r="Q33" i="2157"/>
  <c r="P7" i="2157"/>
  <c r="AC7" i="2157" s="1"/>
  <c r="AD20" i="2157"/>
  <c r="AD22" i="2157"/>
  <c r="AD8" i="2157"/>
  <c r="AD13" i="2157"/>
  <c r="AD17" i="2157"/>
  <c r="AD19" i="2157"/>
  <c r="AC6" i="2157"/>
  <c r="AD14" i="2157"/>
  <c r="L33" i="2157"/>
  <c r="O33" i="2157" s="1"/>
  <c r="M6" i="2157"/>
  <c r="AB6" i="2157"/>
  <c r="O7" i="2157"/>
  <c r="O12" i="2157"/>
  <c r="AD12" i="2157" s="1"/>
  <c r="M15" i="2157"/>
  <c r="AB15" i="2157"/>
  <c r="O16" i="2157"/>
  <c r="AD16" i="2157" s="1"/>
  <c r="M23" i="2157"/>
  <c r="AB23" i="2157"/>
  <c r="O24" i="2157"/>
  <c r="AD24" i="2157" s="1"/>
  <c r="O6" i="2157"/>
  <c r="O15" i="2157"/>
  <c r="O23" i="2157"/>
  <c r="AD24" i="2156"/>
  <c r="AD14" i="2156"/>
  <c r="AD22" i="2156"/>
  <c r="AD25" i="2156"/>
  <c r="AD23" i="2156"/>
  <c r="AD28" i="2156"/>
  <c r="AD12" i="2156"/>
  <c r="Q30" i="2156"/>
  <c r="P6" i="2156"/>
  <c r="AC6" i="2156" s="1"/>
  <c r="AD6" i="2156" s="1"/>
  <c r="AD9" i="2156"/>
  <c r="AD17" i="2156"/>
  <c r="AD8" i="2156"/>
  <c r="AD20" i="2156"/>
  <c r="AD7" i="2156"/>
  <c r="AD13" i="2156"/>
  <c r="M10" i="2156"/>
  <c r="AB10" i="2156"/>
  <c r="AD10" i="2156" s="1"/>
  <c r="O11" i="2156"/>
  <c r="O18" i="2156"/>
  <c r="M21" i="2156"/>
  <c r="AB21" i="2156"/>
  <c r="AD21" i="2156" s="1"/>
  <c r="L30" i="2156"/>
  <c r="O30" i="2156" s="1"/>
  <c r="M7" i="2156"/>
  <c r="K30" i="2156"/>
  <c r="P11" i="2156"/>
  <c r="AC11" i="2156" s="1"/>
  <c r="M13" i="2156"/>
  <c r="P18" i="2156"/>
  <c r="AC18" i="2156" s="1"/>
  <c r="AD18" i="2156" s="1"/>
  <c r="M20" i="2156"/>
  <c r="M11" i="2156"/>
  <c r="M18" i="2156"/>
  <c r="AD14" i="2155"/>
  <c r="Y11" i="16" s="1"/>
  <c r="K22" i="2155"/>
  <c r="K21" i="2155"/>
  <c r="K20" i="2155"/>
  <c r="K19" i="2155"/>
  <c r="K17" i="2155"/>
  <c r="K16" i="2155"/>
  <c r="K13" i="2155"/>
  <c r="K12" i="2155"/>
  <c r="K10" i="2155"/>
  <c r="K9" i="2155"/>
  <c r="K8" i="2155"/>
  <c r="K6" i="2155"/>
  <c r="A86" i="2155"/>
  <c r="A87" i="2155" s="1"/>
  <c r="A88" i="2155" s="1"/>
  <c r="A89" i="2155" s="1"/>
  <c r="A90" i="2155" s="1"/>
  <c r="A91" i="2155" s="1"/>
  <c r="AF70" i="2155"/>
  <c r="AF69" i="2155"/>
  <c r="AA31" i="2155"/>
  <c r="Z31" i="2155"/>
  <c r="Y31" i="2155"/>
  <c r="X31" i="2155"/>
  <c r="W31" i="2155"/>
  <c r="V31" i="2155"/>
  <c r="U31" i="2155"/>
  <c r="T31" i="2155"/>
  <c r="S31" i="2155"/>
  <c r="R31" i="2155"/>
  <c r="N31" i="2155"/>
  <c r="J31" i="2155"/>
  <c r="I31" i="2155"/>
  <c r="AF30" i="2155"/>
  <c r="AB30" i="2155"/>
  <c r="Q30" i="2155"/>
  <c r="P30" i="2155"/>
  <c r="AC30" i="2155" s="1"/>
  <c r="O30" i="2155"/>
  <c r="M30" i="2155"/>
  <c r="K30" i="2155"/>
  <c r="AF29" i="2155"/>
  <c r="AB29" i="2155"/>
  <c r="Q29" i="2155"/>
  <c r="P29" i="2155"/>
  <c r="AC29" i="2155" s="1"/>
  <c r="O29" i="2155"/>
  <c r="M29" i="2155"/>
  <c r="K29" i="2155"/>
  <c r="AF28" i="2155"/>
  <c r="AB28" i="2155"/>
  <c r="Q28" i="2155"/>
  <c r="P28" i="2155"/>
  <c r="AC28" i="2155" s="1"/>
  <c r="O28" i="2155"/>
  <c r="M28" i="2155"/>
  <c r="K28" i="2155"/>
  <c r="AF27" i="2155"/>
  <c r="AB27" i="2155"/>
  <c r="Q27" i="2155"/>
  <c r="P27" i="2155"/>
  <c r="AC27" i="2155" s="1"/>
  <c r="O27" i="2155"/>
  <c r="M27" i="2155"/>
  <c r="K27" i="2155"/>
  <c r="AF26" i="2155"/>
  <c r="AB26" i="2155"/>
  <c r="Q26" i="2155"/>
  <c r="P26" i="2155"/>
  <c r="AC26" i="2155" s="1"/>
  <c r="O26" i="2155"/>
  <c r="M26" i="2155"/>
  <c r="K26" i="2155"/>
  <c r="AF25" i="2155"/>
  <c r="AB25" i="2155"/>
  <c r="Q25" i="2155"/>
  <c r="P25" i="2155"/>
  <c r="AC25" i="2155" s="1"/>
  <c r="O25" i="2155"/>
  <c r="M25" i="2155"/>
  <c r="K25" i="2155"/>
  <c r="AF24" i="2155"/>
  <c r="AB24" i="2155"/>
  <c r="Q24" i="2155"/>
  <c r="P24" i="2155"/>
  <c r="AC24" i="2155" s="1"/>
  <c r="O24" i="2155"/>
  <c r="M24" i="2155"/>
  <c r="K24" i="2155"/>
  <c r="AF23" i="2155"/>
  <c r="AB23" i="2155"/>
  <c r="Q23" i="2155"/>
  <c r="P23" i="2155"/>
  <c r="AC23" i="2155" s="1"/>
  <c r="O23" i="2155"/>
  <c r="M23" i="2155"/>
  <c r="K23" i="2155"/>
  <c r="AF22" i="2155"/>
  <c r="AB22" i="2155"/>
  <c r="Q22" i="2155"/>
  <c r="M22" i="2155"/>
  <c r="P22" i="2155"/>
  <c r="AC22" i="2155" s="1"/>
  <c r="AF21" i="2155"/>
  <c r="Q21" i="2155"/>
  <c r="P21" i="2155"/>
  <c r="AC21" i="2155" s="1"/>
  <c r="AF20" i="2155"/>
  <c r="Q20" i="2155"/>
  <c r="P20" i="2155" s="1"/>
  <c r="AC20" i="2155" s="1"/>
  <c r="O20" i="2155"/>
  <c r="AF19" i="2155"/>
  <c r="Q19" i="2155"/>
  <c r="O19" i="2155"/>
  <c r="AB19" i="2155"/>
  <c r="AF18" i="2155"/>
  <c r="AB18" i="2155"/>
  <c r="Q18" i="2155"/>
  <c r="P18" i="2155"/>
  <c r="AC18" i="2155" s="1"/>
  <c r="O18" i="2155"/>
  <c r="M18" i="2155"/>
  <c r="K18" i="2155"/>
  <c r="AF17" i="2155"/>
  <c r="Q17" i="2155"/>
  <c r="P17" i="2155"/>
  <c r="AC17" i="2155" s="1"/>
  <c r="O17" i="2155"/>
  <c r="AF16" i="2155"/>
  <c r="Q16" i="2155"/>
  <c r="O16" i="2155"/>
  <c r="AB16" i="2155"/>
  <c r="AF15" i="2155"/>
  <c r="AB15" i="2155"/>
  <c r="Q15" i="2155"/>
  <c r="P15" i="2155" s="1"/>
  <c r="AC15" i="2155" s="1"/>
  <c r="O15" i="2155"/>
  <c r="M15" i="2155"/>
  <c r="K15" i="2155"/>
  <c r="AF13" i="2155"/>
  <c r="Q13" i="2155"/>
  <c r="P13" i="2155" s="1"/>
  <c r="AC13" i="2155" s="1"/>
  <c r="O13" i="2155"/>
  <c r="AF12" i="2155"/>
  <c r="Q12" i="2155"/>
  <c r="O12" i="2155"/>
  <c r="AB12" i="2155"/>
  <c r="AF11" i="2155"/>
  <c r="Q11" i="2155"/>
  <c r="P11" i="2155" s="1"/>
  <c r="AC11" i="2155" s="1"/>
  <c r="M11" i="2155"/>
  <c r="O11" i="2155"/>
  <c r="AF10" i="2155"/>
  <c r="Q10" i="2155"/>
  <c r="O10" i="2155"/>
  <c r="AB10" i="2155"/>
  <c r="AF9" i="2155"/>
  <c r="AB9" i="2155"/>
  <c r="Q9" i="2155"/>
  <c r="P9" i="2155" s="1"/>
  <c r="AC9" i="2155" s="1"/>
  <c r="M9" i="2155"/>
  <c r="O9" i="2155"/>
  <c r="AF8" i="2155"/>
  <c r="AB8" i="2155"/>
  <c r="Q8" i="2155"/>
  <c r="P8" i="2155" s="1"/>
  <c r="AC8" i="2155" s="1"/>
  <c r="O8" i="2155"/>
  <c r="M8" i="2155"/>
  <c r="AF7" i="2155"/>
  <c r="Q7" i="2155"/>
  <c r="P7" i="2155" s="1"/>
  <c r="AC7" i="2155" s="1"/>
  <c r="AF6" i="2155"/>
  <c r="Q6" i="2155"/>
  <c r="P6" i="2155"/>
  <c r="AC6" i="2155" s="1"/>
  <c r="M6" i="2155"/>
  <c r="O6" i="2155"/>
  <c r="X16" i="16"/>
  <c r="X27" i="16"/>
  <c r="X26" i="16"/>
  <c r="X25" i="16"/>
  <c r="X24" i="16"/>
  <c r="X23" i="16"/>
  <c r="X22" i="16"/>
  <c r="X21" i="16"/>
  <c r="X20" i="16"/>
  <c r="X19" i="16"/>
  <c r="X18" i="16"/>
  <c r="X17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AD34" i="2154"/>
  <c r="L25" i="2154"/>
  <c r="L24" i="2154"/>
  <c r="L23" i="2154"/>
  <c r="K23" i="2154"/>
  <c r="AF21" i="2154"/>
  <c r="AB21" i="2154"/>
  <c r="Q21" i="2154"/>
  <c r="P21" i="2154" s="1"/>
  <c r="AC21" i="2154" s="1"/>
  <c r="AD21" i="2154" s="1"/>
  <c r="O21" i="2154"/>
  <c r="M21" i="2154"/>
  <c r="K21" i="2154"/>
  <c r="K22" i="2154"/>
  <c r="L20" i="2154"/>
  <c r="L18" i="2154"/>
  <c r="L17" i="2154"/>
  <c r="L15" i="2154"/>
  <c r="K15" i="2154"/>
  <c r="L14" i="2154"/>
  <c r="K14" i="2154"/>
  <c r="AD31" i="2159" l="1"/>
  <c r="AE30" i="2159" s="1"/>
  <c r="AC31" i="2158"/>
  <c r="AD6" i="2158"/>
  <c r="AD31" i="2158" s="1"/>
  <c r="P33" i="2157"/>
  <c r="AD7" i="2157"/>
  <c r="AD15" i="2157"/>
  <c r="AD23" i="2157"/>
  <c r="AB33" i="2157"/>
  <c r="K33" i="2157"/>
  <c r="M33" i="2157"/>
  <c r="AD6" i="2157"/>
  <c r="AC33" i="2157"/>
  <c r="AB30" i="2156"/>
  <c r="M30" i="2156"/>
  <c r="AC30" i="2156"/>
  <c r="P30" i="2156"/>
  <c r="AD11" i="2156"/>
  <c r="AD30" i="2156" s="1"/>
  <c r="AD8" i="2155"/>
  <c r="AF72" i="2155"/>
  <c r="AD23" i="2155"/>
  <c r="AD27" i="2155"/>
  <c r="AD25" i="2155"/>
  <c r="AD29" i="2155"/>
  <c r="AD26" i="2155"/>
  <c r="AD30" i="2155"/>
  <c r="AD15" i="2155"/>
  <c r="AD24" i="2155"/>
  <c r="AD28" i="2155"/>
  <c r="Q31" i="2155"/>
  <c r="AD9" i="2155"/>
  <c r="AD18" i="2155"/>
  <c r="L31" i="2155"/>
  <c r="O31" i="2155" s="1"/>
  <c r="M7" i="2155"/>
  <c r="AB7" i="2155"/>
  <c r="P10" i="2155"/>
  <c r="AC10" i="2155" s="1"/>
  <c r="AD10" i="2155" s="1"/>
  <c r="P12" i="2155"/>
  <c r="AC12" i="2155" s="1"/>
  <c r="AD12" i="2155" s="1"/>
  <c r="P16" i="2155"/>
  <c r="AC16" i="2155" s="1"/>
  <c r="AD16" i="2155" s="1"/>
  <c r="P19" i="2155"/>
  <c r="AC19" i="2155" s="1"/>
  <c r="AD19" i="2155" s="1"/>
  <c r="M21" i="2155"/>
  <c r="AB21" i="2155"/>
  <c r="O22" i="2155"/>
  <c r="AD22" i="2155" s="1"/>
  <c r="AB6" i="2155"/>
  <c r="O7" i="2155"/>
  <c r="AB11" i="2155"/>
  <c r="AD11" i="2155" s="1"/>
  <c r="M13" i="2155"/>
  <c r="AB13" i="2155"/>
  <c r="AD13" i="2155" s="1"/>
  <c r="M17" i="2155"/>
  <c r="AB17" i="2155"/>
  <c r="AD17" i="2155" s="1"/>
  <c r="M20" i="2155"/>
  <c r="AB20" i="2155"/>
  <c r="AD20" i="2155" s="1"/>
  <c r="O21" i="2155"/>
  <c r="K31" i="2155"/>
  <c r="M10" i="2155"/>
  <c r="M12" i="2155"/>
  <c r="M16" i="2155"/>
  <c r="M19" i="2155"/>
  <c r="AE8" i="2159" l="1"/>
  <c r="AE12" i="2159"/>
  <c r="AE23" i="2159"/>
  <c r="AE14" i="2159"/>
  <c r="AE22" i="2159"/>
  <c r="AE15" i="2159"/>
  <c r="AE9" i="2159"/>
  <c r="AE18" i="2159"/>
  <c r="AE13" i="2159"/>
  <c r="AE25" i="2159"/>
  <c r="AE17" i="2159"/>
  <c r="AE24" i="2159"/>
  <c r="AE11" i="2159"/>
  <c r="AE27" i="2159"/>
  <c r="AE7" i="2159"/>
  <c r="AE20" i="2159"/>
  <c r="AE16" i="2159"/>
  <c r="AE26" i="2159"/>
  <c r="AE21" i="2159"/>
  <c r="AE29" i="2159"/>
  <c r="AE10" i="2159"/>
  <c r="AE6" i="2159"/>
  <c r="AE19" i="2159"/>
  <c r="AE28" i="2159"/>
  <c r="AE30" i="2158"/>
  <c r="AE28" i="2158"/>
  <c r="AE26" i="2158"/>
  <c r="AE24" i="2158"/>
  <c r="AE22" i="2158"/>
  <c r="AE18" i="2158"/>
  <c r="AE14" i="2158"/>
  <c r="AE10" i="2158"/>
  <c r="AE8" i="2158"/>
  <c r="AE19" i="2158"/>
  <c r="AE16" i="2158"/>
  <c r="AE11" i="2158"/>
  <c r="AE6" i="2158"/>
  <c r="AE21" i="2158"/>
  <c r="AE13" i="2158"/>
  <c r="AE29" i="2158"/>
  <c r="AE27" i="2158"/>
  <c r="AE25" i="2158"/>
  <c r="AE23" i="2158"/>
  <c r="AE20" i="2158"/>
  <c r="AE17" i="2158"/>
  <c r="AE15" i="2158"/>
  <c r="AE12" i="2158"/>
  <c r="AE9" i="2158"/>
  <c r="AE7" i="2158"/>
  <c r="AD33" i="2157"/>
  <c r="AE29" i="2156"/>
  <c r="AE27" i="2156"/>
  <c r="AE25" i="2156"/>
  <c r="AE23" i="2156"/>
  <c r="AE21" i="2156"/>
  <c r="AE17" i="2156"/>
  <c r="AE10" i="2156"/>
  <c r="AE8" i="2156"/>
  <c r="AE18" i="2156"/>
  <c r="AE15" i="2156"/>
  <c r="AE11" i="2156"/>
  <c r="AE28" i="2156"/>
  <c r="AE26" i="2156"/>
  <c r="AE24" i="2156"/>
  <c r="AE22" i="2156"/>
  <c r="AE19" i="2156"/>
  <c r="AE16" i="2156"/>
  <c r="AE12" i="2156"/>
  <c r="AE6" i="2156"/>
  <c r="AE20" i="2156"/>
  <c r="AE14" i="2156"/>
  <c r="AE13" i="2156"/>
  <c r="AE9" i="2156"/>
  <c r="AE7" i="2156"/>
  <c r="M31" i="2155"/>
  <c r="AD7" i="2155"/>
  <c r="AD21" i="2155"/>
  <c r="AB31" i="2155"/>
  <c r="AD6" i="2155"/>
  <c r="AD31" i="2155" s="1"/>
  <c r="AE14" i="2155" s="1"/>
  <c r="P31" i="2155"/>
  <c r="AC31" i="2155"/>
  <c r="AE32" i="2157" l="1"/>
  <c r="AE18" i="2157"/>
  <c r="AE21" i="2157"/>
  <c r="AE22" i="2157"/>
  <c r="AE8" i="2157"/>
  <c r="AE23" i="2157"/>
  <c r="AE24" i="2157"/>
  <c r="AE25" i="2157"/>
  <c r="AE7" i="2157"/>
  <c r="AE15" i="2157"/>
  <c r="AE31" i="2157"/>
  <c r="AE20" i="2157"/>
  <c r="AE30" i="2157"/>
  <c r="AE9" i="2157"/>
  <c r="AE10" i="2157"/>
  <c r="AE6" i="2157"/>
  <c r="AE14" i="2157"/>
  <c r="AE27" i="2157"/>
  <c r="AE13" i="2157"/>
  <c r="AE12" i="2157"/>
  <c r="AE26" i="2157"/>
  <c r="AE11" i="2157"/>
  <c r="AE19" i="2157"/>
  <c r="AE29" i="2157"/>
  <c r="AE17" i="2157"/>
  <c r="AE16" i="2157"/>
  <c r="AE28" i="2157"/>
  <c r="AE30" i="2155"/>
  <c r="AE28" i="2155"/>
  <c r="AE26" i="2155"/>
  <c r="AE24" i="2155"/>
  <c r="AE22" i="2155"/>
  <c r="AE18" i="2155"/>
  <c r="AE15" i="2155"/>
  <c r="AE9" i="2155"/>
  <c r="AE19" i="2155"/>
  <c r="AE16" i="2155"/>
  <c r="AE12" i="2155"/>
  <c r="AE10" i="2155"/>
  <c r="AE21" i="2155"/>
  <c r="AE7" i="2155"/>
  <c r="AE29" i="2155"/>
  <c r="AE27" i="2155"/>
  <c r="AE25" i="2155"/>
  <c r="AE23" i="2155"/>
  <c r="AE20" i="2155"/>
  <c r="AE17" i="2155"/>
  <c r="AE13" i="2155"/>
  <c r="AE11" i="2155"/>
  <c r="AE6" i="2155"/>
  <c r="AE8" i="2155"/>
  <c r="AF12" i="2154" l="1"/>
  <c r="Q12" i="2154"/>
  <c r="L12" i="2154"/>
  <c r="P12" i="2154" s="1"/>
  <c r="AC12" i="2154" s="1"/>
  <c r="O13" i="2154"/>
  <c r="L11" i="2154"/>
  <c r="L10" i="2154"/>
  <c r="AB10" i="2154" s="1"/>
  <c r="AF9" i="2154"/>
  <c r="AB9" i="2154"/>
  <c r="Q9" i="2154"/>
  <c r="P9" i="2154" s="1"/>
  <c r="AC9" i="2154" s="1"/>
  <c r="O9" i="2154"/>
  <c r="M9" i="2154"/>
  <c r="K9" i="2154"/>
  <c r="K8" i="2154"/>
  <c r="L7" i="2154"/>
  <c r="AB7" i="2154" s="1"/>
  <c r="L6" i="2154"/>
  <c r="AB6" i="2154" s="1"/>
  <c r="K25" i="2154"/>
  <c r="K24" i="2154"/>
  <c r="K20" i="2154"/>
  <c r="K19" i="2154"/>
  <c r="K18" i="2154"/>
  <c r="K17" i="2154"/>
  <c r="K11" i="2154"/>
  <c r="A89" i="2154"/>
  <c r="A90" i="2154" s="1"/>
  <c r="A91" i="2154" s="1"/>
  <c r="A92" i="2154" s="1"/>
  <c r="A93" i="2154" s="1"/>
  <c r="A94" i="2154" s="1"/>
  <c r="AF73" i="2154"/>
  <c r="AF72" i="2154"/>
  <c r="AF75" i="2154" s="1"/>
  <c r="AA34" i="2154"/>
  <c r="Z34" i="2154"/>
  <c r="Y34" i="2154"/>
  <c r="X34" i="2154"/>
  <c r="W34" i="2154"/>
  <c r="V34" i="2154"/>
  <c r="U34" i="2154"/>
  <c r="T34" i="2154"/>
  <c r="S34" i="2154"/>
  <c r="R34" i="2154"/>
  <c r="N34" i="2154"/>
  <c r="J34" i="2154"/>
  <c r="I34" i="2154"/>
  <c r="AF33" i="2154"/>
  <c r="AB33" i="2154"/>
  <c r="Q33" i="2154"/>
  <c r="P33" i="2154"/>
  <c r="AC33" i="2154" s="1"/>
  <c r="AD33" i="2154" s="1"/>
  <c r="O33" i="2154"/>
  <c r="M33" i="2154"/>
  <c r="K33" i="2154"/>
  <c r="AF32" i="2154"/>
  <c r="AB32" i="2154"/>
  <c r="Q32" i="2154"/>
  <c r="P32" i="2154"/>
  <c r="AC32" i="2154" s="1"/>
  <c r="O32" i="2154"/>
  <c r="M32" i="2154"/>
  <c r="K32" i="2154"/>
  <c r="AF31" i="2154"/>
  <c r="AB31" i="2154"/>
  <c r="Q31" i="2154"/>
  <c r="P31" i="2154"/>
  <c r="AC31" i="2154" s="1"/>
  <c r="O31" i="2154"/>
  <c r="M31" i="2154"/>
  <c r="K31" i="2154"/>
  <c r="AF30" i="2154"/>
  <c r="AB30" i="2154"/>
  <c r="Q30" i="2154"/>
  <c r="P30" i="2154"/>
  <c r="AC30" i="2154" s="1"/>
  <c r="O30" i="2154"/>
  <c r="M30" i="2154"/>
  <c r="K30" i="2154"/>
  <c r="AF29" i="2154"/>
  <c r="AB29" i="2154"/>
  <c r="Q29" i="2154"/>
  <c r="P29" i="2154"/>
  <c r="AC29" i="2154" s="1"/>
  <c r="AD29" i="2154" s="1"/>
  <c r="O29" i="2154"/>
  <c r="M29" i="2154"/>
  <c r="K29" i="2154"/>
  <c r="AF28" i="2154"/>
  <c r="AB28" i="2154"/>
  <c r="Q28" i="2154"/>
  <c r="P28" i="2154"/>
  <c r="AC28" i="2154" s="1"/>
  <c r="AD28" i="2154" s="1"/>
  <c r="O28" i="2154"/>
  <c r="M28" i="2154"/>
  <c r="K28" i="2154"/>
  <c r="AF27" i="2154"/>
  <c r="AB27" i="2154"/>
  <c r="Q27" i="2154"/>
  <c r="P27" i="2154"/>
  <c r="AC27" i="2154" s="1"/>
  <c r="O27" i="2154"/>
  <c r="M27" i="2154"/>
  <c r="K27" i="2154"/>
  <c r="AF26" i="2154"/>
  <c r="AB26" i="2154"/>
  <c r="Q26" i="2154"/>
  <c r="P26" i="2154"/>
  <c r="AC26" i="2154" s="1"/>
  <c r="O26" i="2154"/>
  <c r="M26" i="2154"/>
  <c r="K26" i="2154"/>
  <c r="AF25" i="2154"/>
  <c r="Q25" i="2154"/>
  <c r="P25" i="2154" s="1"/>
  <c r="AC25" i="2154" s="1"/>
  <c r="O25" i="2154"/>
  <c r="AB25" i="2154"/>
  <c r="AF24" i="2154"/>
  <c r="AB24" i="2154"/>
  <c r="Q24" i="2154"/>
  <c r="P24" i="2154"/>
  <c r="AC24" i="2154" s="1"/>
  <c r="O24" i="2154"/>
  <c r="M24" i="2154"/>
  <c r="AF23" i="2154"/>
  <c r="Q23" i="2154"/>
  <c r="O23" i="2154"/>
  <c r="AF22" i="2154"/>
  <c r="AB22" i="2154"/>
  <c r="Q22" i="2154"/>
  <c r="P22" i="2154" s="1"/>
  <c r="AC22" i="2154" s="1"/>
  <c r="O22" i="2154"/>
  <c r="M22" i="2154"/>
  <c r="AF20" i="2154"/>
  <c r="AB20" i="2154"/>
  <c r="Q20" i="2154"/>
  <c r="P20" i="2154" s="1"/>
  <c r="AC20" i="2154" s="1"/>
  <c r="O20" i="2154"/>
  <c r="M20" i="2154"/>
  <c r="AF19" i="2154"/>
  <c r="AB19" i="2154"/>
  <c r="Q19" i="2154"/>
  <c r="P19" i="2154" s="1"/>
  <c r="AC19" i="2154" s="1"/>
  <c r="O19" i="2154"/>
  <c r="M19" i="2154"/>
  <c r="AF18" i="2154"/>
  <c r="Q18" i="2154"/>
  <c r="P18" i="2154" s="1"/>
  <c r="AC18" i="2154" s="1"/>
  <c r="O18" i="2154"/>
  <c r="AB18" i="2154"/>
  <c r="AF17" i="2154"/>
  <c r="AB17" i="2154"/>
  <c r="Q17" i="2154"/>
  <c r="P17" i="2154" s="1"/>
  <c r="AC17" i="2154" s="1"/>
  <c r="O17" i="2154"/>
  <c r="M17" i="2154"/>
  <c r="AF16" i="2154"/>
  <c r="AB16" i="2154"/>
  <c r="Q16" i="2154"/>
  <c r="P16" i="2154"/>
  <c r="AC16" i="2154" s="1"/>
  <c r="O16" i="2154"/>
  <c r="M16" i="2154"/>
  <c r="K16" i="2154"/>
  <c r="AF15" i="2154"/>
  <c r="Q15" i="2154"/>
  <c r="P15" i="2154" s="1"/>
  <c r="AC15" i="2154" s="1"/>
  <c r="O15" i="2154"/>
  <c r="AB15" i="2154"/>
  <c r="AF14" i="2154"/>
  <c r="AB14" i="2154"/>
  <c r="Q14" i="2154"/>
  <c r="P14" i="2154" s="1"/>
  <c r="AC14" i="2154" s="1"/>
  <c r="O14" i="2154"/>
  <c r="M14" i="2154"/>
  <c r="AF13" i="2154"/>
  <c r="Q13" i="2154"/>
  <c r="AF11" i="2154"/>
  <c r="Q11" i="2154"/>
  <c r="P11" i="2154" s="1"/>
  <c r="AC11" i="2154" s="1"/>
  <c r="AB11" i="2154"/>
  <c r="AF10" i="2154"/>
  <c r="Q10" i="2154"/>
  <c r="P10" i="2154" s="1"/>
  <c r="AC10" i="2154" s="1"/>
  <c r="O10" i="2154"/>
  <c r="AF8" i="2154"/>
  <c r="AB8" i="2154"/>
  <c r="Q8" i="2154"/>
  <c r="P8" i="2154" s="1"/>
  <c r="AC8" i="2154" s="1"/>
  <c r="O8" i="2154"/>
  <c r="M8" i="2154"/>
  <c r="AF7" i="2154"/>
  <c r="Q7" i="2154"/>
  <c r="P7" i="2154" s="1"/>
  <c r="AC7" i="2154" s="1"/>
  <c r="O7" i="2154"/>
  <c r="M7" i="2154"/>
  <c r="K7" i="2154"/>
  <c r="AF6" i="2154"/>
  <c r="Q6" i="2154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L22" i="2153"/>
  <c r="O22" i="2153" s="1"/>
  <c r="L21" i="2153"/>
  <c r="K21" i="2153" s="1"/>
  <c r="L20" i="2153"/>
  <c r="K20" i="2153" s="1"/>
  <c r="K19" i="2153"/>
  <c r="L18" i="2153"/>
  <c r="K17" i="2153"/>
  <c r="L16" i="2153"/>
  <c r="L15" i="2153"/>
  <c r="P15" i="2153" s="1"/>
  <c r="AC15" i="2153" s="1"/>
  <c r="L13" i="2153"/>
  <c r="K13" i="2153"/>
  <c r="L12" i="2153"/>
  <c r="L11" i="2153"/>
  <c r="K11" i="2153" s="1"/>
  <c r="L10" i="2153"/>
  <c r="K10" i="2153" s="1"/>
  <c r="L9" i="2153"/>
  <c r="K9" i="2153" s="1"/>
  <c r="K8" i="2153"/>
  <c r="L6" i="2153"/>
  <c r="K29" i="2153"/>
  <c r="K28" i="2153"/>
  <c r="K27" i="2153"/>
  <c r="K26" i="2153"/>
  <c r="K18" i="2153"/>
  <c r="K16" i="2153"/>
  <c r="K14" i="2153"/>
  <c r="K12" i="2153"/>
  <c r="K6" i="2153"/>
  <c r="A86" i="2153"/>
  <c r="A87" i="2153" s="1"/>
  <c r="A88" i="2153" s="1"/>
  <c r="A89" i="2153" s="1"/>
  <c r="A90" i="2153" s="1"/>
  <c r="A91" i="2153" s="1"/>
  <c r="AF70" i="2153"/>
  <c r="AF72" i="2153" s="1"/>
  <c r="AF69" i="2153"/>
  <c r="AA31" i="2153"/>
  <c r="Z31" i="2153"/>
  <c r="Y31" i="2153"/>
  <c r="X31" i="2153"/>
  <c r="W31" i="2153"/>
  <c r="V31" i="2153"/>
  <c r="U31" i="2153"/>
  <c r="T31" i="2153"/>
  <c r="S31" i="2153"/>
  <c r="R31" i="2153"/>
  <c r="N31" i="2153"/>
  <c r="J31" i="2153"/>
  <c r="I31" i="2153"/>
  <c r="AF30" i="2153"/>
  <c r="AC30" i="2153"/>
  <c r="AD30" i="2153" s="1"/>
  <c r="AB30" i="2153"/>
  <c r="Q30" i="2153"/>
  <c r="P30" i="2153"/>
  <c r="O30" i="2153"/>
  <c r="M30" i="2153"/>
  <c r="K30" i="2153"/>
  <c r="AF29" i="2153"/>
  <c r="Q29" i="2153"/>
  <c r="P29" i="2153"/>
  <c r="AC29" i="2153" s="1"/>
  <c r="O29" i="2153"/>
  <c r="AF28" i="2153"/>
  <c r="AC28" i="2153"/>
  <c r="Q28" i="2153"/>
  <c r="P28" i="2153"/>
  <c r="O28" i="2153"/>
  <c r="AB28" i="2153"/>
  <c r="AF27" i="2153"/>
  <c r="AB27" i="2153"/>
  <c r="Q27" i="2153"/>
  <c r="P27" i="2153"/>
  <c r="AC27" i="2153" s="1"/>
  <c r="AD27" i="2153" s="1"/>
  <c r="O27" i="2153"/>
  <c r="M27" i="2153"/>
  <c r="AF26" i="2153"/>
  <c r="Q26" i="2153"/>
  <c r="P26" i="2153"/>
  <c r="AC26" i="2153" s="1"/>
  <c r="AF25" i="2153"/>
  <c r="AB25" i="2153"/>
  <c r="Q25" i="2153"/>
  <c r="P25" i="2153"/>
  <c r="AC25" i="2153" s="1"/>
  <c r="O25" i="2153"/>
  <c r="M25" i="2153"/>
  <c r="K25" i="2153"/>
  <c r="AF24" i="2153"/>
  <c r="AB24" i="2153"/>
  <c r="Q24" i="2153"/>
  <c r="P24" i="2153"/>
  <c r="AC24" i="2153" s="1"/>
  <c r="AD24" i="2153" s="1"/>
  <c r="O24" i="2153"/>
  <c r="M24" i="2153"/>
  <c r="K24" i="2153"/>
  <c r="AF23" i="2153"/>
  <c r="AB23" i="2153"/>
  <c r="Q23" i="2153"/>
  <c r="P23" i="2153"/>
  <c r="AC23" i="2153" s="1"/>
  <c r="AD23" i="2153" s="1"/>
  <c r="O23" i="2153"/>
  <c r="M23" i="2153"/>
  <c r="K23" i="2153"/>
  <c r="AF22" i="2153"/>
  <c r="Q22" i="2153"/>
  <c r="P22" i="2153" s="1"/>
  <c r="AC22" i="2153" s="1"/>
  <c r="AF21" i="2153"/>
  <c r="Q21" i="2153"/>
  <c r="P21" i="2153" s="1"/>
  <c r="AC21" i="2153" s="1"/>
  <c r="O21" i="2153"/>
  <c r="AF20" i="2153"/>
  <c r="Q20" i="2153"/>
  <c r="P20" i="2153" s="1"/>
  <c r="AC20" i="2153" s="1"/>
  <c r="O20" i="2153"/>
  <c r="AB20" i="2153"/>
  <c r="AF19" i="2153"/>
  <c r="AB19" i="2153"/>
  <c r="Q19" i="2153"/>
  <c r="P19" i="2153"/>
  <c r="AC19" i="2153" s="1"/>
  <c r="O19" i="2153"/>
  <c r="M19" i="2153"/>
  <c r="AF18" i="2153"/>
  <c r="Q18" i="2153"/>
  <c r="P18" i="2153"/>
  <c r="AC18" i="2153" s="1"/>
  <c r="O18" i="2153"/>
  <c r="AF17" i="2153"/>
  <c r="AB17" i="2153"/>
  <c r="Q17" i="2153"/>
  <c r="P17" i="2153" s="1"/>
  <c r="AC17" i="2153" s="1"/>
  <c r="AD17" i="2153" s="1"/>
  <c r="O17" i="2153"/>
  <c r="M17" i="2153"/>
  <c r="AF16" i="2153"/>
  <c r="Q16" i="2153"/>
  <c r="P16" i="2153" s="1"/>
  <c r="AC16" i="2153" s="1"/>
  <c r="AF15" i="2153"/>
  <c r="Q15" i="2153"/>
  <c r="AF14" i="2153"/>
  <c r="Q14" i="2153"/>
  <c r="P14" i="2153"/>
  <c r="AC14" i="2153" s="1"/>
  <c r="O14" i="2153"/>
  <c r="AB14" i="2153"/>
  <c r="AF13" i="2153"/>
  <c r="AB13" i="2153"/>
  <c r="Q13" i="2153"/>
  <c r="P13" i="2153" s="1"/>
  <c r="AC13" i="2153" s="1"/>
  <c r="O13" i="2153"/>
  <c r="M13" i="2153"/>
  <c r="AF12" i="2153"/>
  <c r="Q12" i="2153"/>
  <c r="P12" i="2153"/>
  <c r="AC12" i="2153" s="1"/>
  <c r="AF11" i="2153"/>
  <c r="Q11" i="2153"/>
  <c r="AF10" i="2153"/>
  <c r="Q10" i="2153"/>
  <c r="AB10" i="2153"/>
  <c r="AF9" i="2153"/>
  <c r="AB9" i="2153"/>
  <c r="Q9" i="2153"/>
  <c r="P9" i="2153"/>
  <c r="AC9" i="2153" s="1"/>
  <c r="AD9" i="2153" s="1"/>
  <c r="O9" i="2153"/>
  <c r="M9" i="2153"/>
  <c r="AF8" i="2153"/>
  <c r="Q8" i="2153"/>
  <c r="P8" i="2153"/>
  <c r="AC8" i="2153" s="1"/>
  <c r="AF7" i="2153"/>
  <c r="AB7" i="2153"/>
  <c r="Q7" i="2153"/>
  <c r="P7" i="2153"/>
  <c r="AC7" i="2153" s="1"/>
  <c r="AD7" i="2153" s="1"/>
  <c r="O7" i="2153"/>
  <c r="M7" i="2153"/>
  <c r="K7" i="2153"/>
  <c r="AF6" i="2153"/>
  <c r="AB6" i="2153"/>
  <c r="Q6" i="2153"/>
  <c r="P6" i="2153"/>
  <c r="AC6" i="2153" s="1"/>
  <c r="O6" i="2153"/>
  <c r="M6" i="2153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1" i="2152"/>
  <c r="L20" i="2152"/>
  <c r="M20" i="2152" s="1"/>
  <c r="AF20" i="2152"/>
  <c r="Q20" i="2152"/>
  <c r="P20" i="2152" s="1"/>
  <c r="AC20" i="2152" s="1"/>
  <c r="O20" i="2152"/>
  <c r="K20" i="2152"/>
  <c r="K19" i="2152"/>
  <c r="L18" i="2152"/>
  <c r="L16" i="2152"/>
  <c r="L15" i="2152"/>
  <c r="L14" i="2152"/>
  <c r="L13" i="2152"/>
  <c r="L12" i="2152"/>
  <c r="L11" i="2152"/>
  <c r="K11" i="2152" s="1"/>
  <c r="L10" i="2152"/>
  <c r="L9" i="2152"/>
  <c r="L8" i="2152"/>
  <c r="K8" i="2152" s="1"/>
  <c r="L6" i="2152"/>
  <c r="AB12" i="2154" l="1"/>
  <c r="M12" i="2154"/>
  <c r="O12" i="2154"/>
  <c r="AD12" i="2154"/>
  <c r="M6" i="2154"/>
  <c r="K6" i="2154"/>
  <c r="O6" i="2154"/>
  <c r="AD27" i="2154"/>
  <c r="AD31" i="2154"/>
  <c r="K12" i="2154"/>
  <c r="P6" i="2154"/>
  <c r="AC6" i="2154" s="1"/>
  <c r="AD14" i="2154"/>
  <c r="AD17" i="2154"/>
  <c r="AD26" i="2154"/>
  <c r="AD30" i="2154"/>
  <c r="K13" i="2154"/>
  <c r="L34" i="2154"/>
  <c r="O34" i="2154" s="1"/>
  <c r="K10" i="2154"/>
  <c r="AD9" i="2154"/>
  <c r="AD24" i="2154"/>
  <c r="AD32" i="2154"/>
  <c r="Q34" i="2154"/>
  <c r="AD6" i="2154"/>
  <c r="AD16" i="2154"/>
  <c r="AD8" i="2154"/>
  <c r="AD19" i="2154"/>
  <c r="AD20" i="2154"/>
  <c r="AD22" i="2154"/>
  <c r="AD7" i="2154"/>
  <c r="AD10" i="2154"/>
  <c r="AD15" i="2154"/>
  <c r="AD18" i="2154"/>
  <c r="AD25" i="2154"/>
  <c r="M10" i="2154"/>
  <c r="O11" i="2154"/>
  <c r="AD11" i="2154" s="1"/>
  <c r="P13" i="2154"/>
  <c r="AC13" i="2154" s="1"/>
  <c r="M15" i="2154"/>
  <c r="M18" i="2154"/>
  <c r="P23" i="2154"/>
  <c r="AC23" i="2154" s="1"/>
  <c r="M25" i="2154"/>
  <c r="M13" i="2154"/>
  <c r="AB13" i="2154"/>
  <c r="M23" i="2154"/>
  <c r="AB23" i="2154"/>
  <c r="M11" i="2154"/>
  <c r="K22" i="2153"/>
  <c r="M22" i="2153"/>
  <c r="AB22" i="2153"/>
  <c r="AD22" i="2153" s="1"/>
  <c r="AD19" i="2153"/>
  <c r="Q31" i="2153"/>
  <c r="O15" i="2153"/>
  <c r="K15" i="2153"/>
  <c r="AD13" i="2153"/>
  <c r="O11" i="2153"/>
  <c r="P11" i="2153"/>
  <c r="AC11" i="2153" s="1"/>
  <c r="O10" i="2153"/>
  <c r="P10" i="2153"/>
  <c r="AC10" i="2153" s="1"/>
  <c r="AD10" i="2153" s="1"/>
  <c r="AD25" i="2153"/>
  <c r="AD28" i="2153"/>
  <c r="AD29" i="2153"/>
  <c r="AD14" i="2153"/>
  <c r="AD20" i="2153"/>
  <c r="L31" i="2153"/>
  <c r="O31" i="2153" s="1"/>
  <c r="AB8" i="2153"/>
  <c r="AB12" i="2153"/>
  <c r="M16" i="2153"/>
  <c r="AD6" i="2153"/>
  <c r="O8" i="2153"/>
  <c r="M11" i="2153"/>
  <c r="AB11" i="2153"/>
  <c r="AD11" i="2153" s="1"/>
  <c r="O12" i="2153"/>
  <c r="M15" i="2153"/>
  <c r="AB15" i="2153"/>
  <c r="AD15" i="2153" s="1"/>
  <c r="O16" i="2153"/>
  <c r="M18" i="2153"/>
  <c r="AB18" i="2153"/>
  <c r="AD18" i="2153" s="1"/>
  <c r="M21" i="2153"/>
  <c r="AB21" i="2153"/>
  <c r="AD21" i="2153" s="1"/>
  <c r="O26" i="2153"/>
  <c r="M29" i="2153"/>
  <c r="AB29" i="2153"/>
  <c r="M8" i="2153"/>
  <c r="M12" i="2153"/>
  <c r="AB16" i="2153"/>
  <c r="M26" i="2153"/>
  <c r="AB26" i="2153"/>
  <c r="AD26" i="2153" s="1"/>
  <c r="K31" i="2153"/>
  <c r="M10" i="2153"/>
  <c r="M14" i="2153"/>
  <c r="M20" i="2153"/>
  <c r="M28" i="2153"/>
  <c r="AB20" i="2152"/>
  <c r="AD20" i="2152" s="1"/>
  <c r="K34" i="2154" l="1"/>
  <c r="AB34" i="2154"/>
  <c r="AD23" i="2154"/>
  <c r="M34" i="2154"/>
  <c r="AD13" i="2154"/>
  <c r="AC34" i="2154"/>
  <c r="P34" i="2154"/>
  <c r="AD16" i="2153"/>
  <c r="P31" i="2153"/>
  <c r="AC31" i="2153"/>
  <c r="AD12" i="2153"/>
  <c r="M31" i="2153"/>
  <c r="AD8" i="2153"/>
  <c r="AB31" i="2153"/>
  <c r="L26" i="2152"/>
  <c r="K26" i="2152" s="1"/>
  <c r="L29" i="2152"/>
  <c r="L28" i="2152"/>
  <c r="K28" i="2152" s="1"/>
  <c r="L27" i="2152"/>
  <c r="K22" i="2152"/>
  <c r="K21" i="2152"/>
  <c r="K18" i="2152"/>
  <c r="K16" i="2152"/>
  <c r="K15" i="2152"/>
  <c r="K14" i="2152"/>
  <c r="K13" i="2152"/>
  <c r="K12" i="2152"/>
  <c r="K9" i="2152"/>
  <c r="K6" i="2152"/>
  <c r="A86" i="2152"/>
  <c r="A87" i="2152" s="1"/>
  <c r="A88" i="2152" s="1"/>
  <c r="A89" i="2152" s="1"/>
  <c r="A90" i="2152" s="1"/>
  <c r="A91" i="2152" s="1"/>
  <c r="AF70" i="2152"/>
  <c r="AF69" i="2152"/>
  <c r="AF72" i="2152" s="1"/>
  <c r="AA31" i="2152"/>
  <c r="Z31" i="2152"/>
  <c r="Y31" i="2152"/>
  <c r="X31" i="2152"/>
  <c r="W31" i="2152"/>
  <c r="V31" i="2152"/>
  <c r="U31" i="2152"/>
  <c r="T31" i="2152"/>
  <c r="S31" i="2152"/>
  <c r="R31" i="2152"/>
  <c r="N31" i="2152"/>
  <c r="J31" i="2152"/>
  <c r="I31" i="2152"/>
  <c r="AF30" i="2152"/>
  <c r="AB30" i="2152"/>
  <c r="Q30" i="2152"/>
  <c r="P30" i="2152"/>
  <c r="AC30" i="2152" s="1"/>
  <c r="AD30" i="2152" s="1"/>
  <c r="O30" i="2152"/>
  <c r="M30" i="2152"/>
  <c r="K30" i="2152"/>
  <c r="AF29" i="2152"/>
  <c r="Q29" i="2152"/>
  <c r="AF28" i="2152"/>
  <c r="Q28" i="2152"/>
  <c r="O28" i="2152"/>
  <c r="AB28" i="2152"/>
  <c r="AF27" i="2152"/>
  <c r="AB27" i="2152"/>
  <c r="Q27" i="2152"/>
  <c r="M27" i="2152"/>
  <c r="AF26" i="2152"/>
  <c r="Q26" i="2152"/>
  <c r="P26" i="2152"/>
  <c r="AC26" i="2152" s="1"/>
  <c r="AF25" i="2152"/>
  <c r="AB25" i="2152"/>
  <c r="Q25" i="2152"/>
  <c r="P25" i="2152"/>
  <c r="AC25" i="2152" s="1"/>
  <c r="O25" i="2152"/>
  <c r="M25" i="2152"/>
  <c r="K25" i="2152"/>
  <c r="AF24" i="2152"/>
  <c r="AB24" i="2152"/>
  <c r="Q24" i="2152"/>
  <c r="P24" i="2152"/>
  <c r="AC24" i="2152" s="1"/>
  <c r="O24" i="2152"/>
  <c r="M24" i="2152"/>
  <c r="K24" i="2152"/>
  <c r="AF23" i="2152"/>
  <c r="AB23" i="2152"/>
  <c r="Q23" i="2152"/>
  <c r="P23" i="2152"/>
  <c r="AC23" i="2152" s="1"/>
  <c r="O23" i="2152"/>
  <c r="M23" i="2152"/>
  <c r="K23" i="2152"/>
  <c r="AF22" i="2152"/>
  <c r="AB22" i="2152"/>
  <c r="Q22" i="2152"/>
  <c r="P22" i="2152"/>
  <c r="AC22" i="2152" s="1"/>
  <c r="O22" i="2152"/>
  <c r="M22" i="2152"/>
  <c r="AF21" i="2152"/>
  <c r="Q21" i="2152"/>
  <c r="P21" i="2152"/>
  <c r="AC21" i="2152" s="1"/>
  <c r="AF19" i="2152"/>
  <c r="AB19" i="2152"/>
  <c r="Q19" i="2152"/>
  <c r="P19" i="2152" s="1"/>
  <c r="AC19" i="2152" s="1"/>
  <c r="O19" i="2152"/>
  <c r="M19" i="2152"/>
  <c r="AF18" i="2152"/>
  <c r="AB18" i="2152"/>
  <c r="Q18" i="2152"/>
  <c r="P18" i="2152" s="1"/>
  <c r="AC18" i="2152" s="1"/>
  <c r="M18" i="2152"/>
  <c r="O18" i="2152"/>
  <c r="AF17" i="2152"/>
  <c r="AB17" i="2152"/>
  <c r="Q17" i="2152"/>
  <c r="P17" i="2152"/>
  <c r="AC17" i="2152" s="1"/>
  <c r="AD17" i="2152" s="1"/>
  <c r="O17" i="2152"/>
  <c r="M17" i="2152"/>
  <c r="K17" i="2152"/>
  <c r="AF16" i="2152"/>
  <c r="Q16" i="2152"/>
  <c r="O16" i="2152"/>
  <c r="AB16" i="2152"/>
  <c r="AF15" i="2152"/>
  <c r="AB15" i="2152"/>
  <c r="Q15" i="2152"/>
  <c r="P15" i="2152"/>
  <c r="AC15" i="2152" s="1"/>
  <c r="M15" i="2152"/>
  <c r="O15" i="2152"/>
  <c r="AF14" i="2152"/>
  <c r="AB14" i="2152"/>
  <c r="Q14" i="2152"/>
  <c r="P14" i="2152" s="1"/>
  <c r="AC14" i="2152" s="1"/>
  <c r="O14" i="2152"/>
  <c r="M14" i="2152"/>
  <c r="AF13" i="2152"/>
  <c r="Q13" i="2152"/>
  <c r="O13" i="2152"/>
  <c r="AB13" i="2152"/>
  <c r="AF12" i="2152"/>
  <c r="AB12" i="2152"/>
  <c r="Q12" i="2152"/>
  <c r="P12" i="2152" s="1"/>
  <c r="AC12" i="2152" s="1"/>
  <c r="M12" i="2152"/>
  <c r="O12" i="2152"/>
  <c r="AF11" i="2152"/>
  <c r="Q11" i="2152"/>
  <c r="P11" i="2152" s="1"/>
  <c r="AC11" i="2152" s="1"/>
  <c r="AF10" i="2152"/>
  <c r="AB10" i="2152"/>
  <c r="Q10" i="2152"/>
  <c r="P10" i="2152" s="1"/>
  <c r="AC10" i="2152" s="1"/>
  <c r="O10" i="2152"/>
  <c r="M10" i="2152"/>
  <c r="K10" i="2152"/>
  <c r="AF9" i="2152"/>
  <c r="AB9" i="2152"/>
  <c r="Q9" i="2152"/>
  <c r="P9" i="2152"/>
  <c r="AC9" i="2152" s="1"/>
  <c r="M9" i="2152"/>
  <c r="O9" i="2152"/>
  <c r="AF8" i="2152"/>
  <c r="Q8" i="2152"/>
  <c r="P8" i="2152" s="1"/>
  <c r="AC8" i="2152" s="1"/>
  <c r="AF7" i="2152"/>
  <c r="AB7" i="2152"/>
  <c r="Q7" i="2152"/>
  <c r="P7" i="2152"/>
  <c r="AC7" i="2152" s="1"/>
  <c r="O7" i="2152"/>
  <c r="M7" i="2152"/>
  <c r="K7" i="2152"/>
  <c r="AF6" i="2152"/>
  <c r="AB6" i="2152"/>
  <c r="Q6" i="2152"/>
  <c r="P6" i="2152"/>
  <c r="AC6" i="2152" s="1"/>
  <c r="M6" i="2152"/>
  <c r="O6" i="2152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21" i="2151"/>
  <c r="O21" i="2151" s="1"/>
  <c r="L20" i="2151"/>
  <c r="K20" i="2151"/>
  <c r="L18" i="2151"/>
  <c r="K18" i="2151" s="1"/>
  <c r="L16" i="2151"/>
  <c r="L15" i="2151"/>
  <c r="K14" i="2151"/>
  <c r="L13" i="2151"/>
  <c r="AB13" i="2151" s="1"/>
  <c r="L12" i="2151"/>
  <c r="L11" i="2151"/>
  <c r="O11" i="2151" s="1"/>
  <c r="L9" i="2151"/>
  <c r="AB9" i="2151" s="1"/>
  <c r="L8" i="2151"/>
  <c r="K8" i="2151" s="1"/>
  <c r="L6" i="2151"/>
  <c r="L25" i="2151"/>
  <c r="O25" i="2151" s="1"/>
  <c r="L28" i="2151"/>
  <c r="O28" i="2151" s="1"/>
  <c r="L27" i="2151"/>
  <c r="K27" i="2151" s="1"/>
  <c r="L26" i="2151"/>
  <c r="K26" i="2151" s="1"/>
  <c r="K25" i="2151"/>
  <c r="K19" i="2151"/>
  <c r="K16" i="2151"/>
  <c r="K15" i="2151"/>
  <c r="K13" i="2151"/>
  <c r="K12" i="2151"/>
  <c r="K9" i="2151"/>
  <c r="A85" i="2151"/>
  <c r="A86" i="2151" s="1"/>
  <c r="A87" i="2151" s="1"/>
  <c r="A88" i="2151" s="1"/>
  <c r="A89" i="2151" s="1"/>
  <c r="A90" i="2151" s="1"/>
  <c r="AF69" i="2151"/>
  <c r="AF68" i="2151"/>
  <c r="AF71" i="2151" s="1"/>
  <c r="AA30" i="2151"/>
  <c r="Z30" i="2151"/>
  <c r="Y30" i="2151"/>
  <c r="X30" i="2151"/>
  <c r="W30" i="2151"/>
  <c r="V30" i="2151"/>
  <c r="U30" i="2151"/>
  <c r="T30" i="2151"/>
  <c r="S30" i="2151"/>
  <c r="R30" i="2151"/>
  <c r="N30" i="2151"/>
  <c r="J30" i="2151"/>
  <c r="I30" i="2151"/>
  <c r="AF29" i="2151"/>
  <c r="AB29" i="2151"/>
  <c r="Q29" i="2151"/>
  <c r="P29" i="2151"/>
  <c r="AC29" i="2151" s="1"/>
  <c r="O29" i="2151"/>
  <c r="M29" i="2151"/>
  <c r="K29" i="2151"/>
  <c r="AF28" i="2151"/>
  <c r="Q28" i="2151"/>
  <c r="M28" i="2151"/>
  <c r="AF27" i="2151"/>
  <c r="Q27" i="2151"/>
  <c r="AB27" i="2151"/>
  <c r="AF26" i="2151"/>
  <c r="Q26" i="2151"/>
  <c r="P26" i="2151"/>
  <c r="AC26" i="2151" s="1"/>
  <c r="O26" i="2151"/>
  <c r="AF25" i="2151"/>
  <c r="Q25" i="2151"/>
  <c r="P25" i="2151"/>
  <c r="AC25" i="2151" s="1"/>
  <c r="AF24" i="2151"/>
  <c r="AB24" i="2151"/>
  <c r="Q24" i="2151"/>
  <c r="P24" i="2151"/>
  <c r="AC24" i="2151" s="1"/>
  <c r="O24" i="2151"/>
  <c r="M24" i="2151"/>
  <c r="K24" i="2151"/>
  <c r="AF23" i="2151"/>
  <c r="AB23" i="2151"/>
  <c r="Q23" i="2151"/>
  <c r="P23" i="2151"/>
  <c r="AC23" i="2151" s="1"/>
  <c r="O23" i="2151"/>
  <c r="M23" i="2151"/>
  <c r="K23" i="2151"/>
  <c r="AF22" i="2151"/>
  <c r="AB22" i="2151"/>
  <c r="Q22" i="2151"/>
  <c r="P22" i="2151"/>
  <c r="AC22" i="2151" s="1"/>
  <c r="AD22" i="2151" s="1"/>
  <c r="O22" i="2151"/>
  <c r="M22" i="2151"/>
  <c r="K22" i="2151"/>
  <c r="AF21" i="2151"/>
  <c r="Q21" i="2151"/>
  <c r="P21" i="2151" s="1"/>
  <c r="AC21" i="2151" s="1"/>
  <c r="AF20" i="2151"/>
  <c r="Q20" i="2151"/>
  <c r="O20" i="2151"/>
  <c r="AB20" i="2151"/>
  <c r="AF19" i="2151"/>
  <c r="AB19" i="2151"/>
  <c r="Q19" i="2151"/>
  <c r="P19" i="2151"/>
  <c r="AC19" i="2151" s="1"/>
  <c r="O19" i="2151"/>
  <c r="M19" i="2151"/>
  <c r="AF18" i="2151"/>
  <c r="Q18" i="2151"/>
  <c r="AB18" i="2151"/>
  <c r="AF17" i="2151"/>
  <c r="AB17" i="2151"/>
  <c r="Q17" i="2151"/>
  <c r="P17" i="2151"/>
  <c r="AC17" i="2151" s="1"/>
  <c r="O17" i="2151"/>
  <c r="M17" i="2151"/>
  <c r="K17" i="2151"/>
  <c r="AF16" i="2151"/>
  <c r="AB16" i="2151"/>
  <c r="Q16" i="2151"/>
  <c r="O16" i="2151"/>
  <c r="M16" i="2151"/>
  <c r="P16" i="2151"/>
  <c r="AC16" i="2151" s="1"/>
  <c r="AF15" i="2151"/>
  <c r="Q15" i="2151"/>
  <c r="AB15" i="2151"/>
  <c r="AF14" i="2151"/>
  <c r="AB14" i="2151"/>
  <c r="Q14" i="2151"/>
  <c r="P14" i="2151" s="1"/>
  <c r="AC14" i="2151" s="1"/>
  <c r="O14" i="2151"/>
  <c r="M14" i="2151"/>
  <c r="AF13" i="2151"/>
  <c r="Q13" i="2151"/>
  <c r="O13" i="2151"/>
  <c r="M13" i="2151"/>
  <c r="AF12" i="2151"/>
  <c r="Q12" i="2151"/>
  <c r="AB12" i="2151"/>
  <c r="AF11" i="2151"/>
  <c r="AB11" i="2151"/>
  <c r="Q11" i="2151"/>
  <c r="P11" i="2151" s="1"/>
  <c r="AC11" i="2151" s="1"/>
  <c r="M11" i="2151"/>
  <c r="AF10" i="2151"/>
  <c r="AB10" i="2151"/>
  <c r="Q10" i="2151"/>
  <c r="P10" i="2151"/>
  <c r="AC10" i="2151" s="1"/>
  <c r="O10" i="2151"/>
  <c r="M10" i="2151"/>
  <c r="K10" i="2151"/>
  <c r="AF9" i="2151"/>
  <c r="Q9" i="2151"/>
  <c r="P9" i="2151"/>
  <c r="AC9" i="2151" s="1"/>
  <c r="AF8" i="2151"/>
  <c r="Q8" i="2151"/>
  <c r="M8" i="2151"/>
  <c r="AF7" i="2151"/>
  <c r="Q7" i="2151"/>
  <c r="AB7" i="2151"/>
  <c r="AF6" i="2151"/>
  <c r="Q6" i="2151"/>
  <c r="O6" i="2151"/>
  <c r="K6" i="2151"/>
  <c r="R26" i="16"/>
  <c r="R25" i="16"/>
  <c r="R24" i="16"/>
  <c r="R23" i="16"/>
  <c r="R22" i="16"/>
  <c r="R21" i="16"/>
  <c r="R20" i="16"/>
  <c r="R19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2" i="2150"/>
  <c r="O22" i="2150" s="1"/>
  <c r="L21" i="2150"/>
  <c r="L20" i="2150"/>
  <c r="L19" i="2150"/>
  <c r="L17" i="2150"/>
  <c r="AB17" i="2150" s="1"/>
  <c r="L16" i="2150"/>
  <c r="L14" i="2150"/>
  <c r="K14" i="2150" s="1"/>
  <c r="L13" i="2150"/>
  <c r="L12" i="2150"/>
  <c r="M12" i="2150" s="1"/>
  <c r="AF12" i="2150"/>
  <c r="Q12" i="2150"/>
  <c r="O12" i="2150"/>
  <c r="K11" i="2150"/>
  <c r="K10" i="2150"/>
  <c r="L9" i="2150"/>
  <c r="L8" i="2150"/>
  <c r="K8" i="2150" s="1"/>
  <c r="L7" i="2150"/>
  <c r="K7" i="2150" s="1"/>
  <c r="L6" i="2150"/>
  <c r="K6" i="2150" s="1"/>
  <c r="L29" i="2150"/>
  <c r="L28" i="2150"/>
  <c r="L27" i="2150"/>
  <c r="L26" i="2150"/>
  <c r="K26" i="2150" s="1"/>
  <c r="K29" i="2150"/>
  <c r="K28" i="2150"/>
  <c r="K27" i="2150"/>
  <c r="K22" i="2150"/>
  <c r="K21" i="2150"/>
  <c r="K20" i="2150"/>
  <c r="K19" i="2150"/>
  <c r="K17" i="2150"/>
  <c r="K16" i="2150"/>
  <c r="K13" i="2150"/>
  <c r="K9" i="2150"/>
  <c r="A86" i="2150"/>
  <c r="A87" i="2150" s="1"/>
  <c r="A88" i="2150" s="1"/>
  <c r="A89" i="2150" s="1"/>
  <c r="A90" i="2150" s="1"/>
  <c r="A91" i="2150" s="1"/>
  <c r="AF70" i="2150"/>
  <c r="AF72" i="2150" s="1"/>
  <c r="AF69" i="2150"/>
  <c r="AA31" i="2150"/>
  <c r="Z31" i="2150"/>
  <c r="Y31" i="2150"/>
  <c r="X31" i="2150"/>
  <c r="W31" i="2150"/>
  <c r="V31" i="2150"/>
  <c r="U31" i="2150"/>
  <c r="T31" i="2150"/>
  <c r="S31" i="2150"/>
  <c r="R31" i="2150"/>
  <c r="N31" i="2150"/>
  <c r="J31" i="2150"/>
  <c r="I31" i="2150"/>
  <c r="AF30" i="2150"/>
  <c r="AB30" i="2150"/>
  <c r="Q30" i="2150"/>
  <c r="P30" i="2150"/>
  <c r="AC30" i="2150" s="1"/>
  <c r="O30" i="2150"/>
  <c r="M30" i="2150"/>
  <c r="K30" i="2150"/>
  <c r="AF29" i="2150"/>
  <c r="Q29" i="2150"/>
  <c r="O29" i="2150"/>
  <c r="AF28" i="2150"/>
  <c r="Q28" i="2150"/>
  <c r="P28" i="2150" s="1"/>
  <c r="AC28" i="2150" s="1"/>
  <c r="O28" i="2150"/>
  <c r="AB28" i="2150"/>
  <c r="AF27" i="2150"/>
  <c r="AB27" i="2150"/>
  <c r="Q27" i="2150"/>
  <c r="P27" i="2150" s="1"/>
  <c r="AC27" i="2150" s="1"/>
  <c r="O27" i="2150"/>
  <c r="M27" i="2150"/>
  <c r="AF26" i="2150"/>
  <c r="Q26" i="2150"/>
  <c r="AF25" i="2150"/>
  <c r="AB25" i="2150"/>
  <c r="Q25" i="2150"/>
  <c r="P25" i="2150"/>
  <c r="AC25" i="2150" s="1"/>
  <c r="O25" i="2150"/>
  <c r="M25" i="2150"/>
  <c r="K25" i="2150"/>
  <c r="AF24" i="2150"/>
  <c r="AB24" i="2150"/>
  <c r="Q24" i="2150"/>
  <c r="P24" i="2150"/>
  <c r="AC24" i="2150" s="1"/>
  <c r="O24" i="2150"/>
  <c r="M24" i="2150"/>
  <c r="K24" i="2150"/>
  <c r="AF23" i="2150"/>
  <c r="AB23" i="2150"/>
  <c r="Q23" i="2150"/>
  <c r="P23" i="2150"/>
  <c r="AC23" i="2150" s="1"/>
  <c r="AD23" i="2150" s="1"/>
  <c r="O23" i="2150"/>
  <c r="M23" i="2150"/>
  <c r="K23" i="2150"/>
  <c r="AF22" i="2150"/>
  <c r="Q22" i="2150"/>
  <c r="P22" i="2150"/>
  <c r="AC22" i="2150" s="1"/>
  <c r="AF21" i="2150"/>
  <c r="AB21" i="2150"/>
  <c r="Q21" i="2150"/>
  <c r="P21" i="2150" s="1"/>
  <c r="AC21" i="2150" s="1"/>
  <c r="O21" i="2150"/>
  <c r="M21" i="2150"/>
  <c r="AF20" i="2150"/>
  <c r="AB20" i="2150"/>
  <c r="Q20" i="2150"/>
  <c r="P20" i="2150" s="1"/>
  <c r="AC20" i="2150" s="1"/>
  <c r="O20" i="2150"/>
  <c r="M20" i="2150"/>
  <c r="AF19" i="2150"/>
  <c r="AB19" i="2150"/>
  <c r="Q19" i="2150"/>
  <c r="M19" i="2150"/>
  <c r="P19" i="2150"/>
  <c r="AC19" i="2150" s="1"/>
  <c r="AF18" i="2150"/>
  <c r="AB18" i="2150"/>
  <c r="Q18" i="2150"/>
  <c r="P18" i="2150"/>
  <c r="AC18" i="2150" s="1"/>
  <c r="O18" i="2150"/>
  <c r="M18" i="2150"/>
  <c r="K18" i="2150"/>
  <c r="AF17" i="2150"/>
  <c r="Q17" i="2150"/>
  <c r="O17" i="2150"/>
  <c r="AF16" i="2150"/>
  <c r="AB16" i="2150"/>
  <c r="Q16" i="2150"/>
  <c r="P16" i="2150" s="1"/>
  <c r="AC16" i="2150" s="1"/>
  <c r="M16" i="2150"/>
  <c r="AF15" i="2150"/>
  <c r="AB15" i="2150"/>
  <c r="Q15" i="2150"/>
  <c r="P15" i="2150"/>
  <c r="AC15" i="2150" s="1"/>
  <c r="O15" i="2150"/>
  <c r="M15" i="2150"/>
  <c r="K15" i="2150"/>
  <c r="AF14" i="2150"/>
  <c r="AB14" i="2150"/>
  <c r="Q14" i="2150"/>
  <c r="P14" i="2150" s="1"/>
  <c r="AC14" i="2150" s="1"/>
  <c r="O14" i="2150"/>
  <c r="M14" i="2150"/>
  <c r="AF13" i="2150"/>
  <c r="AB13" i="2150"/>
  <c r="Q13" i="2150"/>
  <c r="M13" i="2150"/>
  <c r="P13" i="2150"/>
  <c r="AC13" i="2150" s="1"/>
  <c r="AF11" i="2150"/>
  <c r="Q11" i="2150"/>
  <c r="P11" i="2150" s="1"/>
  <c r="AC11" i="2150" s="1"/>
  <c r="AF10" i="2150"/>
  <c r="Q10" i="2150"/>
  <c r="P10" i="2150"/>
  <c r="AC10" i="2150" s="1"/>
  <c r="O10" i="2150"/>
  <c r="AB10" i="2150"/>
  <c r="AF9" i="2150"/>
  <c r="AB9" i="2150"/>
  <c r="Q9" i="2150"/>
  <c r="P9" i="2150" s="1"/>
  <c r="AC9" i="2150" s="1"/>
  <c r="AD9" i="2150" s="1"/>
  <c r="O9" i="2150"/>
  <c r="M9" i="2150"/>
  <c r="AF8" i="2150"/>
  <c r="Q8" i="2150"/>
  <c r="P8" i="2150" s="1"/>
  <c r="AC8" i="2150" s="1"/>
  <c r="AF7" i="2150"/>
  <c r="AB7" i="2150"/>
  <c r="Q7" i="2150"/>
  <c r="P7" i="2150" s="1"/>
  <c r="AC7" i="2150" s="1"/>
  <c r="O7" i="2150"/>
  <c r="M7" i="2150"/>
  <c r="AF6" i="2150"/>
  <c r="Q6" i="2150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L23" i="2149"/>
  <c r="K23" i="2149" s="1"/>
  <c r="AF20" i="2149"/>
  <c r="AB20" i="2149"/>
  <c r="Q20" i="2149"/>
  <c r="P20" i="2149" s="1"/>
  <c r="AC20" i="2149" s="1"/>
  <c r="AD20" i="2149" s="1"/>
  <c r="O20" i="2149"/>
  <c r="M20" i="2149"/>
  <c r="K20" i="2149"/>
  <c r="K21" i="2149"/>
  <c r="L19" i="2149"/>
  <c r="K19" i="2149" s="1"/>
  <c r="L18" i="2149"/>
  <c r="K18" i="2149" s="1"/>
  <c r="L16" i="2149"/>
  <c r="M16" i="2149" s="1"/>
  <c r="L15" i="2149"/>
  <c r="K15" i="2149" s="1"/>
  <c r="L13" i="2149"/>
  <c r="AB13" i="2149" s="1"/>
  <c r="L12" i="2149"/>
  <c r="L11" i="2149"/>
  <c r="K11" i="2149" s="1"/>
  <c r="L10" i="2149"/>
  <c r="K10" i="2149" s="1"/>
  <c r="L9" i="2149"/>
  <c r="AB9" i="2149" s="1"/>
  <c r="L8" i="2149"/>
  <c r="K8" i="2149" s="1"/>
  <c r="L27" i="2149"/>
  <c r="K27" i="2149" s="1"/>
  <c r="L30" i="2149"/>
  <c r="O30" i="2149" s="1"/>
  <c r="L29" i="2149"/>
  <c r="K29" i="2149" s="1"/>
  <c r="L28" i="2149"/>
  <c r="K30" i="2149"/>
  <c r="K25" i="2149"/>
  <c r="K22" i="2149"/>
  <c r="K17" i="2149"/>
  <c r="K12" i="2149"/>
  <c r="K6" i="2149"/>
  <c r="A87" i="2149"/>
  <c r="A88" i="2149" s="1"/>
  <c r="A89" i="2149" s="1"/>
  <c r="A90" i="2149" s="1"/>
  <c r="A91" i="2149" s="1"/>
  <c r="A92" i="2149" s="1"/>
  <c r="AF71" i="2149"/>
  <c r="AF70" i="2149"/>
  <c r="AF73" i="2149" s="1"/>
  <c r="AA32" i="2149"/>
  <c r="Z32" i="2149"/>
  <c r="Y32" i="2149"/>
  <c r="X32" i="2149"/>
  <c r="W32" i="2149"/>
  <c r="V32" i="2149"/>
  <c r="U32" i="2149"/>
  <c r="T32" i="2149"/>
  <c r="S32" i="2149"/>
  <c r="R32" i="2149"/>
  <c r="N32" i="2149"/>
  <c r="J32" i="2149"/>
  <c r="I32" i="2149"/>
  <c r="AF31" i="2149"/>
  <c r="AB31" i="2149"/>
  <c r="Q31" i="2149"/>
  <c r="P31" i="2149"/>
  <c r="AC31" i="2149" s="1"/>
  <c r="O31" i="2149"/>
  <c r="M31" i="2149"/>
  <c r="K31" i="2149"/>
  <c r="AF30" i="2149"/>
  <c r="Q30" i="2149"/>
  <c r="AF29" i="2149"/>
  <c r="Q29" i="2149"/>
  <c r="AF28" i="2149"/>
  <c r="Q28" i="2149"/>
  <c r="AF27" i="2149"/>
  <c r="Q27" i="2149"/>
  <c r="AF26" i="2149"/>
  <c r="AB26" i="2149"/>
  <c r="Q26" i="2149"/>
  <c r="P26" i="2149"/>
  <c r="AC26" i="2149" s="1"/>
  <c r="O26" i="2149"/>
  <c r="M26" i="2149"/>
  <c r="K26" i="2149"/>
  <c r="AF25" i="2149"/>
  <c r="AB25" i="2149"/>
  <c r="Q25" i="2149"/>
  <c r="P25" i="2149"/>
  <c r="AC25" i="2149" s="1"/>
  <c r="O25" i="2149"/>
  <c r="M25" i="2149"/>
  <c r="AF24" i="2149"/>
  <c r="AB24" i="2149"/>
  <c r="Q24" i="2149"/>
  <c r="P24" i="2149"/>
  <c r="AC24" i="2149" s="1"/>
  <c r="O24" i="2149"/>
  <c r="M24" i="2149"/>
  <c r="K24" i="2149"/>
  <c r="AF23" i="2149"/>
  <c r="Q23" i="2149"/>
  <c r="P23" i="2149"/>
  <c r="AC23" i="2149" s="1"/>
  <c r="AF22" i="2149"/>
  <c r="AB22" i="2149"/>
  <c r="Q22" i="2149"/>
  <c r="P22" i="2149" s="1"/>
  <c r="AC22" i="2149" s="1"/>
  <c r="O22" i="2149"/>
  <c r="M22" i="2149"/>
  <c r="AF21" i="2149"/>
  <c r="AB21" i="2149"/>
  <c r="Q21" i="2149"/>
  <c r="P21" i="2149" s="1"/>
  <c r="AC21" i="2149" s="1"/>
  <c r="O21" i="2149"/>
  <c r="M21" i="2149"/>
  <c r="AF19" i="2149"/>
  <c r="Q19" i="2149"/>
  <c r="P19" i="2149" s="1"/>
  <c r="AC19" i="2149" s="1"/>
  <c r="AF18" i="2149"/>
  <c r="Q18" i="2149"/>
  <c r="AF17" i="2149"/>
  <c r="Q17" i="2149"/>
  <c r="P17" i="2149"/>
  <c r="AC17" i="2149" s="1"/>
  <c r="O17" i="2149"/>
  <c r="AF16" i="2149"/>
  <c r="Q16" i="2149"/>
  <c r="O16" i="2149"/>
  <c r="AF15" i="2149"/>
  <c r="AB15" i="2149"/>
  <c r="Q15" i="2149"/>
  <c r="AF14" i="2149"/>
  <c r="AB14" i="2149"/>
  <c r="Q14" i="2149"/>
  <c r="P14" i="2149"/>
  <c r="AC14" i="2149" s="1"/>
  <c r="O14" i="2149"/>
  <c r="M14" i="2149"/>
  <c r="K14" i="2149"/>
  <c r="AF13" i="2149"/>
  <c r="Q13" i="2149"/>
  <c r="O13" i="2149"/>
  <c r="AF12" i="2149"/>
  <c r="Q12" i="2149"/>
  <c r="M12" i="2149"/>
  <c r="AF11" i="2149"/>
  <c r="Q11" i="2149"/>
  <c r="AF10" i="2149"/>
  <c r="Q10" i="2149"/>
  <c r="AF9" i="2149"/>
  <c r="Q9" i="2149"/>
  <c r="AF8" i="2149"/>
  <c r="Q8" i="2149"/>
  <c r="AB8" i="2149"/>
  <c r="AF7" i="2149"/>
  <c r="AB7" i="2149"/>
  <c r="Q7" i="2149"/>
  <c r="P7" i="2149"/>
  <c r="AC7" i="2149" s="1"/>
  <c r="O7" i="2149"/>
  <c r="M7" i="2149"/>
  <c r="K7" i="2149"/>
  <c r="AF6" i="2149"/>
  <c r="AB6" i="2149"/>
  <c r="Q6" i="2149"/>
  <c r="O6" i="2149"/>
  <c r="M6" i="2149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31" i="2148"/>
  <c r="L29" i="2148"/>
  <c r="L28" i="2148"/>
  <c r="K28" i="2148" s="1"/>
  <c r="L26" i="2148"/>
  <c r="L24" i="2148"/>
  <c r="L23" i="2148"/>
  <c r="AF23" i="2148"/>
  <c r="AB23" i="2148"/>
  <c r="Q23" i="2148"/>
  <c r="P23" i="2148" s="1"/>
  <c r="AC23" i="2148" s="1"/>
  <c r="O23" i="2148"/>
  <c r="M23" i="2148"/>
  <c r="K23" i="2148"/>
  <c r="AE21" i="2154" l="1"/>
  <c r="AD31" i="2153"/>
  <c r="AE30" i="2153" s="1"/>
  <c r="AD22" i="2152"/>
  <c r="AD15" i="2152"/>
  <c r="AD14" i="2152"/>
  <c r="P29" i="2152"/>
  <c r="AC29" i="2152" s="1"/>
  <c r="K29" i="2152"/>
  <c r="O29" i="2152"/>
  <c r="AB29" i="2152"/>
  <c r="M29" i="2152"/>
  <c r="Q31" i="2152"/>
  <c r="P27" i="2152"/>
  <c r="AC27" i="2152" s="1"/>
  <c r="O27" i="2152"/>
  <c r="K27" i="2152"/>
  <c r="AD25" i="2152"/>
  <c r="AD24" i="2152"/>
  <c r="AD7" i="2152"/>
  <c r="AD10" i="2152"/>
  <c r="AD19" i="2152"/>
  <c r="AD23" i="2152"/>
  <c r="AD6" i="2152"/>
  <c r="AD12" i="2152"/>
  <c r="AD18" i="2152"/>
  <c r="AD9" i="2152"/>
  <c r="M8" i="2152"/>
  <c r="AB8" i="2152"/>
  <c r="M11" i="2152"/>
  <c r="AB11" i="2152"/>
  <c r="P13" i="2152"/>
  <c r="AC13" i="2152" s="1"/>
  <c r="AD13" i="2152" s="1"/>
  <c r="P16" i="2152"/>
  <c r="AC16" i="2152" s="1"/>
  <c r="AD16" i="2152" s="1"/>
  <c r="M21" i="2152"/>
  <c r="AB21" i="2152"/>
  <c r="AD21" i="2152" s="1"/>
  <c r="M26" i="2152"/>
  <c r="AB26" i="2152"/>
  <c r="P28" i="2152"/>
  <c r="AC28" i="2152" s="1"/>
  <c r="AD28" i="2152" s="1"/>
  <c r="O8" i="2152"/>
  <c r="O11" i="2152"/>
  <c r="O21" i="2152"/>
  <c r="O26" i="2152"/>
  <c r="L31" i="2152"/>
  <c r="O31" i="2152" s="1"/>
  <c r="M13" i="2152"/>
  <c r="M16" i="2152"/>
  <c r="M28" i="2152"/>
  <c r="K21" i="2151"/>
  <c r="P20" i="2151"/>
  <c r="AC20" i="2151" s="1"/>
  <c r="AD20" i="2151" s="1"/>
  <c r="AD16" i="2151"/>
  <c r="P13" i="2151"/>
  <c r="AC13" i="2151" s="1"/>
  <c r="AD13" i="2151" s="1"/>
  <c r="AD24" i="2151"/>
  <c r="M25" i="2151"/>
  <c r="AB25" i="2151"/>
  <c r="AB28" i="2151"/>
  <c r="K11" i="2151"/>
  <c r="O9" i="2151"/>
  <c r="AD19" i="2151"/>
  <c r="AD23" i="2151"/>
  <c r="P28" i="2151"/>
  <c r="AC28" i="2151" s="1"/>
  <c r="AD28" i="2151" s="1"/>
  <c r="AD29" i="2151"/>
  <c r="AB8" i="2151"/>
  <c r="Q30" i="2151"/>
  <c r="P6" i="2151"/>
  <c r="AC6" i="2151" s="1"/>
  <c r="AD25" i="2151"/>
  <c r="K28" i="2151"/>
  <c r="AD14" i="2151"/>
  <c r="AD17" i="2151"/>
  <c r="AD10" i="2151"/>
  <c r="AD11" i="2151"/>
  <c r="O8" i="2151"/>
  <c r="P8" i="2151"/>
  <c r="AC8" i="2151" s="1"/>
  <c r="AD9" i="2151"/>
  <c r="M6" i="2151"/>
  <c r="AB6" i="2151"/>
  <c r="O7" i="2151"/>
  <c r="O12" i="2151"/>
  <c r="O15" i="2151"/>
  <c r="O18" i="2151"/>
  <c r="M21" i="2151"/>
  <c r="AB21" i="2151"/>
  <c r="AD21" i="2151" s="1"/>
  <c r="M26" i="2151"/>
  <c r="AB26" i="2151"/>
  <c r="AD26" i="2151" s="1"/>
  <c r="O27" i="2151"/>
  <c r="L30" i="2151"/>
  <c r="O30" i="2151" s="1"/>
  <c r="K7" i="2151"/>
  <c r="K30" i="2151" s="1"/>
  <c r="P7" i="2151"/>
  <c r="AC7" i="2151" s="1"/>
  <c r="M9" i="2151"/>
  <c r="P12" i="2151"/>
  <c r="AC12" i="2151" s="1"/>
  <c r="AD12" i="2151" s="1"/>
  <c r="P15" i="2151"/>
  <c r="AC15" i="2151" s="1"/>
  <c r="AD15" i="2151" s="1"/>
  <c r="P18" i="2151"/>
  <c r="AC18" i="2151" s="1"/>
  <c r="M20" i="2151"/>
  <c r="P27" i="2151"/>
  <c r="AC27" i="2151" s="1"/>
  <c r="M7" i="2151"/>
  <c r="M12" i="2151"/>
  <c r="M15" i="2151"/>
  <c r="M18" i="2151"/>
  <c r="M27" i="2151"/>
  <c r="M22" i="2150"/>
  <c r="AB22" i="2150"/>
  <c r="AD22" i="2150" s="1"/>
  <c r="R18" i="16" s="1"/>
  <c r="P17" i="2150"/>
  <c r="AC17" i="2150" s="1"/>
  <c r="AD17" i="2150" s="1"/>
  <c r="K12" i="2150"/>
  <c r="AB12" i="2150"/>
  <c r="AD15" i="2150"/>
  <c r="AB6" i="2150"/>
  <c r="M17" i="2150"/>
  <c r="AD21" i="2150"/>
  <c r="P12" i="2150"/>
  <c r="AC12" i="2150" s="1"/>
  <c r="AD12" i="2150" s="1"/>
  <c r="M6" i="2150"/>
  <c r="AD14" i="2150"/>
  <c r="AD30" i="2150"/>
  <c r="O6" i="2150"/>
  <c r="AD6" i="2150" s="1"/>
  <c r="AD25" i="2150"/>
  <c r="P26" i="2150"/>
  <c r="AC26" i="2150" s="1"/>
  <c r="AD24" i="2150"/>
  <c r="P29" i="2150"/>
  <c r="AC29" i="2150" s="1"/>
  <c r="Q31" i="2150"/>
  <c r="P6" i="2150"/>
  <c r="AC6" i="2150" s="1"/>
  <c r="AD27" i="2150"/>
  <c r="AD20" i="2150"/>
  <c r="AD7" i="2150"/>
  <c r="AD10" i="2150"/>
  <c r="AD18" i="2150"/>
  <c r="AD28" i="2150"/>
  <c r="AB8" i="2150"/>
  <c r="L31" i="2150"/>
  <c r="O31" i="2150" s="1"/>
  <c r="O8" i="2150"/>
  <c r="M11" i="2150"/>
  <c r="AB11" i="2150"/>
  <c r="O13" i="2150"/>
  <c r="AD13" i="2150" s="1"/>
  <c r="O16" i="2150"/>
  <c r="AD16" i="2150" s="1"/>
  <c r="O19" i="2150"/>
  <c r="AD19" i="2150" s="1"/>
  <c r="M26" i="2150"/>
  <c r="AB26" i="2150"/>
  <c r="M8" i="2150"/>
  <c r="K31" i="2150"/>
  <c r="M10" i="2150"/>
  <c r="O11" i="2150"/>
  <c r="O26" i="2150"/>
  <c r="M29" i="2150"/>
  <c r="AB29" i="2150"/>
  <c r="AD29" i="2150" s="1"/>
  <c r="M28" i="2150"/>
  <c r="O23" i="2149"/>
  <c r="O11" i="2149"/>
  <c r="AB29" i="2149"/>
  <c r="P11" i="2149"/>
  <c r="AC11" i="2149" s="1"/>
  <c r="P27" i="2149"/>
  <c r="AC27" i="2149" s="1"/>
  <c r="M27" i="2149"/>
  <c r="AB27" i="2149"/>
  <c r="M29" i="2149"/>
  <c r="P13" i="2149"/>
  <c r="AC13" i="2149" s="1"/>
  <c r="O19" i="2149"/>
  <c r="AB10" i="2149"/>
  <c r="M30" i="2149"/>
  <c r="K13" i="2149"/>
  <c r="M9" i="2149"/>
  <c r="P15" i="2149"/>
  <c r="AC15" i="2149" s="1"/>
  <c r="AB19" i="2149"/>
  <c r="AD19" i="2149" s="1"/>
  <c r="M19" i="2149"/>
  <c r="AB18" i="2149"/>
  <c r="P16" i="2149"/>
  <c r="AC16" i="2149" s="1"/>
  <c r="AD16" i="2149" s="1"/>
  <c r="AB16" i="2149"/>
  <c r="K16" i="2149"/>
  <c r="M15" i="2149"/>
  <c r="O15" i="2149"/>
  <c r="AD15" i="2149" s="1"/>
  <c r="O9" i="2149"/>
  <c r="AD31" i="2149"/>
  <c r="P9" i="2149"/>
  <c r="AC9" i="2149" s="1"/>
  <c r="O10" i="2149"/>
  <c r="AD26" i="2149"/>
  <c r="K9" i="2149"/>
  <c r="P28" i="2149"/>
  <c r="AC28" i="2149" s="1"/>
  <c r="P10" i="2149"/>
  <c r="AC10" i="2149" s="1"/>
  <c r="AD10" i="2149" s="1"/>
  <c r="AD22" i="2149"/>
  <c r="AD25" i="2149"/>
  <c r="Q32" i="2149"/>
  <c r="O27" i="2149"/>
  <c r="P30" i="2149"/>
  <c r="AC30" i="2149" s="1"/>
  <c r="AB30" i="2149"/>
  <c r="O29" i="2149"/>
  <c r="P29" i="2149"/>
  <c r="AC29" i="2149" s="1"/>
  <c r="AD29" i="2149" s="1"/>
  <c r="L32" i="2149"/>
  <c r="O32" i="2149" s="1"/>
  <c r="M28" i="2149"/>
  <c r="AB28" i="2149"/>
  <c r="O28" i="2149"/>
  <c r="AD28" i="2149" s="1"/>
  <c r="K28" i="2149"/>
  <c r="AD14" i="2149"/>
  <c r="AD21" i="2149"/>
  <c r="AD24" i="2149"/>
  <c r="AD7" i="2149"/>
  <c r="AD13" i="2149"/>
  <c r="M8" i="2149"/>
  <c r="AB12" i="2149"/>
  <c r="M18" i="2149"/>
  <c r="P6" i="2149"/>
  <c r="O8" i="2149"/>
  <c r="M11" i="2149"/>
  <c r="AB11" i="2149"/>
  <c r="AD11" i="2149" s="1"/>
  <c r="O12" i="2149"/>
  <c r="M17" i="2149"/>
  <c r="AB17" i="2149"/>
  <c r="AD17" i="2149" s="1"/>
  <c r="O18" i="2149"/>
  <c r="M23" i="2149"/>
  <c r="AB23" i="2149"/>
  <c r="AD23" i="2149" s="1"/>
  <c r="P8" i="2149"/>
  <c r="AC8" i="2149" s="1"/>
  <c r="M10" i="2149"/>
  <c r="P12" i="2149"/>
  <c r="AC12" i="2149" s="1"/>
  <c r="M13" i="2149"/>
  <c r="P18" i="2149"/>
  <c r="AC18" i="2149" s="1"/>
  <c r="AD23" i="2148"/>
  <c r="AE6" i="2154" l="1"/>
  <c r="AE11" i="2154"/>
  <c r="AE14" i="2154"/>
  <c r="AE20" i="2154"/>
  <c r="AE26" i="2154"/>
  <c r="AE16" i="2154"/>
  <c r="AE28" i="2154"/>
  <c r="AE19" i="2154"/>
  <c r="AE31" i="2154"/>
  <c r="AE18" i="2154"/>
  <c r="AE13" i="2154"/>
  <c r="AE8" i="2154"/>
  <c r="AE24" i="2154"/>
  <c r="AE22" i="2154"/>
  <c r="AE30" i="2154"/>
  <c r="AE25" i="2154"/>
  <c r="AE33" i="2154"/>
  <c r="AE10" i="2154"/>
  <c r="AE27" i="2154"/>
  <c r="AE12" i="2154"/>
  <c r="AE32" i="2154"/>
  <c r="AE17" i="2154"/>
  <c r="AE7" i="2154"/>
  <c r="AE23" i="2154"/>
  <c r="AE15" i="2154"/>
  <c r="AE29" i="2154"/>
  <c r="AE9" i="2154"/>
  <c r="AE10" i="2153"/>
  <c r="AE23" i="2153"/>
  <c r="AE9" i="2153"/>
  <c r="AE7" i="2153"/>
  <c r="AE14" i="2153"/>
  <c r="AE12" i="2153"/>
  <c r="AE25" i="2153"/>
  <c r="AE13" i="2153"/>
  <c r="AE27" i="2153"/>
  <c r="AE16" i="2153"/>
  <c r="AE21" i="2153"/>
  <c r="AE20" i="2153"/>
  <c r="AE15" i="2153"/>
  <c r="AE6" i="2153"/>
  <c r="AE22" i="2153"/>
  <c r="AE26" i="2153"/>
  <c r="AE28" i="2153"/>
  <c r="AE24" i="2153"/>
  <c r="AE8" i="2153"/>
  <c r="AE18" i="2153"/>
  <c r="AE17" i="2153"/>
  <c r="AE11" i="2153"/>
  <c r="AE29" i="2153"/>
  <c r="AE19" i="2153"/>
  <c r="AD11" i="2152"/>
  <c r="AD27" i="2152"/>
  <c r="K31" i="2152"/>
  <c r="AD26" i="2152"/>
  <c r="AD29" i="2152"/>
  <c r="AD8" i="2152"/>
  <c r="M31" i="2152"/>
  <c r="AB31" i="2152"/>
  <c r="AC31" i="2152"/>
  <c r="P31" i="2152"/>
  <c r="AD6" i="2151"/>
  <c r="AD8" i="2151"/>
  <c r="AD27" i="2151"/>
  <c r="AD7" i="2151"/>
  <c r="M30" i="2151"/>
  <c r="AC30" i="2151"/>
  <c r="AD18" i="2151"/>
  <c r="P30" i="2151"/>
  <c r="AB30" i="2151"/>
  <c r="AC31" i="2150"/>
  <c r="AD26" i="2150"/>
  <c r="P31" i="2150"/>
  <c r="AD8" i="2150"/>
  <c r="M31" i="2150"/>
  <c r="AB31" i="2150"/>
  <c r="AD11" i="2150"/>
  <c r="K32" i="2149"/>
  <c r="AD27" i="2149"/>
  <c r="AD9" i="2149"/>
  <c r="AD18" i="2149"/>
  <c r="AD30" i="2149"/>
  <c r="M32" i="2149"/>
  <c r="AD8" i="2149"/>
  <c r="AC6" i="2149"/>
  <c r="P32" i="2149"/>
  <c r="AB32" i="2149"/>
  <c r="AD12" i="2149"/>
  <c r="AD31" i="2152" l="1"/>
  <c r="AD30" i="2151"/>
  <c r="AE26" i="2151" s="1"/>
  <c r="AD31" i="2150"/>
  <c r="AC32" i="2149"/>
  <c r="AD6" i="2149"/>
  <c r="AD32" i="2149" s="1"/>
  <c r="AE20" i="2149" s="1"/>
  <c r="AE27" i="2152" l="1"/>
  <c r="AE20" i="2152"/>
  <c r="AE17" i="2152"/>
  <c r="AE29" i="2152"/>
  <c r="AE25" i="2152"/>
  <c r="AE6" i="2152"/>
  <c r="AE9" i="2152"/>
  <c r="AE30" i="2152"/>
  <c r="AE7" i="2152"/>
  <c r="AE14" i="2152"/>
  <c r="AE18" i="2152"/>
  <c r="AE10" i="2152"/>
  <c r="AE13" i="2152"/>
  <c r="AE22" i="2152"/>
  <c r="AE21" i="2152"/>
  <c r="AE19" i="2152"/>
  <c r="AE8" i="2152"/>
  <c r="AE16" i="2152"/>
  <c r="AE12" i="2152"/>
  <c r="AE24" i="2152"/>
  <c r="AE26" i="2152"/>
  <c r="AE23" i="2152"/>
  <c r="AE11" i="2152"/>
  <c r="AE28" i="2152"/>
  <c r="AE15" i="2152"/>
  <c r="AE12" i="2150"/>
  <c r="R27" i="16"/>
  <c r="AE29" i="2151"/>
  <c r="AE19" i="2151"/>
  <c r="AE22" i="2151"/>
  <c r="AE18" i="2151"/>
  <c r="AE9" i="2151"/>
  <c r="AE27" i="2151"/>
  <c r="AE25" i="2151"/>
  <c r="AE7" i="2151"/>
  <c r="AE17" i="2151"/>
  <c r="AE8" i="2151"/>
  <c r="AE10" i="2151"/>
  <c r="AE21" i="2151"/>
  <c r="AE11" i="2151"/>
  <c r="AE13" i="2151"/>
  <c r="AE24" i="2151"/>
  <c r="AE12" i="2151"/>
  <c r="AE6" i="2151"/>
  <c r="AE23" i="2151"/>
  <c r="AE20" i="2151"/>
  <c r="AE16" i="2151"/>
  <c r="AE28" i="2151"/>
  <c r="AE15" i="2151"/>
  <c r="AE14" i="2151"/>
  <c r="AE18" i="2150"/>
  <c r="AE23" i="2150"/>
  <c r="AE15" i="2150"/>
  <c r="AE25" i="2150"/>
  <c r="AE21" i="2150"/>
  <c r="AE26" i="2150"/>
  <c r="AE29" i="2150"/>
  <c r="AE6" i="2150"/>
  <c r="AE11" i="2150"/>
  <c r="AE10" i="2150"/>
  <c r="AE7" i="2150"/>
  <c r="AE9" i="2150"/>
  <c r="AE14" i="2150"/>
  <c r="AE20" i="2150"/>
  <c r="AE17" i="2150"/>
  <c r="AE19" i="2150"/>
  <c r="AE28" i="2150"/>
  <c r="AE8" i="2150"/>
  <c r="AE13" i="2150"/>
  <c r="AE22" i="2150"/>
  <c r="AE30" i="2150"/>
  <c r="AE24" i="2150"/>
  <c r="AE16" i="2150"/>
  <c r="AE27" i="2150"/>
  <c r="AE31" i="2149"/>
  <c r="AE23" i="2149"/>
  <c r="AE21" i="2149"/>
  <c r="AE17" i="2149"/>
  <c r="AE14" i="2149"/>
  <c r="AE12" i="2149"/>
  <c r="AE8" i="2149"/>
  <c r="AE29" i="2149"/>
  <c r="AE26" i="2149"/>
  <c r="AE30" i="2149"/>
  <c r="AE27" i="2149"/>
  <c r="AE24" i="2149"/>
  <c r="AE22" i="2149"/>
  <c r="AE19" i="2149"/>
  <c r="AE15" i="2149"/>
  <c r="AE9" i="2149"/>
  <c r="AE6" i="2149"/>
  <c r="AE11" i="2149"/>
  <c r="AE7" i="2149"/>
  <c r="AE28" i="2149"/>
  <c r="AE25" i="2149"/>
  <c r="AE16" i="2149"/>
  <c r="AE13" i="2149"/>
  <c r="AE10" i="2149"/>
  <c r="AE18" i="2149"/>
  <c r="AF22" i="2148" l="1"/>
  <c r="AB22" i="2148"/>
  <c r="Q22" i="2148"/>
  <c r="P22" i="2148" s="1"/>
  <c r="AC22" i="2148" s="1"/>
  <c r="O22" i="2148"/>
  <c r="M22" i="2148"/>
  <c r="K22" i="2148"/>
  <c r="K21" i="2148"/>
  <c r="L20" i="2148"/>
  <c r="AB20" i="2148" s="1"/>
  <c r="L19" i="2148"/>
  <c r="O19" i="2148" s="1"/>
  <c r="L18" i="2148"/>
  <c r="K18" i="2148" s="1"/>
  <c r="L17" i="2148"/>
  <c r="AB17" i="2148" s="1"/>
  <c r="L16" i="2148"/>
  <c r="L14" i="2148"/>
  <c r="O14" i="2148" s="1"/>
  <c r="AF14" i="2148"/>
  <c r="Q14" i="2148"/>
  <c r="L13" i="2148"/>
  <c r="K13" i="2148" s="1"/>
  <c r="L12" i="2148"/>
  <c r="L11" i="2148"/>
  <c r="K11" i="2148" s="1"/>
  <c r="L10" i="2148"/>
  <c r="K10" i="2148" s="1"/>
  <c r="L9" i="2148"/>
  <c r="K9" i="2148" s="1"/>
  <c r="L8" i="2148"/>
  <c r="K8" i="2148" s="1"/>
  <c r="L6" i="2148"/>
  <c r="K6" i="2148" s="1"/>
  <c r="K31" i="2148"/>
  <c r="K29" i="2148"/>
  <c r="K26" i="2148"/>
  <c r="K24" i="2148"/>
  <c r="K20" i="2148"/>
  <c r="K19" i="2148"/>
  <c r="K12" i="2148"/>
  <c r="A88" i="2148"/>
  <c r="A89" i="2148" s="1"/>
  <c r="A90" i="2148" s="1"/>
  <c r="A91" i="2148" s="1"/>
  <c r="A92" i="2148" s="1"/>
  <c r="A93" i="2148" s="1"/>
  <c r="AF72" i="2148"/>
  <c r="AF71" i="2148"/>
  <c r="AA33" i="2148"/>
  <c r="Z33" i="2148"/>
  <c r="Y33" i="2148"/>
  <c r="X33" i="2148"/>
  <c r="W33" i="2148"/>
  <c r="V33" i="2148"/>
  <c r="U33" i="2148"/>
  <c r="T33" i="2148"/>
  <c r="S33" i="2148"/>
  <c r="R33" i="2148"/>
  <c r="N33" i="2148"/>
  <c r="J33" i="2148"/>
  <c r="I33" i="2148"/>
  <c r="AF32" i="2148"/>
  <c r="AB32" i="2148"/>
  <c r="Q32" i="2148"/>
  <c r="P32" i="2148"/>
  <c r="AC32" i="2148" s="1"/>
  <c r="O32" i="2148"/>
  <c r="M32" i="2148"/>
  <c r="K32" i="2148"/>
  <c r="AF31" i="2148"/>
  <c r="AB31" i="2148"/>
  <c r="Q31" i="2148"/>
  <c r="M31" i="2148"/>
  <c r="O31" i="2148"/>
  <c r="AF30" i="2148"/>
  <c r="AB30" i="2148"/>
  <c r="Q30" i="2148"/>
  <c r="P30" i="2148"/>
  <c r="AC30" i="2148" s="1"/>
  <c r="O30" i="2148"/>
  <c r="M30" i="2148"/>
  <c r="K30" i="2148"/>
  <c r="AF29" i="2148"/>
  <c r="AB29" i="2148"/>
  <c r="Q29" i="2148"/>
  <c r="P29" i="2148" s="1"/>
  <c r="AC29" i="2148" s="1"/>
  <c r="O29" i="2148"/>
  <c r="M29" i="2148"/>
  <c r="AF28" i="2148"/>
  <c r="AB28" i="2148"/>
  <c r="Q28" i="2148"/>
  <c r="P28" i="2148" s="1"/>
  <c r="AC28" i="2148" s="1"/>
  <c r="O28" i="2148"/>
  <c r="M28" i="2148"/>
  <c r="AF27" i="2148"/>
  <c r="AB27" i="2148"/>
  <c r="Q27" i="2148"/>
  <c r="P27" i="2148"/>
  <c r="AC27" i="2148" s="1"/>
  <c r="O27" i="2148"/>
  <c r="M27" i="2148"/>
  <c r="K27" i="2148"/>
  <c r="AF26" i="2148"/>
  <c r="AB26" i="2148"/>
  <c r="Q26" i="2148"/>
  <c r="P26" i="2148" s="1"/>
  <c r="AC26" i="2148" s="1"/>
  <c r="O26" i="2148"/>
  <c r="M26" i="2148"/>
  <c r="AF25" i="2148"/>
  <c r="AB25" i="2148"/>
  <c r="Q25" i="2148"/>
  <c r="P25" i="2148"/>
  <c r="AC25" i="2148" s="1"/>
  <c r="O25" i="2148"/>
  <c r="M25" i="2148"/>
  <c r="K25" i="2148"/>
  <c r="AF24" i="2148"/>
  <c r="AB24" i="2148"/>
  <c r="Q24" i="2148"/>
  <c r="P24" i="2148"/>
  <c r="AC24" i="2148" s="1"/>
  <c r="O24" i="2148"/>
  <c r="M24" i="2148"/>
  <c r="AF21" i="2148"/>
  <c r="AB21" i="2148"/>
  <c r="Q21" i="2148"/>
  <c r="P21" i="2148" s="1"/>
  <c r="AC21" i="2148" s="1"/>
  <c r="O21" i="2148"/>
  <c r="M21" i="2148"/>
  <c r="AF20" i="2148"/>
  <c r="Q20" i="2148"/>
  <c r="AF19" i="2148"/>
  <c r="Q19" i="2148"/>
  <c r="P19" i="2148"/>
  <c r="AC19" i="2148" s="1"/>
  <c r="AF18" i="2148"/>
  <c r="AB18" i="2148"/>
  <c r="Q18" i="2148"/>
  <c r="P18" i="2148" s="1"/>
  <c r="AC18" i="2148" s="1"/>
  <c r="AF17" i="2148"/>
  <c r="Q17" i="2148"/>
  <c r="AF16" i="2148"/>
  <c r="Q16" i="2148"/>
  <c r="AF15" i="2148"/>
  <c r="AB15" i="2148"/>
  <c r="Q15" i="2148"/>
  <c r="P15" i="2148"/>
  <c r="AC15" i="2148" s="1"/>
  <c r="O15" i="2148"/>
  <c r="M15" i="2148"/>
  <c r="K15" i="2148"/>
  <c r="AF13" i="2148"/>
  <c r="Q13" i="2148"/>
  <c r="AF12" i="2148"/>
  <c r="Q12" i="2148"/>
  <c r="O12" i="2148"/>
  <c r="AF11" i="2148"/>
  <c r="Q11" i="2148"/>
  <c r="M11" i="2148"/>
  <c r="AF10" i="2148"/>
  <c r="Q10" i="2148"/>
  <c r="AF9" i="2148"/>
  <c r="Q9" i="2148"/>
  <c r="AF8" i="2148"/>
  <c r="Q8" i="2148"/>
  <c r="P8" i="2148" s="1"/>
  <c r="AC8" i="2148" s="1"/>
  <c r="O8" i="2148"/>
  <c r="AF7" i="2148"/>
  <c r="AB7" i="2148"/>
  <c r="Q7" i="2148"/>
  <c r="P7" i="2148"/>
  <c r="AC7" i="2148" s="1"/>
  <c r="AD7" i="2148" s="1"/>
  <c r="O7" i="2148"/>
  <c r="M7" i="2148"/>
  <c r="K7" i="2148"/>
  <c r="AF6" i="2148"/>
  <c r="Q6" i="2148"/>
  <c r="M6" i="2148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23" i="2147"/>
  <c r="K23" i="2147" s="1"/>
  <c r="L21" i="2147"/>
  <c r="K21" i="2147" s="1"/>
  <c r="L20" i="2147"/>
  <c r="AB20" i="2147" s="1"/>
  <c r="K20" i="2147"/>
  <c r="L19" i="2147"/>
  <c r="O19" i="2147" s="1"/>
  <c r="L18" i="2147"/>
  <c r="L16" i="2147"/>
  <c r="K16" i="2147" s="1"/>
  <c r="L15" i="2147"/>
  <c r="K15" i="2147" s="1"/>
  <c r="L13" i="2147"/>
  <c r="K13" i="2147" s="1"/>
  <c r="L12" i="2147"/>
  <c r="K12" i="2147" s="1"/>
  <c r="L11" i="2147"/>
  <c r="K11" i="2147" s="1"/>
  <c r="L10" i="2147"/>
  <c r="K10" i="2147" s="1"/>
  <c r="L9" i="2147"/>
  <c r="L8" i="2147"/>
  <c r="AB8" i="2147" s="1"/>
  <c r="L28" i="2147"/>
  <c r="L26" i="2147"/>
  <c r="K28" i="2147"/>
  <c r="K27" i="2147"/>
  <c r="K26" i="2147"/>
  <c r="K19" i="2147"/>
  <c r="K18" i="2147"/>
  <c r="K17" i="2147"/>
  <c r="K9" i="2147"/>
  <c r="K8" i="2147"/>
  <c r="K7" i="2147"/>
  <c r="A86" i="2147"/>
  <c r="A87" i="2147" s="1"/>
  <c r="A88" i="2147" s="1"/>
  <c r="A89" i="2147" s="1"/>
  <c r="A90" i="2147" s="1"/>
  <c r="A85" i="2147"/>
  <c r="AF71" i="2147"/>
  <c r="AF69" i="2147"/>
  <c r="AF68" i="2147"/>
  <c r="AA30" i="2147"/>
  <c r="Z30" i="2147"/>
  <c r="Y30" i="2147"/>
  <c r="X30" i="2147"/>
  <c r="W30" i="2147"/>
  <c r="V30" i="2147"/>
  <c r="U30" i="2147"/>
  <c r="T30" i="2147"/>
  <c r="S30" i="2147"/>
  <c r="R30" i="2147"/>
  <c r="N30" i="2147"/>
  <c r="J30" i="2147"/>
  <c r="I30" i="2147"/>
  <c r="AF29" i="2147"/>
  <c r="AB29" i="2147"/>
  <c r="Q29" i="2147"/>
  <c r="P29" i="2147"/>
  <c r="AC29" i="2147" s="1"/>
  <c r="AD29" i="2147" s="1"/>
  <c r="O29" i="2147"/>
  <c r="M29" i="2147"/>
  <c r="K29" i="2147"/>
  <c r="AF28" i="2147"/>
  <c r="Q28" i="2147"/>
  <c r="O28" i="2147"/>
  <c r="AF27" i="2147"/>
  <c r="Q27" i="2147"/>
  <c r="P27" i="2147"/>
  <c r="AC27" i="2147" s="1"/>
  <c r="AB27" i="2147"/>
  <c r="AF26" i="2147"/>
  <c r="Q26" i="2147"/>
  <c r="P26" i="2147" s="1"/>
  <c r="AC26" i="2147" s="1"/>
  <c r="O26" i="2147"/>
  <c r="AB26" i="2147"/>
  <c r="AF25" i="2147"/>
  <c r="AB25" i="2147"/>
  <c r="Q25" i="2147"/>
  <c r="P25" i="2147"/>
  <c r="AC25" i="2147" s="1"/>
  <c r="AD25" i="2147" s="1"/>
  <c r="O25" i="2147"/>
  <c r="M25" i="2147"/>
  <c r="K25" i="2147"/>
  <c r="AF24" i="2147"/>
  <c r="AB24" i="2147"/>
  <c r="Q24" i="2147"/>
  <c r="P24" i="2147"/>
  <c r="AC24" i="2147" s="1"/>
  <c r="O24" i="2147"/>
  <c r="M24" i="2147"/>
  <c r="K24" i="2147"/>
  <c r="AF23" i="2147"/>
  <c r="AB23" i="2147"/>
  <c r="Q23" i="2147"/>
  <c r="P23" i="2147"/>
  <c r="AC23" i="2147" s="1"/>
  <c r="O23" i="2147"/>
  <c r="M23" i="2147"/>
  <c r="AF22" i="2147"/>
  <c r="AB22" i="2147"/>
  <c r="Q22" i="2147"/>
  <c r="P22" i="2147"/>
  <c r="AC22" i="2147" s="1"/>
  <c r="O22" i="2147"/>
  <c r="M22" i="2147"/>
  <c r="K22" i="2147"/>
  <c r="AF21" i="2147"/>
  <c r="Q21" i="2147"/>
  <c r="P21" i="2147"/>
  <c r="AC21" i="2147" s="1"/>
  <c r="O21" i="2147"/>
  <c r="AB21" i="2147"/>
  <c r="AF20" i="2147"/>
  <c r="Q20" i="2147"/>
  <c r="P20" i="2147"/>
  <c r="AC20" i="2147" s="1"/>
  <c r="O20" i="2147"/>
  <c r="M20" i="2147"/>
  <c r="AF19" i="2147"/>
  <c r="AB19" i="2147"/>
  <c r="Q19" i="2147"/>
  <c r="M19" i="2147"/>
  <c r="AF18" i="2147"/>
  <c r="Q18" i="2147"/>
  <c r="AB18" i="2147"/>
  <c r="AF17" i="2147"/>
  <c r="Q17" i="2147"/>
  <c r="P17" i="2147"/>
  <c r="AC17" i="2147" s="1"/>
  <c r="O17" i="2147"/>
  <c r="AB17" i="2147"/>
  <c r="AF16" i="2147"/>
  <c r="AB16" i="2147"/>
  <c r="Q16" i="2147"/>
  <c r="P16" i="2147"/>
  <c r="AC16" i="2147" s="1"/>
  <c r="M16" i="2147"/>
  <c r="AF15" i="2147"/>
  <c r="AB15" i="2147"/>
  <c r="Q15" i="2147"/>
  <c r="M15" i="2147"/>
  <c r="O15" i="2147"/>
  <c r="AF14" i="2147"/>
  <c r="AB14" i="2147"/>
  <c r="Q14" i="2147"/>
  <c r="P14" i="2147"/>
  <c r="AC14" i="2147" s="1"/>
  <c r="O14" i="2147"/>
  <c r="M14" i="2147"/>
  <c r="K14" i="2147"/>
  <c r="AF13" i="2147"/>
  <c r="Q13" i="2147"/>
  <c r="P13" i="2147"/>
  <c r="AC13" i="2147" s="1"/>
  <c r="O13" i="2147"/>
  <c r="AF12" i="2147"/>
  <c r="AB12" i="2147"/>
  <c r="Q12" i="2147"/>
  <c r="O12" i="2147"/>
  <c r="AF11" i="2147"/>
  <c r="Q11" i="2147"/>
  <c r="AF10" i="2147"/>
  <c r="AB10" i="2147"/>
  <c r="Q10" i="2147"/>
  <c r="P10" i="2147"/>
  <c r="AC10" i="2147" s="1"/>
  <c r="O10" i="2147"/>
  <c r="M10" i="2147"/>
  <c r="AF9" i="2147"/>
  <c r="AB9" i="2147"/>
  <c r="Q9" i="2147"/>
  <c r="M9" i="2147"/>
  <c r="O9" i="2147"/>
  <c r="AF8" i="2147"/>
  <c r="Q8" i="2147"/>
  <c r="AF7" i="2147"/>
  <c r="Q7" i="2147"/>
  <c r="P7" i="2147"/>
  <c r="AC7" i="2147" s="1"/>
  <c r="O7" i="2147"/>
  <c r="AF6" i="2147"/>
  <c r="AC6" i="2147"/>
  <c r="AD6" i="2147" s="1"/>
  <c r="AB6" i="2147"/>
  <c r="Q6" i="2147"/>
  <c r="P6" i="2147"/>
  <c r="O6" i="2147"/>
  <c r="M6" i="2147"/>
  <c r="K6" i="2147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3" i="2146"/>
  <c r="L21" i="2146"/>
  <c r="L20" i="2146"/>
  <c r="L19" i="2146"/>
  <c r="K19" i="2146"/>
  <c r="L18" i="2146"/>
  <c r="L17" i="2146"/>
  <c r="K17" i="2146" s="1"/>
  <c r="L16" i="2146"/>
  <c r="L15" i="2146"/>
  <c r="L13" i="2146"/>
  <c r="L12" i="2146"/>
  <c r="L11" i="2146"/>
  <c r="L9" i="2146"/>
  <c r="L8" i="2146"/>
  <c r="L7" i="2146"/>
  <c r="K7" i="2146" s="1"/>
  <c r="L28" i="2146"/>
  <c r="M28" i="2146" s="1"/>
  <c r="L27" i="2146"/>
  <c r="K27" i="2146" s="1"/>
  <c r="L26" i="2146"/>
  <c r="K26" i="2146"/>
  <c r="K21" i="2146"/>
  <c r="K20" i="2146"/>
  <c r="K18" i="2146"/>
  <c r="K16" i="2146"/>
  <c r="K15" i="2146"/>
  <c r="K14" i="2146"/>
  <c r="K13" i="2146"/>
  <c r="K12" i="2146"/>
  <c r="K10" i="2146"/>
  <c r="K9" i="2146"/>
  <c r="K8" i="2146"/>
  <c r="A85" i="2146"/>
  <c r="A86" i="2146" s="1"/>
  <c r="A87" i="2146" s="1"/>
  <c r="A88" i="2146" s="1"/>
  <c r="A89" i="2146" s="1"/>
  <c r="A90" i="2146" s="1"/>
  <c r="AF69" i="2146"/>
  <c r="AF68" i="2146"/>
  <c r="AF71" i="2146" s="1"/>
  <c r="AA30" i="2146"/>
  <c r="Z30" i="2146"/>
  <c r="Y30" i="2146"/>
  <c r="X30" i="2146"/>
  <c r="W30" i="2146"/>
  <c r="V30" i="2146"/>
  <c r="U30" i="2146"/>
  <c r="T30" i="2146"/>
  <c r="S30" i="2146"/>
  <c r="R30" i="2146"/>
  <c r="N30" i="2146"/>
  <c r="J30" i="2146"/>
  <c r="I30" i="2146"/>
  <c r="AF29" i="2146"/>
  <c r="AB29" i="2146"/>
  <c r="Q29" i="2146"/>
  <c r="P29" i="2146"/>
  <c r="AC29" i="2146" s="1"/>
  <c r="AD29" i="2146" s="1"/>
  <c r="O29" i="2146"/>
  <c r="M29" i="2146"/>
  <c r="K29" i="2146"/>
  <c r="AF28" i="2146"/>
  <c r="Q28" i="2146"/>
  <c r="O28" i="2146"/>
  <c r="P28" i="2146"/>
  <c r="AC28" i="2146" s="1"/>
  <c r="AF27" i="2146"/>
  <c r="Q27" i="2146"/>
  <c r="AB27" i="2146"/>
  <c r="AF26" i="2146"/>
  <c r="Q26" i="2146"/>
  <c r="P26" i="2146" s="1"/>
  <c r="AC26" i="2146" s="1"/>
  <c r="O26" i="2146"/>
  <c r="AF25" i="2146"/>
  <c r="AB25" i="2146"/>
  <c r="Q25" i="2146"/>
  <c r="P25" i="2146"/>
  <c r="AC25" i="2146" s="1"/>
  <c r="AD25" i="2146" s="1"/>
  <c r="O25" i="2146"/>
  <c r="M25" i="2146"/>
  <c r="K25" i="2146"/>
  <c r="AF24" i="2146"/>
  <c r="AB24" i="2146"/>
  <c r="Q24" i="2146"/>
  <c r="P24" i="2146"/>
  <c r="AC24" i="2146" s="1"/>
  <c r="AD24" i="2146" s="1"/>
  <c r="O24" i="2146"/>
  <c r="M24" i="2146"/>
  <c r="K24" i="2146"/>
  <c r="AF23" i="2146"/>
  <c r="AB23" i="2146"/>
  <c r="Q23" i="2146"/>
  <c r="P23" i="2146" s="1"/>
  <c r="AC23" i="2146" s="1"/>
  <c r="AD23" i="2146" s="1"/>
  <c r="O23" i="2146"/>
  <c r="M23" i="2146"/>
  <c r="K23" i="2146"/>
  <c r="AF22" i="2146"/>
  <c r="AB22" i="2146"/>
  <c r="Q22" i="2146"/>
  <c r="P22" i="2146"/>
  <c r="AC22" i="2146" s="1"/>
  <c r="O22" i="2146"/>
  <c r="M22" i="2146"/>
  <c r="K22" i="2146"/>
  <c r="AF21" i="2146"/>
  <c r="Q21" i="2146"/>
  <c r="P21" i="2146"/>
  <c r="AC21" i="2146" s="1"/>
  <c r="O21" i="2146"/>
  <c r="AB21" i="2146"/>
  <c r="AF20" i="2146"/>
  <c r="AB20" i="2146"/>
  <c r="Q20" i="2146"/>
  <c r="O20" i="2146"/>
  <c r="M20" i="2146"/>
  <c r="P20" i="2146"/>
  <c r="AC20" i="2146" s="1"/>
  <c r="AF19" i="2146"/>
  <c r="Q19" i="2146"/>
  <c r="AB19" i="2146"/>
  <c r="AF18" i="2146"/>
  <c r="Q18" i="2146"/>
  <c r="P18" i="2146"/>
  <c r="AC18" i="2146" s="1"/>
  <c r="O18" i="2146"/>
  <c r="AF17" i="2146"/>
  <c r="AB17" i="2146"/>
  <c r="Q17" i="2146"/>
  <c r="P17" i="2146" s="1"/>
  <c r="AC17" i="2146" s="1"/>
  <c r="O17" i="2146"/>
  <c r="M17" i="2146"/>
  <c r="AF16" i="2146"/>
  <c r="Q16" i="2146"/>
  <c r="AB16" i="2146"/>
  <c r="AF15" i="2146"/>
  <c r="Q15" i="2146"/>
  <c r="P15" i="2146"/>
  <c r="AC15" i="2146" s="1"/>
  <c r="O15" i="2146"/>
  <c r="AF14" i="2146"/>
  <c r="Q14" i="2146"/>
  <c r="P14" i="2146"/>
  <c r="AC14" i="2146" s="1"/>
  <c r="O14" i="2146"/>
  <c r="M14" i="2146"/>
  <c r="AB14" i="2146"/>
  <c r="AF13" i="2146"/>
  <c r="AB13" i="2146"/>
  <c r="Q13" i="2146"/>
  <c r="P13" i="2146" s="1"/>
  <c r="AC13" i="2146" s="1"/>
  <c r="O13" i="2146"/>
  <c r="M13" i="2146"/>
  <c r="AF12" i="2146"/>
  <c r="Q12" i="2146"/>
  <c r="M12" i="2146"/>
  <c r="AF11" i="2146"/>
  <c r="AB11" i="2146"/>
  <c r="Q11" i="2146"/>
  <c r="P11" i="2146" s="1"/>
  <c r="AC11" i="2146" s="1"/>
  <c r="O11" i="2146"/>
  <c r="M11" i="2146"/>
  <c r="K11" i="2146"/>
  <c r="AF10" i="2146"/>
  <c r="AB10" i="2146"/>
  <c r="Q10" i="2146"/>
  <c r="O10" i="2146"/>
  <c r="M10" i="2146"/>
  <c r="P10" i="2146"/>
  <c r="AC10" i="2146" s="1"/>
  <c r="AD10" i="2146" s="1"/>
  <c r="AF9" i="2146"/>
  <c r="Q9" i="2146"/>
  <c r="AB9" i="2146"/>
  <c r="AF8" i="2146"/>
  <c r="Q8" i="2146"/>
  <c r="P8" i="2146" s="1"/>
  <c r="AC8" i="2146" s="1"/>
  <c r="O8" i="2146"/>
  <c r="AF7" i="2146"/>
  <c r="AB7" i="2146"/>
  <c r="Q7" i="2146"/>
  <c r="P7" i="2146" s="1"/>
  <c r="AC7" i="2146" s="1"/>
  <c r="O7" i="2146"/>
  <c r="M7" i="2146"/>
  <c r="L30" i="2146"/>
  <c r="O30" i="2146" s="1"/>
  <c r="AF6" i="2146"/>
  <c r="AB6" i="2146"/>
  <c r="Q6" i="2146"/>
  <c r="P6" i="2146"/>
  <c r="AC6" i="2146" s="1"/>
  <c r="O6" i="2146"/>
  <c r="M6" i="2146"/>
  <c r="K6" i="2146"/>
  <c r="O11" i="2148" l="1"/>
  <c r="P11" i="2148"/>
  <c r="AC11" i="2148" s="1"/>
  <c r="O6" i="2148"/>
  <c r="K17" i="2148"/>
  <c r="P12" i="2148"/>
  <c r="AC12" i="2148" s="1"/>
  <c r="M18" i="2148"/>
  <c r="AB6" i="2148"/>
  <c r="AB9" i="2148"/>
  <c r="AB11" i="2148"/>
  <c r="O18" i="2148"/>
  <c r="AB14" i="2148"/>
  <c r="P16" i="2148"/>
  <c r="AC16" i="2148" s="1"/>
  <c r="AD22" i="2148"/>
  <c r="M10" i="2148"/>
  <c r="AD15" i="2148"/>
  <c r="O16" i="2148"/>
  <c r="K16" i="2148"/>
  <c r="AF74" i="2148"/>
  <c r="O10" i="2148"/>
  <c r="AD32" i="2148"/>
  <c r="K14" i="2148"/>
  <c r="P14" i="2148"/>
  <c r="AC14" i="2148" s="1"/>
  <c r="P10" i="2148"/>
  <c r="AC10" i="2148" s="1"/>
  <c r="AB13" i="2148"/>
  <c r="AB10" i="2148"/>
  <c r="M14" i="2148"/>
  <c r="AD11" i="2148"/>
  <c r="Q33" i="2148"/>
  <c r="P6" i="2148"/>
  <c r="AC6" i="2148" s="1"/>
  <c r="AD29" i="2148"/>
  <c r="AD18" i="2148"/>
  <c r="AD24" i="2148"/>
  <c r="AD28" i="2148"/>
  <c r="AD30" i="2148"/>
  <c r="AD21" i="2148"/>
  <c r="AD25" i="2148"/>
  <c r="AD26" i="2148"/>
  <c r="AD27" i="2148"/>
  <c r="M8" i="2148"/>
  <c r="AB8" i="2148"/>
  <c r="AD8" i="2148" s="1"/>
  <c r="O9" i="2148"/>
  <c r="M12" i="2148"/>
  <c r="AB12" i="2148"/>
  <c r="AD12" i="2148" s="1"/>
  <c r="O13" i="2148"/>
  <c r="M16" i="2148"/>
  <c r="AB16" i="2148"/>
  <c r="O17" i="2148"/>
  <c r="M19" i="2148"/>
  <c r="AB19" i="2148"/>
  <c r="AD19" i="2148" s="1"/>
  <c r="O20" i="2148"/>
  <c r="P31" i="2148"/>
  <c r="AC31" i="2148" s="1"/>
  <c r="AD31" i="2148" s="1"/>
  <c r="L33" i="2148"/>
  <c r="O33" i="2148" s="1"/>
  <c r="P9" i="2148"/>
  <c r="AC9" i="2148" s="1"/>
  <c r="P13" i="2148"/>
  <c r="AC13" i="2148" s="1"/>
  <c r="P17" i="2148"/>
  <c r="AC17" i="2148" s="1"/>
  <c r="AD17" i="2148" s="1"/>
  <c r="P20" i="2148"/>
  <c r="AC20" i="2148" s="1"/>
  <c r="M9" i="2148"/>
  <c r="M13" i="2148"/>
  <c r="M17" i="2148"/>
  <c r="M20" i="2148"/>
  <c r="AD20" i="2147"/>
  <c r="O16" i="2147"/>
  <c r="AD16" i="2147"/>
  <c r="L30" i="2147"/>
  <c r="O30" i="2147" s="1"/>
  <c r="M13" i="2147"/>
  <c r="AB13" i="2147"/>
  <c r="AD13" i="2147" s="1"/>
  <c r="M12" i="2147"/>
  <c r="AB11" i="2147"/>
  <c r="Q30" i="2147"/>
  <c r="AD23" i="2147"/>
  <c r="AD10" i="2147"/>
  <c r="AD17" i="2147"/>
  <c r="AD21" i="2147"/>
  <c r="AD24" i="2147"/>
  <c r="AD14" i="2147"/>
  <c r="AD22" i="2147"/>
  <c r="AD26" i="2147"/>
  <c r="M7" i="2147"/>
  <c r="AB7" i="2147"/>
  <c r="AD7" i="2147" s="1"/>
  <c r="O8" i="2147"/>
  <c r="P9" i="2147"/>
  <c r="AC9" i="2147" s="1"/>
  <c r="AD9" i="2147" s="1"/>
  <c r="O11" i="2147"/>
  <c r="P12" i="2147"/>
  <c r="AC12" i="2147" s="1"/>
  <c r="AD12" i="2147" s="1"/>
  <c r="P15" i="2147"/>
  <c r="AC15" i="2147" s="1"/>
  <c r="AD15" i="2147" s="1"/>
  <c r="M17" i="2147"/>
  <c r="O18" i="2147"/>
  <c r="P19" i="2147"/>
  <c r="AC19" i="2147" s="1"/>
  <c r="AD19" i="2147" s="1"/>
  <c r="M21" i="2147"/>
  <c r="M26" i="2147"/>
  <c r="O27" i="2147"/>
  <c r="AD27" i="2147" s="1"/>
  <c r="P28" i="2147"/>
  <c r="AC28" i="2147" s="1"/>
  <c r="K30" i="2147"/>
  <c r="P8" i="2147"/>
  <c r="AC8" i="2147" s="1"/>
  <c r="AD8" i="2147" s="1"/>
  <c r="P11" i="2147"/>
  <c r="AC11" i="2147" s="1"/>
  <c r="P18" i="2147"/>
  <c r="AC18" i="2147" s="1"/>
  <c r="AD18" i="2147" s="1"/>
  <c r="M28" i="2147"/>
  <c r="AB28" i="2147"/>
  <c r="M8" i="2147"/>
  <c r="M11" i="2147"/>
  <c r="M18" i="2147"/>
  <c r="M27" i="2147"/>
  <c r="AD17" i="2146"/>
  <c r="AD13" i="2146"/>
  <c r="AD11" i="2146"/>
  <c r="AD7" i="2146"/>
  <c r="K28" i="2146"/>
  <c r="AB28" i="2146"/>
  <c r="AD28" i="2146" s="1"/>
  <c r="Q30" i="2146"/>
  <c r="AD22" i="2146"/>
  <c r="AD20" i="2146"/>
  <c r="AD14" i="2146"/>
  <c r="AD21" i="2146"/>
  <c r="AB12" i="2146"/>
  <c r="AD6" i="2146"/>
  <c r="M8" i="2146"/>
  <c r="AB8" i="2146"/>
  <c r="AD8" i="2146" s="1"/>
  <c r="O9" i="2146"/>
  <c r="O12" i="2146"/>
  <c r="M15" i="2146"/>
  <c r="AB15" i="2146"/>
  <c r="AD15" i="2146" s="1"/>
  <c r="O16" i="2146"/>
  <c r="M18" i="2146"/>
  <c r="AB18" i="2146"/>
  <c r="AD18" i="2146" s="1"/>
  <c r="O19" i="2146"/>
  <c r="M26" i="2146"/>
  <c r="AB26" i="2146"/>
  <c r="AD26" i="2146" s="1"/>
  <c r="O27" i="2146"/>
  <c r="M9" i="2146"/>
  <c r="K30" i="2146"/>
  <c r="P9" i="2146"/>
  <c r="AC9" i="2146" s="1"/>
  <c r="P12" i="2146"/>
  <c r="AC12" i="2146" s="1"/>
  <c r="P16" i="2146"/>
  <c r="AC16" i="2146" s="1"/>
  <c r="P19" i="2146"/>
  <c r="AC19" i="2146" s="1"/>
  <c r="M21" i="2146"/>
  <c r="P27" i="2146"/>
  <c r="AC27" i="2146" s="1"/>
  <c r="AD27" i="2146" s="1"/>
  <c r="M16" i="2146"/>
  <c r="M19" i="2146"/>
  <c r="M27" i="214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28" i="2145"/>
  <c r="L27" i="2145"/>
  <c r="AB27" i="2145" s="1"/>
  <c r="L26" i="2145"/>
  <c r="K26" i="2145" s="1"/>
  <c r="L21" i="2145"/>
  <c r="L20" i="2145"/>
  <c r="O20" i="2145" s="1"/>
  <c r="L19" i="2145"/>
  <c r="L18" i="2145"/>
  <c r="AB18" i="2145" s="1"/>
  <c r="L16" i="2145"/>
  <c r="L15" i="2145"/>
  <c r="L14" i="2145"/>
  <c r="K14" i="2145"/>
  <c r="L13" i="2145"/>
  <c r="L12" i="2145"/>
  <c r="K11" i="2145"/>
  <c r="L10" i="2145"/>
  <c r="K10" i="2145" s="1"/>
  <c r="L9" i="2145"/>
  <c r="L8" i="2145"/>
  <c r="K8" i="2145" s="1"/>
  <c r="L7" i="2145"/>
  <c r="M7" i="2145" s="1"/>
  <c r="K7" i="2145"/>
  <c r="K25" i="2145"/>
  <c r="K23" i="2145"/>
  <c r="K21" i="2145"/>
  <c r="K19" i="2145"/>
  <c r="K16" i="2145"/>
  <c r="K15" i="2145"/>
  <c r="K13" i="2145"/>
  <c r="K12" i="2145"/>
  <c r="K9" i="2145"/>
  <c r="K6" i="2145"/>
  <c r="A85" i="2145"/>
  <c r="A86" i="2145" s="1"/>
  <c r="A87" i="2145" s="1"/>
  <c r="A88" i="2145" s="1"/>
  <c r="A89" i="2145" s="1"/>
  <c r="A90" i="2145" s="1"/>
  <c r="AF71" i="2145"/>
  <c r="AF69" i="2145"/>
  <c r="AF68" i="2145"/>
  <c r="AA30" i="2145"/>
  <c r="Z30" i="2145"/>
  <c r="Y30" i="2145"/>
  <c r="X30" i="2145"/>
  <c r="W30" i="2145"/>
  <c r="V30" i="2145"/>
  <c r="U30" i="2145"/>
  <c r="T30" i="2145"/>
  <c r="S30" i="2145"/>
  <c r="R30" i="2145"/>
  <c r="N30" i="2145"/>
  <c r="J30" i="2145"/>
  <c r="I30" i="2145"/>
  <c r="AF29" i="2145"/>
  <c r="AB29" i="2145"/>
  <c r="Q29" i="2145"/>
  <c r="P29" i="2145"/>
  <c r="AC29" i="2145" s="1"/>
  <c r="O29" i="2145"/>
  <c r="M29" i="2145"/>
  <c r="K29" i="2145"/>
  <c r="AF28" i="2145"/>
  <c r="AB28" i="2145"/>
  <c r="Q28" i="2145"/>
  <c r="P28" i="2145"/>
  <c r="AC28" i="2145" s="1"/>
  <c r="O28" i="2145"/>
  <c r="M28" i="2145"/>
  <c r="K28" i="2145"/>
  <c r="AF27" i="2145"/>
  <c r="Q27" i="2145"/>
  <c r="O27" i="2145"/>
  <c r="AF26" i="2145"/>
  <c r="AB26" i="2145"/>
  <c r="Q26" i="2145"/>
  <c r="P26" i="2145" s="1"/>
  <c r="AC26" i="2145" s="1"/>
  <c r="O26" i="2145"/>
  <c r="M26" i="2145"/>
  <c r="AF25" i="2145"/>
  <c r="Q25" i="2145"/>
  <c r="M25" i="2145"/>
  <c r="AB25" i="2145"/>
  <c r="AF24" i="2145"/>
  <c r="AB24" i="2145"/>
  <c r="Q24" i="2145"/>
  <c r="P24" i="2145"/>
  <c r="AC24" i="2145" s="1"/>
  <c r="O24" i="2145"/>
  <c r="M24" i="2145"/>
  <c r="K24" i="2145"/>
  <c r="AF23" i="2145"/>
  <c r="AB23" i="2145"/>
  <c r="Q23" i="2145"/>
  <c r="P23" i="2145"/>
  <c r="AC23" i="2145" s="1"/>
  <c r="AD23" i="2145" s="1"/>
  <c r="O23" i="2145"/>
  <c r="M23" i="2145"/>
  <c r="AF22" i="2145"/>
  <c r="AC22" i="2145"/>
  <c r="AB22" i="2145"/>
  <c r="Q22" i="2145"/>
  <c r="P22" i="2145"/>
  <c r="O22" i="2145"/>
  <c r="M22" i="2145"/>
  <c r="K22" i="2145"/>
  <c r="AF21" i="2145"/>
  <c r="Q21" i="2145"/>
  <c r="P21" i="2145"/>
  <c r="AC21" i="2145" s="1"/>
  <c r="O21" i="2145"/>
  <c r="AB21" i="2145"/>
  <c r="AF20" i="2145"/>
  <c r="Q20" i="2145"/>
  <c r="P20" i="2145"/>
  <c r="AC20" i="2145" s="1"/>
  <c r="M20" i="2145"/>
  <c r="AF19" i="2145"/>
  <c r="AB19" i="2145"/>
  <c r="Q19" i="2145"/>
  <c r="M19" i="2145"/>
  <c r="O19" i="2145"/>
  <c r="AF18" i="2145"/>
  <c r="Q18" i="2145"/>
  <c r="AF17" i="2145"/>
  <c r="AB17" i="2145"/>
  <c r="Q17" i="2145"/>
  <c r="P17" i="2145"/>
  <c r="AC17" i="2145" s="1"/>
  <c r="O17" i="2145"/>
  <c r="M17" i="2145"/>
  <c r="K17" i="2145"/>
  <c r="AF16" i="2145"/>
  <c r="AB16" i="2145"/>
  <c r="Q16" i="2145"/>
  <c r="M16" i="2145"/>
  <c r="P16" i="2145"/>
  <c r="AC16" i="2145" s="1"/>
  <c r="AF15" i="2145"/>
  <c r="Q15" i="2145"/>
  <c r="M15" i="2145"/>
  <c r="AF14" i="2145"/>
  <c r="AB14" i="2145"/>
  <c r="Q14" i="2145"/>
  <c r="P14" i="2145" s="1"/>
  <c r="AC14" i="2145" s="1"/>
  <c r="O14" i="2145"/>
  <c r="M14" i="2145"/>
  <c r="AF13" i="2145"/>
  <c r="Q13" i="2145"/>
  <c r="M13" i="2145"/>
  <c r="O13" i="2145"/>
  <c r="AF12" i="2145"/>
  <c r="Q12" i="2145"/>
  <c r="AB12" i="2145"/>
  <c r="AF11" i="2145"/>
  <c r="Q11" i="2145"/>
  <c r="P11" i="2145"/>
  <c r="AC11" i="2145" s="1"/>
  <c r="O11" i="2145"/>
  <c r="AB11" i="2145"/>
  <c r="AF10" i="2145"/>
  <c r="AB10" i="2145"/>
  <c r="Q10" i="2145"/>
  <c r="P10" i="2145" s="1"/>
  <c r="AC10" i="2145" s="1"/>
  <c r="O10" i="2145"/>
  <c r="M10" i="2145"/>
  <c r="AF9" i="2145"/>
  <c r="Q9" i="2145"/>
  <c r="P9" i="2145" s="1"/>
  <c r="AC9" i="2145" s="1"/>
  <c r="O9" i="2145"/>
  <c r="AB9" i="2145"/>
  <c r="AF8" i="2145"/>
  <c r="AB8" i="2145"/>
  <c r="Q8" i="2145"/>
  <c r="O8" i="2145"/>
  <c r="AF7" i="2145"/>
  <c r="Q7" i="2145"/>
  <c r="P7" i="2145" s="1"/>
  <c r="AC7" i="2145" s="1"/>
  <c r="AF6" i="2145"/>
  <c r="Q6" i="2145"/>
  <c r="P6" i="2145"/>
  <c r="AC6" i="2145" s="1"/>
  <c r="O6" i="2145"/>
  <c r="AD14" i="2148" l="1"/>
  <c r="K33" i="2148"/>
  <c r="AB33" i="2148"/>
  <c r="AD9" i="2148"/>
  <c r="AD10" i="2148"/>
  <c r="AD13" i="2148"/>
  <c r="M33" i="2148"/>
  <c r="P33" i="2148"/>
  <c r="AD20" i="2148"/>
  <c r="AD16" i="2148"/>
  <c r="AC33" i="2148"/>
  <c r="AD6" i="2148"/>
  <c r="M30" i="2147"/>
  <c r="AD11" i="2147"/>
  <c r="AD30" i="2147" s="1"/>
  <c r="AD28" i="2147"/>
  <c r="AB30" i="2147"/>
  <c r="AC30" i="2147"/>
  <c r="P30" i="2147"/>
  <c r="AC30" i="2146"/>
  <c r="M30" i="2146"/>
  <c r="AD19" i="2146"/>
  <c r="AB30" i="2146"/>
  <c r="AD12" i="2146"/>
  <c r="AD16" i="2146"/>
  <c r="AD9" i="2146"/>
  <c r="AD30" i="2146" s="1"/>
  <c r="P30" i="2146"/>
  <c r="P27" i="2145"/>
  <c r="AC27" i="2145" s="1"/>
  <c r="AD27" i="2145" s="1"/>
  <c r="K27" i="2145"/>
  <c r="K20" i="2145"/>
  <c r="AB20" i="2145"/>
  <c r="AD20" i="2145" s="1"/>
  <c r="K18" i="2145"/>
  <c r="AD28" i="2145"/>
  <c r="P8" i="2145"/>
  <c r="AC8" i="2145" s="1"/>
  <c r="AD26" i="2145"/>
  <c r="AD29" i="2145"/>
  <c r="M8" i="2145"/>
  <c r="AD17" i="2145"/>
  <c r="AD10" i="2145"/>
  <c r="AD8" i="2145"/>
  <c r="Q30" i="2145"/>
  <c r="L30" i="2145"/>
  <c r="O30" i="2145" s="1"/>
  <c r="AD14" i="2145"/>
  <c r="AD22" i="2145"/>
  <c r="AD24" i="2145"/>
  <c r="AD11" i="2145"/>
  <c r="AD9" i="2145"/>
  <c r="AD21" i="2145"/>
  <c r="AB7" i="2145"/>
  <c r="M12" i="2145"/>
  <c r="AB15" i="2145"/>
  <c r="O16" i="2145"/>
  <c r="AD16" i="2145" s="1"/>
  <c r="M18" i="2145"/>
  <c r="O25" i="2145"/>
  <c r="M6" i="2145"/>
  <c r="AB6" i="2145"/>
  <c r="O7" i="2145"/>
  <c r="M9" i="2145"/>
  <c r="M11" i="2145"/>
  <c r="O12" i="2145"/>
  <c r="P13" i="2145"/>
  <c r="AC13" i="2145" s="1"/>
  <c r="O15" i="2145"/>
  <c r="O18" i="2145"/>
  <c r="P19" i="2145"/>
  <c r="AC19" i="2145" s="1"/>
  <c r="AD19" i="2145" s="1"/>
  <c r="M21" i="2145"/>
  <c r="P25" i="2145"/>
  <c r="AC25" i="2145" s="1"/>
  <c r="M27" i="2145"/>
  <c r="P12" i="2145"/>
  <c r="AC12" i="2145" s="1"/>
  <c r="AD12" i="2145" s="1"/>
  <c r="P15" i="2145"/>
  <c r="AC15" i="2145" s="1"/>
  <c r="P18" i="2145"/>
  <c r="AC18" i="2145" s="1"/>
  <c r="AB13" i="2145"/>
  <c r="AD33" i="2148" l="1"/>
  <c r="AE29" i="2147"/>
  <c r="AE26" i="2147"/>
  <c r="AE21" i="2147"/>
  <c r="AE17" i="2147"/>
  <c r="AE10" i="2147"/>
  <c r="AE7" i="2147"/>
  <c r="AE27" i="2147"/>
  <c r="AE24" i="2147"/>
  <c r="AE18" i="2147"/>
  <c r="AE14" i="2147"/>
  <c r="AE11" i="2147"/>
  <c r="AE8" i="2147"/>
  <c r="AE28" i="2147"/>
  <c r="AE22" i="2147"/>
  <c r="AE19" i="2147"/>
  <c r="AE15" i="2147"/>
  <c r="AE12" i="2147"/>
  <c r="AE9" i="2147"/>
  <c r="AE25" i="2147"/>
  <c r="AE23" i="2147"/>
  <c r="AE20" i="2147"/>
  <c r="AE16" i="2147"/>
  <c r="AE13" i="2147"/>
  <c r="AE6" i="2147"/>
  <c r="AE29" i="2146"/>
  <c r="AE26" i="2146"/>
  <c r="AE18" i="2146"/>
  <c r="AE15" i="2146"/>
  <c r="AE11" i="2146"/>
  <c r="AE9" i="2146"/>
  <c r="AE27" i="2146"/>
  <c r="AE24" i="2146"/>
  <c r="AE22" i="2146"/>
  <c r="AE28" i="2146"/>
  <c r="AE20" i="2146"/>
  <c r="AE13" i="2146"/>
  <c r="AE10" i="2146"/>
  <c r="AE6" i="2146"/>
  <c r="AE25" i="2146"/>
  <c r="AE23" i="2146"/>
  <c r="AE21" i="2146"/>
  <c r="AE17" i="2146"/>
  <c r="AE14" i="2146"/>
  <c r="AE7" i="2146"/>
  <c r="AE8" i="2146"/>
  <c r="AE19" i="2146"/>
  <c r="AE16" i="2146"/>
  <c r="AE12" i="2146"/>
  <c r="K30" i="2145"/>
  <c r="AC30" i="2145"/>
  <c r="AD25" i="2145"/>
  <c r="AD7" i="2145"/>
  <c r="M30" i="2145"/>
  <c r="AD15" i="2145"/>
  <c r="AD13" i="2145"/>
  <c r="P30" i="2145"/>
  <c r="AD18" i="2145"/>
  <c r="AB30" i="2145"/>
  <c r="AD6" i="2145"/>
  <c r="AE22" i="2148" l="1"/>
  <c r="AE23" i="2148"/>
  <c r="AE27" i="2148"/>
  <c r="AE14" i="2148"/>
  <c r="AE7" i="2148"/>
  <c r="AE24" i="2148"/>
  <c r="AE26" i="2148"/>
  <c r="AE11" i="2148"/>
  <c r="AE29" i="2148"/>
  <c r="AE28" i="2148"/>
  <c r="AE6" i="2148"/>
  <c r="AE18" i="2148"/>
  <c r="AE21" i="2148"/>
  <c r="AE15" i="2148"/>
  <c r="AE10" i="2148"/>
  <c r="AE31" i="2148"/>
  <c r="AE9" i="2148"/>
  <c r="AE13" i="2148"/>
  <c r="AE17" i="2148"/>
  <c r="AE25" i="2148"/>
  <c r="AE20" i="2148"/>
  <c r="AE30" i="2148"/>
  <c r="AE8" i="2148"/>
  <c r="AE12" i="2148"/>
  <c r="AE16" i="2148"/>
  <c r="AE32" i="2148"/>
  <c r="AE19" i="2148"/>
  <c r="AD30" i="2145"/>
  <c r="AE21" i="2145" s="1"/>
  <c r="AE7" i="2145" l="1"/>
  <c r="AE12" i="2145"/>
  <c r="AE10" i="2145"/>
  <c r="AE8" i="2145"/>
  <c r="AE19" i="2145"/>
  <c r="AE6" i="2145"/>
  <c r="AE26" i="2145"/>
  <c r="AE9" i="2145"/>
  <c r="AE15" i="2145"/>
  <c r="AE22" i="2145"/>
  <c r="AE29" i="2145"/>
  <c r="AE14" i="2145"/>
  <c r="AE11" i="2145"/>
  <c r="AE20" i="2145"/>
  <c r="AE13" i="2145"/>
  <c r="AE25" i="2145"/>
  <c r="AE24" i="2145"/>
  <c r="AE17" i="2145"/>
  <c r="AE27" i="2145"/>
  <c r="AE23" i="2145"/>
  <c r="AE16" i="2145"/>
  <c r="AE28" i="2145"/>
  <c r="AE18" i="2145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K29" i="2144"/>
  <c r="L28" i="2144"/>
  <c r="K28" i="2144"/>
  <c r="L27" i="2144"/>
  <c r="K27" i="2144"/>
  <c r="L26" i="2144"/>
  <c r="K26" i="2144"/>
  <c r="L24" i="2144"/>
  <c r="L22" i="2144"/>
  <c r="L21" i="2144"/>
  <c r="L20" i="2144"/>
  <c r="K20" i="2144" s="1"/>
  <c r="L19" i="2144"/>
  <c r="K19" i="2144" s="1"/>
  <c r="L17" i="2144"/>
  <c r="O17" i="2144" s="1"/>
  <c r="L16" i="2144"/>
  <c r="K16" i="2144"/>
  <c r="L14" i="2144"/>
  <c r="K14" i="2144" s="1"/>
  <c r="L13" i="2144"/>
  <c r="L12" i="2144"/>
  <c r="O12" i="2144" s="1"/>
  <c r="AF12" i="2144"/>
  <c r="Q12" i="2144"/>
  <c r="AB12" i="2144"/>
  <c r="L11" i="2144"/>
  <c r="K11" i="2144" s="1"/>
  <c r="L9" i="2144"/>
  <c r="K9" i="2144" s="1"/>
  <c r="L7" i="2144"/>
  <c r="L6" i="2144"/>
  <c r="K6" i="2144" s="1"/>
  <c r="K24" i="2144"/>
  <c r="K22" i="2144"/>
  <c r="K21" i="2144"/>
  <c r="K18" i="2144"/>
  <c r="K13" i="2144"/>
  <c r="K8" i="2144"/>
  <c r="K7" i="2144"/>
  <c r="A86" i="2144"/>
  <c r="A87" i="2144" s="1"/>
  <c r="A88" i="2144" s="1"/>
  <c r="A89" i="2144" s="1"/>
  <c r="A90" i="2144" s="1"/>
  <c r="A91" i="2144" s="1"/>
  <c r="AF70" i="2144"/>
  <c r="AF69" i="2144"/>
  <c r="AA31" i="2144"/>
  <c r="Z31" i="2144"/>
  <c r="Y31" i="2144"/>
  <c r="X31" i="2144"/>
  <c r="W31" i="2144"/>
  <c r="V31" i="2144"/>
  <c r="U31" i="2144"/>
  <c r="T31" i="2144"/>
  <c r="S31" i="2144"/>
  <c r="R31" i="2144"/>
  <c r="N31" i="2144"/>
  <c r="J31" i="2144"/>
  <c r="I31" i="2144"/>
  <c r="AF30" i="2144"/>
  <c r="AB30" i="2144"/>
  <c r="Q30" i="2144"/>
  <c r="P30" i="2144"/>
  <c r="AC30" i="2144" s="1"/>
  <c r="AD30" i="2144" s="1"/>
  <c r="O30" i="2144"/>
  <c r="M30" i="2144"/>
  <c r="K30" i="2144"/>
  <c r="AF29" i="2144"/>
  <c r="AB29" i="2144"/>
  <c r="Q29" i="2144"/>
  <c r="P29" i="2144"/>
  <c r="AC29" i="2144" s="1"/>
  <c r="AD29" i="2144" s="1"/>
  <c r="O29" i="2144"/>
  <c r="M29" i="2144"/>
  <c r="AF28" i="2144"/>
  <c r="AB28" i="2144"/>
  <c r="Q28" i="2144"/>
  <c r="P28" i="2144" s="1"/>
  <c r="AC28" i="2144" s="1"/>
  <c r="O28" i="2144"/>
  <c r="M28" i="2144"/>
  <c r="AF27" i="2144"/>
  <c r="AB27" i="2144"/>
  <c r="Q27" i="2144"/>
  <c r="P27" i="2144" s="1"/>
  <c r="AC27" i="2144" s="1"/>
  <c r="O27" i="2144"/>
  <c r="M27" i="2144"/>
  <c r="AF26" i="2144"/>
  <c r="AB26" i="2144"/>
  <c r="Q26" i="2144"/>
  <c r="P26" i="2144" s="1"/>
  <c r="AC26" i="2144" s="1"/>
  <c r="O26" i="2144"/>
  <c r="M26" i="2144"/>
  <c r="AF25" i="2144"/>
  <c r="AB25" i="2144"/>
  <c r="Q25" i="2144"/>
  <c r="P25" i="2144"/>
  <c r="AC25" i="2144" s="1"/>
  <c r="AD25" i="2144" s="1"/>
  <c r="O25" i="2144"/>
  <c r="M25" i="2144"/>
  <c r="K25" i="2144"/>
  <c r="AF24" i="2144"/>
  <c r="Q24" i="2144"/>
  <c r="P24" i="2144"/>
  <c r="AC24" i="2144" s="1"/>
  <c r="O24" i="2144"/>
  <c r="AB24" i="2144"/>
  <c r="AF23" i="2144"/>
  <c r="AB23" i="2144"/>
  <c r="Q23" i="2144"/>
  <c r="P23" i="2144"/>
  <c r="AC23" i="2144" s="1"/>
  <c r="O23" i="2144"/>
  <c r="M23" i="2144"/>
  <c r="K23" i="2144"/>
  <c r="AF22" i="2144"/>
  <c r="Q22" i="2144"/>
  <c r="AB22" i="2144"/>
  <c r="AF21" i="2144"/>
  <c r="Q21" i="2144"/>
  <c r="P21" i="2144"/>
  <c r="AC21" i="2144" s="1"/>
  <c r="O21" i="2144"/>
  <c r="AF20" i="2144"/>
  <c r="AB20" i="2144"/>
  <c r="Q20" i="2144"/>
  <c r="P20" i="2144" s="1"/>
  <c r="AC20" i="2144" s="1"/>
  <c r="O20" i="2144"/>
  <c r="M20" i="2144"/>
  <c r="AF19" i="2144"/>
  <c r="Q19" i="2144"/>
  <c r="AF18" i="2144"/>
  <c r="Q18" i="2144"/>
  <c r="P18" i="2144"/>
  <c r="AC18" i="2144" s="1"/>
  <c r="O18" i="2144"/>
  <c r="AF17" i="2144"/>
  <c r="Q17" i="2144"/>
  <c r="AF16" i="2144"/>
  <c r="AB16" i="2144"/>
  <c r="Q16" i="2144"/>
  <c r="P16" i="2144" s="1"/>
  <c r="AC16" i="2144" s="1"/>
  <c r="O16" i="2144"/>
  <c r="M16" i="2144"/>
  <c r="AF15" i="2144"/>
  <c r="AB15" i="2144"/>
  <c r="Q15" i="2144"/>
  <c r="P15" i="2144"/>
  <c r="AC15" i="2144" s="1"/>
  <c r="O15" i="2144"/>
  <c r="M15" i="2144"/>
  <c r="K15" i="2144"/>
  <c r="AF14" i="2144"/>
  <c r="Q14" i="2144"/>
  <c r="O14" i="2144"/>
  <c r="P14" i="2144"/>
  <c r="AC14" i="2144" s="1"/>
  <c r="AF13" i="2144"/>
  <c r="AB13" i="2144"/>
  <c r="Q13" i="2144"/>
  <c r="P13" i="2144" s="1"/>
  <c r="AC13" i="2144" s="1"/>
  <c r="M13" i="2144"/>
  <c r="O13" i="2144"/>
  <c r="AF11" i="2144"/>
  <c r="Q11" i="2144"/>
  <c r="AF10" i="2144"/>
  <c r="AB10" i="2144"/>
  <c r="Q10" i="2144"/>
  <c r="P10" i="2144"/>
  <c r="AC10" i="2144" s="1"/>
  <c r="O10" i="2144"/>
  <c r="M10" i="2144"/>
  <c r="K10" i="2144"/>
  <c r="AF9" i="2144"/>
  <c r="AB9" i="2144"/>
  <c r="Q9" i="2144"/>
  <c r="P9" i="2144"/>
  <c r="AC9" i="2144" s="1"/>
  <c r="O9" i="2144"/>
  <c r="M9" i="2144"/>
  <c r="AF8" i="2144"/>
  <c r="Q8" i="2144"/>
  <c r="AB8" i="2144"/>
  <c r="AF7" i="2144"/>
  <c r="AB7" i="2144"/>
  <c r="Q7" i="2144"/>
  <c r="P7" i="2144" s="1"/>
  <c r="AC7" i="2144" s="1"/>
  <c r="M7" i="2144"/>
  <c r="O7" i="2144"/>
  <c r="AF6" i="2144"/>
  <c r="Q6" i="2144"/>
  <c r="O6" i="2144"/>
  <c r="AB19" i="2144" l="1"/>
  <c r="P17" i="2144"/>
  <c r="AC17" i="2144" s="1"/>
  <c r="K17" i="2144"/>
  <c r="AF72" i="2144"/>
  <c r="K12" i="2144"/>
  <c r="P12" i="2144"/>
  <c r="AC12" i="2144" s="1"/>
  <c r="AD12" i="2144" s="1"/>
  <c r="AB11" i="2144"/>
  <c r="M12" i="2144"/>
  <c r="AD15" i="2144"/>
  <c r="AD28" i="2144"/>
  <c r="AD16" i="2144"/>
  <c r="AD27" i="2144"/>
  <c r="AD26" i="2144"/>
  <c r="Q31" i="2144"/>
  <c r="P6" i="2144"/>
  <c r="AC6" i="2144" s="1"/>
  <c r="AD10" i="2144"/>
  <c r="AD20" i="2144"/>
  <c r="AD23" i="2144"/>
  <c r="AD9" i="2144"/>
  <c r="AD13" i="2144"/>
  <c r="AD24" i="2144"/>
  <c r="AD7" i="2144"/>
  <c r="O8" i="2144"/>
  <c r="O11" i="2144"/>
  <c r="M18" i="2144"/>
  <c r="AB18" i="2144"/>
  <c r="AD18" i="2144" s="1"/>
  <c r="O19" i="2144"/>
  <c r="M21" i="2144"/>
  <c r="AB21" i="2144"/>
  <c r="AD21" i="2144" s="1"/>
  <c r="O22" i="2144"/>
  <c r="M24" i="2144"/>
  <c r="L31" i="2144"/>
  <c r="O31" i="2144" s="1"/>
  <c r="M6" i="2144"/>
  <c r="AB6" i="2144"/>
  <c r="P8" i="2144"/>
  <c r="AC8" i="2144" s="1"/>
  <c r="AD8" i="2144" s="1"/>
  <c r="P11" i="2144"/>
  <c r="AC11" i="2144" s="1"/>
  <c r="M14" i="2144"/>
  <c r="AB14" i="2144"/>
  <c r="AD14" i="2144" s="1"/>
  <c r="M17" i="2144"/>
  <c r="AB17" i="2144"/>
  <c r="P19" i="2144"/>
  <c r="AC19" i="2144" s="1"/>
  <c r="P22" i="2144"/>
  <c r="AC22" i="2144" s="1"/>
  <c r="AD22" i="2144" s="1"/>
  <c r="M8" i="2144"/>
  <c r="M11" i="2144"/>
  <c r="M19" i="2144"/>
  <c r="M22" i="2144"/>
  <c r="AD17" i="2144" l="1"/>
  <c r="AD11" i="2144"/>
  <c r="AD19" i="2144"/>
  <c r="AB31" i="2144"/>
  <c r="AD6" i="2144"/>
  <c r="AC31" i="2144"/>
  <c r="M31" i="2144"/>
  <c r="K31" i="2144"/>
  <c r="P31" i="2144"/>
  <c r="AD31" i="2144" l="1"/>
  <c r="AE12" i="2144" s="1"/>
  <c r="AE11" i="2144" l="1"/>
  <c r="AE23" i="2144"/>
  <c r="AE16" i="2144"/>
  <c r="AE8" i="2144"/>
  <c r="AE7" i="2144"/>
  <c r="AE24" i="2144"/>
  <c r="AE14" i="2144"/>
  <c r="AE6" i="2144"/>
  <c r="AE25" i="2144"/>
  <c r="AE15" i="2144"/>
  <c r="AE10" i="2144"/>
  <c r="AE26" i="2144"/>
  <c r="AE17" i="2144"/>
  <c r="AE9" i="2144"/>
  <c r="AE27" i="2144"/>
  <c r="AE19" i="2144"/>
  <c r="AE18" i="2144"/>
  <c r="AE28" i="2144"/>
  <c r="AE20" i="2144"/>
  <c r="AE13" i="2144"/>
  <c r="AE29" i="2144"/>
  <c r="AE22" i="2144"/>
  <c r="AE21" i="2144"/>
  <c r="AE30" i="2144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25" i="2143"/>
  <c r="L23" i="2143"/>
  <c r="L22" i="2143"/>
  <c r="K21" i="2143"/>
  <c r="L20" i="2143"/>
  <c r="K20" i="2143" s="1"/>
  <c r="L19" i="2143"/>
  <c r="K19" i="2143" s="1"/>
  <c r="L18" i="2143"/>
  <c r="K18" i="2143" s="1"/>
  <c r="L17" i="2143"/>
  <c r="K17" i="2143" s="1"/>
  <c r="L15" i="2143"/>
  <c r="L14" i="2143"/>
  <c r="AB14" i="2143" s="1"/>
  <c r="L13" i="2143"/>
  <c r="L11" i="2143"/>
  <c r="L10" i="2143"/>
  <c r="K10" i="2143"/>
  <c r="K9" i="2143"/>
  <c r="K8" i="2143"/>
  <c r="AF10" i="2143"/>
  <c r="AB10" i="2143"/>
  <c r="Q10" i="2143"/>
  <c r="O10" i="2143"/>
  <c r="M10" i="2143"/>
  <c r="AF9" i="2143"/>
  <c r="AB9" i="2143"/>
  <c r="Q9" i="2143"/>
  <c r="P9" i="2143" s="1"/>
  <c r="AC9" i="2143" s="1"/>
  <c r="O9" i="2143"/>
  <c r="M9" i="2143"/>
  <c r="L7" i="2143"/>
  <c r="K7" i="2143" s="1"/>
  <c r="L6" i="2143"/>
  <c r="K6" i="2143" s="1"/>
  <c r="K27" i="2143"/>
  <c r="K25" i="2143"/>
  <c r="K23" i="2143"/>
  <c r="K22" i="2143"/>
  <c r="K16" i="2143"/>
  <c r="K15" i="2143"/>
  <c r="K13" i="2143"/>
  <c r="K12" i="2143"/>
  <c r="K11" i="2143"/>
  <c r="A87" i="2143"/>
  <c r="A88" i="2143" s="1"/>
  <c r="A89" i="2143" s="1"/>
  <c r="A90" i="2143" s="1"/>
  <c r="A91" i="2143" s="1"/>
  <c r="A92" i="2143" s="1"/>
  <c r="AF71" i="2143"/>
  <c r="AF70" i="2143"/>
  <c r="AA32" i="2143"/>
  <c r="Z32" i="2143"/>
  <c r="Y32" i="2143"/>
  <c r="X32" i="2143"/>
  <c r="W32" i="2143"/>
  <c r="V32" i="2143"/>
  <c r="U32" i="2143"/>
  <c r="T32" i="2143"/>
  <c r="S32" i="2143"/>
  <c r="R32" i="2143"/>
  <c r="N32" i="2143"/>
  <c r="J32" i="2143"/>
  <c r="AF31" i="2143"/>
  <c r="AB31" i="2143"/>
  <c r="Q31" i="2143"/>
  <c r="P31" i="2143"/>
  <c r="AC31" i="2143" s="1"/>
  <c r="O31" i="2143"/>
  <c r="M31" i="2143"/>
  <c r="K31" i="2143"/>
  <c r="AF30" i="2143"/>
  <c r="AB30" i="2143"/>
  <c r="Q30" i="2143"/>
  <c r="P30" i="2143"/>
  <c r="AC30" i="2143" s="1"/>
  <c r="O30" i="2143"/>
  <c r="M30" i="2143"/>
  <c r="K30" i="2143"/>
  <c r="AF29" i="2143"/>
  <c r="AB29" i="2143"/>
  <c r="Q29" i="2143"/>
  <c r="P29" i="2143"/>
  <c r="AC29" i="2143" s="1"/>
  <c r="O29" i="2143"/>
  <c r="M29" i="2143"/>
  <c r="K29" i="2143"/>
  <c r="AF28" i="2143"/>
  <c r="AB28" i="2143"/>
  <c r="Q28" i="2143"/>
  <c r="P28" i="2143"/>
  <c r="AC28" i="2143" s="1"/>
  <c r="O28" i="2143"/>
  <c r="M28" i="2143"/>
  <c r="K28" i="2143"/>
  <c r="AF27" i="2143"/>
  <c r="Q27" i="2143"/>
  <c r="P27" i="2143"/>
  <c r="AC27" i="2143" s="1"/>
  <c r="O27" i="2143"/>
  <c r="AB27" i="2143"/>
  <c r="AF26" i="2143"/>
  <c r="AB26" i="2143"/>
  <c r="Q26" i="2143"/>
  <c r="P26" i="2143"/>
  <c r="AC26" i="2143" s="1"/>
  <c r="AD26" i="2143" s="1"/>
  <c r="O26" i="2143"/>
  <c r="M26" i="2143"/>
  <c r="K26" i="2143"/>
  <c r="AF25" i="2143"/>
  <c r="Q25" i="2143"/>
  <c r="AB25" i="2143"/>
  <c r="AF24" i="2143"/>
  <c r="AB24" i="2143"/>
  <c r="Q24" i="2143"/>
  <c r="P24" i="2143"/>
  <c r="AC24" i="2143" s="1"/>
  <c r="O24" i="2143"/>
  <c r="M24" i="2143"/>
  <c r="K24" i="2143"/>
  <c r="AF23" i="2143"/>
  <c r="AB23" i="2143"/>
  <c r="Q23" i="2143"/>
  <c r="M23" i="2143"/>
  <c r="O23" i="2143"/>
  <c r="AF22" i="2143"/>
  <c r="Q22" i="2143"/>
  <c r="P22" i="2143" s="1"/>
  <c r="AC22" i="2143" s="1"/>
  <c r="O22" i="2143"/>
  <c r="M22" i="2143"/>
  <c r="AB22" i="2143"/>
  <c r="AF21" i="2143"/>
  <c r="AB21" i="2143"/>
  <c r="Q21" i="2143"/>
  <c r="P21" i="2143" s="1"/>
  <c r="AC21" i="2143" s="1"/>
  <c r="O21" i="2143"/>
  <c r="M21" i="2143"/>
  <c r="AF20" i="2143"/>
  <c r="AB20" i="2143"/>
  <c r="Q20" i="2143"/>
  <c r="M20" i="2143"/>
  <c r="O20" i="2143"/>
  <c r="AF19" i="2143"/>
  <c r="Q19" i="2143"/>
  <c r="AF18" i="2143"/>
  <c r="AB18" i="2143"/>
  <c r="Q18" i="2143"/>
  <c r="P18" i="2143" s="1"/>
  <c r="AC18" i="2143" s="1"/>
  <c r="O18" i="2143"/>
  <c r="M18" i="2143"/>
  <c r="AF17" i="2143"/>
  <c r="AB17" i="2143"/>
  <c r="Q17" i="2143"/>
  <c r="P17" i="2143"/>
  <c r="AC17" i="2143" s="1"/>
  <c r="O17" i="2143"/>
  <c r="M17" i="2143"/>
  <c r="AF16" i="2143"/>
  <c r="AB16" i="2143"/>
  <c r="Q16" i="2143"/>
  <c r="P16" i="2143"/>
  <c r="AC16" i="2143" s="1"/>
  <c r="O16" i="2143"/>
  <c r="M16" i="2143"/>
  <c r="AF15" i="2143"/>
  <c r="AB15" i="2143"/>
  <c r="Q15" i="2143"/>
  <c r="M15" i="2143"/>
  <c r="O15" i="2143"/>
  <c r="AF14" i="2143"/>
  <c r="Q14" i="2143"/>
  <c r="AF13" i="2143"/>
  <c r="AB13" i="2143"/>
  <c r="Q13" i="2143"/>
  <c r="P13" i="2143" s="1"/>
  <c r="AC13" i="2143" s="1"/>
  <c r="O13" i="2143"/>
  <c r="M13" i="2143"/>
  <c r="AF12" i="2143"/>
  <c r="AB12" i="2143"/>
  <c r="Q12" i="2143"/>
  <c r="O12" i="2143"/>
  <c r="M12" i="2143"/>
  <c r="P12" i="2143"/>
  <c r="AC12" i="2143" s="1"/>
  <c r="AF11" i="2143"/>
  <c r="AB11" i="2143"/>
  <c r="Q11" i="2143"/>
  <c r="M11" i="2143"/>
  <c r="O11" i="2143"/>
  <c r="AF8" i="2143"/>
  <c r="AB8" i="2143"/>
  <c r="Q8" i="2143"/>
  <c r="P8" i="2143" s="1"/>
  <c r="AC8" i="2143" s="1"/>
  <c r="O8" i="2143"/>
  <c r="M8" i="2143"/>
  <c r="AF7" i="2143"/>
  <c r="Q7" i="2143"/>
  <c r="M7" i="2143"/>
  <c r="AF6" i="2143"/>
  <c r="AB6" i="2143"/>
  <c r="Q6" i="2143"/>
  <c r="M6" i="2143"/>
  <c r="O6" i="2143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6" i="2142"/>
  <c r="L24" i="2142"/>
  <c r="K24" i="2142"/>
  <c r="L22" i="2142"/>
  <c r="K22" i="2142" s="1"/>
  <c r="AF21" i="2142"/>
  <c r="Q21" i="2142"/>
  <c r="O21" i="2142"/>
  <c r="L21" i="2142"/>
  <c r="AB21" i="2142" s="1"/>
  <c r="L20" i="2142"/>
  <c r="M20" i="2142" s="1"/>
  <c r="L19" i="2142"/>
  <c r="K19" i="2142" s="1"/>
  <c r="L18" i="2142"/>
  <c r="K18" i="2142" s="1"/>
  <c r="L17" i="2142"/>
  <c r="K17" i="2142" s="1"/>
  <c r="L16" i="2142"/>
  <c r="O16" i="2142" s="1"/>
  <c r="L15" i="2142"/>
  <c r="O15" i="2142" s="1"/>
  <c r="L13" i="2142"/>
  <c r="K13" i="2142" s="1"/>
  <c r="L12" i="2142"/>
  <c r="K12" i="2142" s="1"/>
  <c r="L11" i="2142"/>
  <c r="AB11" i="2142" s="1"/>
  <c r="L10" i="2142"/>
  <c r="AB10" i="2142" s="1"/>
  <c r="L9" i="2142"/>
  <c r="M9" i="2142" s="1"/>
  <c r="L7" i="2142"/>
  <c r="AB7" i="2142" s="1"/>
  <c r="L6" i="2142"/>
  <c r="K6" i="2142" s="1"/>
  <c r="K26" i="2142"/>
  <c r="K20" i="2142"/>
  <c r="K16" i="2142"/>
  <c r="K14" i="2142"/>
  <c r="K8" i="2142"/>
  <c r="A86" i="2142"/>
  <c r="A87" i="2142" s="1"/>
  <c r="A88" i="2142" s="1"/>
  <c r="A89" i="2142" s="1"/>
  <c r="A90" i="2142" s="1"/>
  <c r="A91" i="2142" s="1"/>
  <c r="AF70" i="2142"/>
  <c r="AF69" i="2142"/>
  <c r="AF72" i="2142" s="1"/>
  <c r="AA31" i="2142"/>
  <c r="Z31" i="2142"/>
  <c r="Y31" i="2142"/>
  <c r="X31" i="2142"/>
  <c r="W31" i="2142"/>
  <c r="V31" i="2142"/>
  <c r="U31" i="2142"/>
  <c r="T31" i="2142"/>
  <c r="S31" i="2142"/>
  <c r="R31" i="2142"/>
  <c r="N31" i="2142"/>
  <c r="J31" i="2142"/>
  <c r="AF30" i="2142"/>
  <c r="AB30" i="2142"/>
  <c r="Q30" i="2142"/>
  <c r="P30" i="2142"/>
  <c r="AC30" i="2142" s="1"/>
  <c r="AD30" i="2142" s="1"/>
  <c r="O30" i="2142"/>
  <c r="M30" i="2142"/>
  <c r="K30" i="2142"/>
  <c r="AF29" i="2142"/>
  <c r="AB29" i="2142"/>
  <c r="Q29" i="2142"/>
  <c r="P29" i="2142"/>
  <c r="AC29" i="2142" s="1"/>
  <c r="O29" i="2142"/>
  <c r="M29" i="2142"/>
  <c r="K29" i="2142"/>
  <c r="AF28" i="2142"/>
  <c r="AB28" i="2142"/>
  <c r="Q28" i="2142"/>
  <c r="P28" i="2142"/>
  <c r="AC28" i="2142" s="1"/>
  <c r="O28" i="2142"/>
  <c r="M28" i="2142"/>
  <c r="K28" i="2142"/>
  <c r="AF27" i="2142"/>
  <c r="AB27" i="2142"/>
  <c r="Q27" i="2142"/>
  <c r="P27" i="2142"/>
  <c r="AC27" i="2142" s="1"/>
  <c r="O27" i="2142"/>
  <c r="M27" i="2142"/>
  <c r="K27" i="2142"/>
  <c r="AF26" i="2142"/>
  <c r="AB26" i="2142"/>
  <c r="Q26" i="2142"/>
  <c r="P26" i="2142"/>
  <c r="AC26" i="2142" s="1"/>
  <c r="M26" i="2142"/>
  <c r="O26" i="2142"/>
  <c r="AF25" i="2142"/>
  <c r="AB25" i="2142"/>
  <c r="Q25" i="2142"/>
  <c r="P25" i="2142"/>
  <c r="AC25" i="2142" s="1"/>
  <c r="O25" i="2142"/>
  <c r="M25" i="2142"/>
  <c r="K25" i="2142"/>
  <c r="AF24" i="2142"/>
  <c r="AB24" i="2142"/>
  <c r="Q24" i="2142"/>
  <c r="P24" i="2142"/>
  <c r="AC24" i="2142" s="1"/>
  <c r="O24" i="2142"/>
  <c r="M24" i="2142"/>
  <c r="AF23" i="2142"/>
  <c r="AB23" i="2142"/>
  <c r="Q23" i="2142"/>
  <c r="P23" i="2142"/>
  <c r="AC23" i="2142" s="1"/>
  <c r="AD23" i="2142" s="1"/>
  <c r="O23" i="2142"/>
  <c r="M23" i="2142"/>
  <c r="K23" i="2142"/>
  <c r="AF22" i="2142"/>
  <c r="Q22" i="2142"/>
  <c r="AF20" i="2142"/>
  <c r="AB20" i="2142"/>
  <c r="Q20" i="2142"/>
  <c r="P20" i="2142"/>
  <c r="AC20" i="2142" s="1"/>
  <c r="O20" i="2142"/>
  <c r="AF19" i="2142"/>
  <c r="AB19" i="2142"/>
  <c r="Q19" i="2142"/>
  <c r="P19" i="2142" s="1"/>
  <c r="AC19" i="2142" s="1"/>
  <c r="O19" i="2142"/>
  <c r="M19" i="2142"/>
  <c r="AF18" i="2142"/>
  <c r="Q18" i="2142"/>
  <c r="P18" i="2142" s="1"/>
  <c r="AC18" i="2142" s="1"/>
  <c r="O18" i="2142"/>
  <c r="AF17" i="2142"/>
  <c r="Q17" i="2142"/>
  <c r="AF16" i="2142"/>
  <c r="Q16" i="2142"/>
  <c r="AB16" i="2142"/>
  <c r="I16" i="2142"/>
  <c r="AF15" i="2142"/>
  <c r="Q15" i="2142"/>
  <c r="I15" i="2142"/>
  <c r="AF14" i="2142"/>
  <c r="Q14" i="2142"/>
  <c r="O14" i="2142"/>
  <c r="AB14" i="2142"/>
  <c r="AF13" i="2142"/>
  <c r="Q13" i="2142"/>
  <c r="AF12" i="2142"/>
  <c r="Q12" i="2142"/>
  <c r="AF11" i="2142"/>
  <c r="Q11" i="2142"/>
  <c r="P11" i="2142"/>
  <c r="AC11" i="2142" s="1"/>
  <c r="O11" i="2142"/>
  <c r="AF10" i="2142"/>
  <c r="Q10" i="2142"/>
  <c r="O10" i="2142"/>
  <c r="AF9" i="2142"/>
  <c r="Q9" i="2142"/>
  <c r="O9" i="2142"/>
  <c r="AF8" i="2142"/>
  <c r="AB8" i="2142"/>
  <c r="Q8" i="2142"/>
  <c r="P8" i="2142" s="1"/>
  <c r="AC8" i="2142" s="1"/>
  <c r="O8" i="2142"/>
  <c r="M8" i="2142"/>
  <c r="AF7" i="2142"/>
  <c r="Q7" i="2142"/>
  <c r="AF6" i="2142"/>
  <c r="Q6" i="2142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2" i="2141"/>
  <c r="L21" i="2141"/>
  <c r="L20" i="2141"/>
  <c r="K20" i="2141" s="1"/>
  <c r="AF20" i="2141"/>
  <c r="Q20" i="2141"/>
  <c r="P20" i="2141" s="1"/>
  <c r="AC20" i="2141" s="1"/>
  <c r="O20" i="2141"/>
  <c r="K18" i="2141"/>
  <c r="L17" i="2141"/>
  <c r="K17" i="2141" s="1"/>
  <c r="L16" i="2141"/>
  <c r="L15" i="2141"/>
  <c r="L14" i="2141"/>
  <c r="L13" i="2141"/>
  <c r="K13" i="2141" s="1"/>
  <c r="L12" i="2141"/>
  <c r="L11" i="2141"/>
  <c r="L10" i="2141"/>
  <c r="L9" i="2141"/>
  <c r="K8" i="2141"/>
  <c r="L7" i="2141"/>
  <c r="L6" i="2141"/>
  <c r="AD21" i="2143" l="1"/>
  <c r="AD12" i="2143"/>
  <c r="AB19" i="2143"/>
  <c r="AD29" i="2143"/>
  <c r="K14" i="2143"/>
  <c r="P10" i="2143"/>
  <c r="AC10" i="2143" s="1"/>
  <c r="AD10" i="2143" s="1"/>
  <c r="AD9" i="2143"/>
  <c r="Q32" i="2143"/>
  <c r="I32" i="2143"/>
  <c r="AD28" i="2143"/>
  <c r="AD24" i="2143"/>
  <c r="AD31" i="2143"/>
  <c r="AD13" i="2143"/>
  <c r="AD18" i="2143"/>
  <c r="AD27" i="2143"/>
  <c r="AD30" i="2143"/>
  <c r="AF73" i="2143"/>
  <c r="P7" i="2143"/>
  <c r="AC7" i="2143" s="1"/>
  <c r="AB7" i="2143"/>
  <c r="AB32" i="2143" s="1"/>
  <c r="O7" i="2143"/>
  <c r="AD17" i="2143"/>
  <c r="AD22" i="2143"/>
  <c r="AD16" i="2143"/>
  <c r="AD8" i="2143"/>
  <c r="P6" i="2143"/>
  <c r="P11" i="2143"/>
  <c r="AC11" i="2143" s="1"/>
  <c r="AD11" i="2143" s="1"/>
  <c r="O14" i="2143"/>
  <c r="P15" i="2143"/>
  <c r="AC15" i="2143" s="1"/>
  <c r="AD15" i="2143" s="1"/>
  <c r="O19" i="2143"/>
  <c r="P20" i="2143"/>
  <c r="AC20" i="2143" s="1"/>
  <c r="AD20" i="2143" s="1"/>
  <c r="P23" i="2143"/>
  <c r="AC23" i="2143" s="1"/>
  <c r="AD23" i="2143" s="1"/>
  <c r="O25" i="2143"/>
  <c r="M27" i="2143"/>
  <c r="L32" i="2143"/>
  <c r="O32" i="2143" s="1"/>
  <c r="P14" i="2143"/>
  <c r="AC14" i="2143" s="1"/>
  <c r="P19" i="2143"/>
  <c r="AC19" i="2143" s="1"/>
  <c r="P25" i="2143"/>
  <c r="AC25" i="2143" s="1"/>
  <c r="M14" i="2143"/>
  <c r="M19" i="2143"/>
  <c r="M25" i="2143"/>
  <c r="AD26" i="2142"/>
  <c r="AB22" i="2142"/>
  <c r="AD8" i="2142"/>
  <c r="P9" i="2142"/>
  <c r="AC9" i="2142" s="1"/>
  <c r="K21" i="2142"/>
  <c r="P21" i="2142"/>
  <c r="AC21" i="2142" s="1"/>
  <c r="AD21" i="2142" s="1"/>
  <c r="O22" i="2142"/>
  <c r="K11" i="2142"/>
  <c r="P12" i="2142"/>
  <c r="AC12" i="2142" s="1"/>
  <c r="I31" i="2142"/>
  <c r="K9" i="2142"/>
  <c r="M21" i="2142"/>
  <c r="AB6" i="2142"/>
  <c r="AB17" i="2142"/>
  <c r="K10" i="2142"/>
  <c r="M13" i="2142"/>
  <c r="M17" i="2142"/>
  <c r="AD25" i="2142"/>
  <c r="AD28" i="2142"/>
  <c r="AD29" i="2142"/>
  <c r="O6" i="2142"/>
  <c r="O7" i="2142"/>
  <c r="P13" i="2142"/>
  <c r="AC13" i="2142" s="1"/>
  <c r="AB15" i="2142"/>
  <c r="O17" i="2142"/>
  <c r="M18" i="2142"/>
  <c r="AB18" i="2142"/>
  <c r="AD24" i="2142"/>
  <c r="AD27" i="2142"/>
  <c r="K7" i="2142"/>
  <c r="K15" i="2142"/>
  <c r="AD19" i="2142"/>
  <c r="P17" i="2142"/>
  <c r="AC17" i="2142" s="1"/>
  <c r="AD17" i="2142" s="1"/>
  <c r="Q31" i="2142"/>
  <c r="O13" i="2142"/>
  <c r="AB13" i="2142"/>
  <c r="AD11" i="2142"/>
  <c r="M11" i="2142"/>
  <c r="AB9" i="2142"/>
  <c r="P6" i="2142"/>
  <c r="AC6" i="2142" s="1"/>
  <c r="AD6" i="2142" s="1"/>
  <c r="M6" i="2142"/>
  <c r="AD20" i="2142"/>
  <c r="AD18" i="2142"/>
  <c r="L31" i="2142"/>
  <c r="O31" i="2142" s="1"/>
  <c r="P7" i="2142"/>
  <c r="AC7" i="2142" s="1"/>
  <c r="AD7" i="2142" s="1"/>
  <c r="P10" i="2142"/>
  <c r="AC10" i="2142" s="1"/>
  <c r="AD10" i="2142" s="1"/>
  <c r="M12" i="2142"/>
  <c r="AB12" i="2142"/>
  <c r="P14" i="2142"/>
  <c r="AC14" i="2142" s="1"/>
  <c r="AD14" i="2142" s="1"/>
  <c r="P15" i="2142"/>
  <c r="AC15" i="2142" s="1"/>
  <c r="P16" i="2142"/>
  <c r="AC16" i="2142" s="1"/>
  <c r="AD16" i="2142" s="1"/>
  <c r="P22" i="2142"/>
  <c r="AC22" i="2142" s="1"/>
  <c r="O12" i="2142"/>
  <c r="M7" i="2142"/>
  <c r="M10" i="2142"/>
  <c r="M14" i="2142"/>
  <c r="M15" i="2142"/>
  <c r="M16" i="2142"/>
  <c r="M22" i="2142"/>
  <c r="AB20" i="2141"/>
  <c r="AD20" i="2141" s="1"/>
  <c r="M20" i="2141"/>
  <c r="AD25" i="2143" l="1"/>
  <c r="AD19" i="2143"/>
  <c r="AD14" i="2143"/>
  <c r="AD7" i="2143"/>
  <c r="M32" i="2143"/>
  <c r="AC6" i="2143"/>
  <c r="P32" i="2143"/>
  <c r="K32" i="2143"/>
  <c r="AD22" i="2142"/>
  <c r="AD13" i="2142"/>
  <c r="K31" i="2142"/>
  <c r="AD15" i="2142"/>
  <c r="AB31" i="2142"/>
  <c r="AD12" i="2142"/>
  <c r="AD9" i="2142"/>
  <c r="M31" i="2142"/>
  <c r="P31" i="2142"/>
  <c r="AC31" i="2142"/>
  <c r="AC32" i="2143" l="1"/>
  <c r="AD6" i="2143"/>
  <c r="AD32" i="2143" s="1"/>
  <c r="AD31" i="2142"/>
  <c r="AE30" i="2142" s="1"/>
  <c r="AE10" i="2143" l="1"/>
  <c r="AE9" i="2143"/>
  <c r="AE31" i="2143"/>
  <c r="AE29" i="2143"/>
  <c r="AE27" i="2143"/>
  <c r="AE24" i="2143"/>
  <c r="AE22" i="2143"/>
  <c r="AE18" i="2143"/>
  <c r="AE17" i="2143"/>
  <c r="AE16" i="2143"/>
  <c r="AE13" i="2143"/>
  <c r="AE25" i="2143"/>
  <c r="AE19" i="2143"/>
  <c r="AE14" i="2143"/>
  <c r="AE30" i="2143"/>
  <c r="AE28" i="2143"/>
  <c r="AE23" i="2143"/>
  <c r="AE20" i="2143"/>
  <c r="AE15" i="2143"/>
  <c r="AE11" i="2143"/>
  <c r="AE6" i="2143"/>
  <c r="AE26" i="2143"/>
  <c r="AE21" i="2143"/>
  <c r="AE12" i="2143"/>
  <c r="AE7" i="2143"/>
  <c r="AE8" i="2143"/>
  <c r="AE28" i="2142"/>
  <c r="AE21" i="2142"/>
  <c r="AE12" i="2142"/>
  <c r="AE23" i="2142"/>
  <c r="AE24" i="2142"/>
  <c r="AE25" i="2142"/>
  <c r="AE6" i="2142"/>
  <c r="AE19" i="2142"/>
  <c r="AE14" i="2142"/>
  <c r="AE18" i="2142"/>
  <c r="AE27" i="2142"/>
  <c r="AE15" i="2142"/>
  <c r="AE20" i="2142"/>
  <c r="AE11" i="2142"/>
  <c r="AE29" i="2142"/>
  <c r="AE7" i="2142"/>
  <c r="AE16" i="2142"/>
  <c r="AE9" i="2142"/>
  <c r="AE26" i="2142"/>
  <c r="AE17" i="2142"/>
  <c r="AE8" i="2142"/>
  <c r="AE10" i="2142"/>
  <c r="AE22" i="2142"/>
  <c r="AE13" i="2142"/>
  <c r="L26" i="2141"/>
  <c r="K26" i="2141" s="1"/>
  <c r="K27" i="2141"/>
  <c r="K22" i="2141"/>
  <c r="K21" i="2141"/>
  <c r="K19" i="2141"/>
  <c r="K16" i="2141"/>
  <c r="K15" i="2141"/>
  <c r="K14" i="2141"/>
  <c r="K12" i="2141"/>
  <c r="K11" i="2141"/>
  <c r="K10" i="2141"/>
  <c r="K9" i="2141"/>
  <c r="K7" i="2141"/>
  <c r="K6" i="2141"/>
  <c r="A86" i="2141"/>
  <c r="A87" i="2141" s="1"/>
  <c r="A88" i="2141" s="1"/>
  <c r="A89" i="2141" s="1"/>
  <c r="A90" i="2141" s="1"/>
  <c r="A91" i="2141" s="1"/>
  <c r="AF70" i="2141"/>
  <c r="AF69" i="2141"/>
  <c r="AF72" i="2141" s="1"/>
  <c r="AA31" i="2141"/>
  <c r="Z31" i="2141"/>
  <c r="Y31" i="2141"/>
  <c r="X31" i="2141"/>
  <c r="W31" i="2141"/>
  <c r="V31" i="2141"/>
  <c r="U31" i="2141"/>
  <c r="T31" i="2141"/>
  <c r="S31" i="2141"/>
  <c r="R31" i="2141"/>
  <c r="N31" i="2141"/>
  <c r="J31" i="2141"/>
  <c r="AF30" i="2141"/>
  <c r="AB30" i="2141"/>
  <c r="Q30" i="2141"/>
  <c r="P30" i="2141"/>
  <c r="AC30" i="2141" s="1"/>
  <c r="O30" i="2141"/>
  <c r="M30" i="2141"/>
  <c r="K30" i="2141"/>
  <c r="AF29" i="2141"/>
  <c r="AB29" i="2141"/>
  <c r="Q29" i="2141"/>
  <c r="P29" i="2141"/>
  <c r="AC29" i="2141" s="1"/>
  <c r="AD29" i="2141" s="1"/>
  <c r="O29" i="2141"/>
  <c r="M29" i="2141"/>
  <c r="K29" i="2141"/>
  <c r="AF28" i="2141"/>
  <c r="AB28" i="2141"/>
  <c r="Q28" i="2141"/>
  <c r="P28" i="2141"/>
  <c r="AC28" i="2141" s="1"/>
  <c r="O28" i="2141"/>
  <c r="M28" i="2141"/>
  <c r="K28" i="2141"/>
  <c r="AF27" i="2141"/>
  <c r="AB27" i="2141"/>
  <c r="Q27" i="2141"/>
  <c r="O27" i="2141"/>
  <c r="M27" i="2141"/>
  <c r="P27" i="2141"/>
  <c r="AC27" i="2141" s="1"/>
  <c r="AF26" i="2141"/>
  <c r="Q26" i="2141"/>
  <c r="AF25" i="2141"/>
  <c r="AB25" i="2141"/>
  <c r="Q25" i="2141"/>
  <c r="P25" i="2141"/>
  <c r="AC25" i="2141" s="1"/>
  <c r="O25" i="2141"/>
  <c r="M25" i="2141"/>
  <c r="K25" i="2141"/>
  <c r="AF24" i="2141"/>
  <c r="AB24" i="2141"/>
  <c r="Q24" i="2141"/>
  <c r="P24" i="2141"/>
  <c r="AC24" i="2141" s="1"/>
  <c r="AD24" i="2141" s="1"/>
  <c r="O24" i="2141"/>
  <c r="M24" i="2141"/>
  <c r="K24" i="2141"/>
  <c r="AF23" i="2141"/>
  <c r="AB23" i="2141"/>
  <c r="Q23" i="2141"/>
  <c r="P23" i="2141"/>
  <c r="AC23" i="2141" s="1"/>
  <c r="O23" i="2141"/>
  <c r="M23" i="2141"/>
  <c r="K23" i="2141"/>
  <c r="AF22" i="2141"/>
  <c r="AB22" i="2141"/>
  <c r="Q22" i="2141"/>
  <c r="O22" i="2141"/>
  <c r="M22" i="2141"/>
  <c r="P22" i="2141"/>
  <c r="AC22" i="2141" s="1"/>
  <c r="AF21" i="2141"/>
  <c r="Q21" i="2141"/>
  <c r="AB21" i="2141"/>
  <c r="AF19" i="2141"/>
  <c r="Q19" i="2141"/>
  <c r="P19" i="2141" s="1"/>
  <c r="AC19" i="2141" s="1"/>
  <c r="O19" i="2141"/>
  <c r="AF18" i="2141"/>
  <c r="AB18" i="2141"/>
  <c r="Q18" i="2141"/>
  <c r="P18" i="2141"/>
  <c r="AC18" i="2141" s="1"/>
  <c r="O18" i="2141"/>
  <c r="M18" i="2141"/>
  <c r="AF17" i="2141"/>
  <c r="AB17" i="2141"/>
  <c r="Q17" i="2141"/>
  <c r="P17" i="2141" s="1"/>
  <c r="AC17" i="2141" s="1"/>
  <c r="O17" i="2141"/>
  <c r="M17" i="2141"/>
  <c r="AF16" i="2141"/>
  <c r="Q16" i="2141"/>
  <c r="P16" i="2141"/>
  <c r="AC16" i="2141" s="1"/>
  <c r="O16" i="2141"/>
  <c r="I16" i="2141"/>
  <c r="AF15" i="2141"/>
  <c r="Q15" i="2141"/>
  <c r="P15" i="2141" s="1"/>
  <c r="AC15" i="2141" s="1"/>
  <c r="O15" i="2141"/>
  <c r="I15" i="2141"/>
  <c r="I31" i="2141" s="1"/>
  <c r="AF14" i="2141"/>
  <c r="Q14" i="2141"/>
  <c r="P14" i="2141" s="1"/>
  <c r="AC14" i="2141" s="1"/>
  <c r="O14" i="2141"/>
  <c r="AF13" i="2141"/>
  <c r="AB13" i="2141"/>
  <c r="Q13" i="2141"/>
  <c r="P13" i="2141"/>
  <c r="AC13" i="2141" s="1"/>
  <c r="O13" i="2141"/>
  <c r="M13" i="2141"/>
  <c r="AF12" i="2141"/>
  <c r="AB12" i="2141"/>
  <c r="Q12" i="2141"/>
  <c r="O12" i="2141"/>
  <c r="M12" i="2141"/>
  <c r="P12" i="2141"/>
  <c r="AC12" i="2141" s="1"/>
  <c r="AF11" i="2141"/>
  <c r="Q11" i="2141"/>
  <c r="P11" i="2141" s="1"/>
  <c r="AC11" i="2141" s="1"/>
  <c r="AF10" i="2141"/>
  <c r="Q10" i="2141"/>
  <c r="P10" i="2141"/>
  <c r="AC10" i="2141" s="1"/>
  <c r="O10" i="2141"/>
  <c r="AF9" i="2141"/>
  <c r="AB9" i="2141"/>
  <c r="Q9" i="2141"/>
  <c r="P9" i="2141" s="1"/>
  <c r="AC9" i="2141" s="1"/>
  <c r="AD9" i="2141" s="1"/>
  <c r="O9" i="2141"/>
  <c r="M9" i="2141"/>
  <c r="AF8" i="2141"/>
  <c r="AB8" i="2141"/>
  <c r="Q8" i="2141"/>
  <c r="P8" i="2141" s="1"/>
  <c r="AC8" i="2141" s="1"/>
  <c r="O8" i="2141"/>
  <c r="M8" i="2141"/>
  <c r="AF7" i="2141"/>
  <c r="Q7" i="2141"/>
  <c r="P7" i="2141" s="1"/>
  <c r="AC7" i="2141" s="1"/>
  <c r="AF6" i="2141"/>
  <c r="AB6" i="2141"/>
  <c r="Q6" i="2141"/>
  <c r="P6" i="2141" s="1"/>
  <c r="AC6" i="2141" s="1"/>
  <c r="O6" i="2141"/>
  <c r="M6" i="2141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21" i="2140"/>
  <c r="K21" i="2140" s="1"/>
  <c r="L20" i="2140"/>
  <c r="L19" i="2140"/>
  <c r="K19" i="2140" s="1"/>
  <c r="L18" i="2140"/>
  <c r="L16" i="2140"/>
  <c r="L15" i="2140"/>
  <c r="L14" i="2140"/>
  <c r="K14" i="2140"/>
  <c r="L13" i="2140"/>
  <c r="L12" i="2140"/>
  <c r="L11" i="2140"/>
  <c r="AD22" i="2141" l="1"/>
  <c r="AD17" i="2141"/>
  <c r="AD12" i="2141"/>
  <c r="AD27" i="2141"/>
  <c r="AD30" i="2141"/>
  <c r="AD28" i="2141"/>
  <c r="AD18" i="2141"/>
  <c r="AD13" i="2141"/>
  <c r="AD8" i="2141"/>
  <c r="Q31" i="2141"/>
  <c r="AB26" i="2141"/>
  <c r="AD25" i="2141"/>
  <c r="AD23" i="2141"/>
  <c r="AD6" i="2141"/>
  <c r="M7" i="2141"/>
  <c r="M11" i="2141"/>
  <c r="O7" i="2141"/>
  <c r="M10" i="2141"/>
  <c r="AB10" i="2141"/>
  <c r="AD10" i="2141" s="1"/>
  <c r="O11" i="2141"/>
  <c r="M14" i="2141"/>
  <c r="AB14" i="2141"/>
  <c r="AD14" i="2141" s="1"/>
  <c r="M15" i="2141"/>
  <c r="AB15" i="2141"/>
  <c r="AD15" i="2141" s="1"/>
  <c r="M16" i="2141"/>
  <c r="AB16" i="2141"/>
  <c r="AD16" i="2141" s="1"/>
  <c r="M19" i="2141"/>
  <c r="AB19" i="2141"/>
  <c r="AD19" i="2141" s="1"/>
  <c r="O21" i="2141"/>
  <c r="O26" i="2141"/>
  <c r="L31" i="2141"/>
  <c r="O31" i="2141" s="1"/>
  <c r="AB7" i="2141"/>
  <c r="AB11" i="2141"/>
  <c r="K31" i="2141"/>
  <c r="P21" i="2141"/>
  <c r="AC21" i="2141" s="1"/>
  <c r="P26" i="2141"/>
  <c r="AC26" i="2141" s="1"/>
  <c r="M21" i="2141"/>
  <c r="M26" i="2141"/>
  <c r="L10" i="2140"/>
  <c r="K10" i="2140" s="1"/>
  <c r="L9" i="2140"/>
  <c r="L8" i="2140"/>
  <c r="K8" i="2140" s="1"/>
  <c r="L7" i="2140"/>
  <c r="L26" i="2140"/>
  <c r="K26" i="2140" s="1"/>
  <c r="L25" i="2140"/>
  <c r="K25" i="2140" s="1"/>
  <c r="K20" i="2140"/>
  <c r="K18" i="2140"/>
  <c r="K17" i="2140"/>
  <c r="K16" i="2140"/>
  <c r="K15" i="2140"/>
  <c r="K12" i="2140"/>
  <c r="K11" i="2140"/>
  <c r="K9" i="2140"/>
  <c r="K7" i="2140"/>
  <c r="K6" i="2140"/>
  <c r="A85" i="2140"/>
  <c r="A86" i="2140" s="1"/>
  <c r="A87" i="2140" s="1"/>
  <c r="A88" i="2140" s="1"/>
  <c r="A89" i="2140" s="1"/>
  <c r="A90" i="2140" s="1"/>
  <c r="AF69" i="2140"/>
  <c r="AF68" i="2140"/>
  <c r="AF71" i="2140" s="1"/>
  <c r="AA30" i="2140"/>
  <c r="Z30" i="2140"/>
  <c r="Y30" i="2140"/>
  <c r="X30" i="2140"/>
  <c r="W30" i="2140"/>
  <c r="V30" i="2140"/>
  <c r="U30" i="2140"/>
  <c r="T30" i="2140"/>
  <c r="S30" i="2140"/>
  <c r="R30" i="2140"/>
  <c r="N30" i="2140"/>
  <c r="J30" i="2140"/>
  <c r="AF29" i="2140"/>
  <c r="AB29" i="2140"/>
  <c r="Q29" i="2140"/>
  <c r="P29" i="2140"/>
  <c r="AC29" i="2140" s="1"/>
  <c r="O29" i="2140"/>
  <c r="M29" i="2140"/>
  <c r="K29" i="2140"/>
  <c r="AF28" i="2140"/>
  <c r="AC28" i="2140"/>
  <c r="AD28" i="2140" s="1"/>
  <c r="AB28" i="2140"/>
  <c r="Q28" i="2140"/>
  <c r="P28" i="2140"/>
  <c r="O28" i="2140"/>
  <c r="M28" i="2140"/>
  <c r="K28" i="2140"/>
  <c r="AF27" i="2140"/>
  <c r="AB27" i="2140"/>
  <c r="Q27" i="2140"/>
  <c r="P27" i="2140"/>
  <c r="AC27" i="2140" s="1"/>
  <c r="O27" i="2140"/>
  <c r="M27" i="2140"/>
  <c r="K27" i="2140"/>
  <c r="AF26" i="2140"/>
  <c r="AB26" i="2140"/>
  <c r="Q26" i="2140"/>
  <c r="P26" i="2140" s="1"/>
  <c r="AC26" i="2140" s="1"/>
  <c r="O26" i="2140"/>
  <c r="M26" i="2140"/>
  <c r="AF25" i="2140"/>
  <c r="Q25" i="2140"/>
  <c r="AF24" i="2140"/>
  <c r="AC24" i="2140"/>
  <c r="AB24" i="2140"/>
  <c r="Q24" i="2140"/>
  <c r="P24" i="2140"/>
  <c r="O24" i="2140"/>
  <c r="M24" i="2140"/>
  <c r="K24" i="2140"/>
  <c r="AF23" i="2140"/>
  <c r="AB23" i="2140"/>
  <c r="Q23" i="2140"/>
  <c r="P23" i="2140"/>
  <c r="AC23" i="2140" s="1"/>
  <c r="O23" i="2140"/>
  <c r="M23" i="2140"/>
  <c r="K23" i="2140"/>
  <c r="AF22" i="2140"/>
  <c r="AB22" i="2140"/>
  <c r="Q22" i="2140"/>
  <c r="P22" i="2140"/>
  <c r="AC22" i="2140" s="1"/>
  <c r="O22" i="2140"/>
  <c r="M22" i="2140"/>
  <c r="K22" i="2140"/>
  <c r="AF21" i="2140"/>
  <c r="Q21" i="2140"/>
  <c r="AB21" i="2140"/>
  <c r="AF20" i="2140"/>
  <c r="Q20" i="2140"/>
  <c r="P20" i="2140"/>
  <c r="AC20" i="2140" s="1"/>
  <c r="O20" i="2140"/>
  <c r="AF19" i="2140"/>
  <c r="Q19" i="2140"/>
  <c r="P19" i="2140" s="1"/>
  <c r="AC19" i="2140" s="1"/>
  <c r="O19" i="2140"/>
  <c r="AB19" i="2140"/>
  <c r="AF18" i="2140"/>
  <c r="AB18" i="2140"/>
  <c r="Q18" i="2140"/>
  <c r="O18" i="2140"/>
  <c r="M18" i="2140"/>
  <c r="P18" i="2140"/>
  <c r="AC18" i="2140" s="1"/>
  <c r="AF17" i="2140"/>
  <c r="Q17" i="2140"/>
  <c r="AB17" i="2140"/>
  <c r="AF16" i="2140"/>
  <c r="Q16" i="2140"/>
  <c r="P16" i="2140"/>
  <c r="AC16" i="2140" s="1"/>
  <c r="O16" i="2140"/>
  <c r="I16" i="2140"/>
  <c r="AF15" i="2140"/>
  <c r="Q15" i="2140"/>
  <c r="P15" i="2140" s="1"/>
  <c r="AC15" i="2140" s="1"/>
  <c r="O15" i="2140"/>
  <c r="I15" i="2140"/>
  <c r="I30" i="2140" s="1"/>
  <c r="AF14" i="2140"/>
  <c r="AB14" i="2140"/>
  <c r="Q14" i="2140"/>
  <c r="P14" i="2140" s="1"/>
  <c r="AC14" i="2140" s="1"/>
  <c r="O14" i="2140"/>
  <c r="M14" i="2140"/>
  <c r="AF13" i="2140"/>
  <c r="AB13" i="2140"/>
  <c r="Q13" i="2140"/>
  <c r="P13" i="2140" s="1"/>
  <c r="AC13" i="2140" s="1"/>
  <c r="O13" i="2140"/>
  <c r="M13" i="2140"/>
  <c r="K13" i="2140"/>
  <c r="AF12" i="2140"/>
  <c r="AB12" i="2140"/>
  <c r="Q12" i="2140"/>
  <c r="P12" i="2140"/>
  <c r="AC12" i="2140" s="1"/>
  <c r="O12" i="2140"/>
  <c r="M12" i="2140"/>
  <c r="AF11" i="2140"/>
  <c r="AB11" i="2140"/>
  <c r="Q11" i="2140"/>
  <c r="P11" i="2140" s="1"/>
  <c r="AC11" i="2140" s="1"/>
  <c r="O11" i="2140"/>
  <c r="M11" i="2140"/>
  <c r="AF10" i="2140"/>
  <c r="Q10" i="2140"/>
  <c r="M10" i="2140"/>
  <c r="AF9" i="2140"/>
  <c r="Q9" i="2140"/>
  <c r="P9" i="2140"/>
  <c r="AC9" i="2140" s="1"/>
  <c r="O9" i="2140"/>
  <c r="AF8" i="2140"/>
  <c r="Q8" i="2140"/>
  <c r="O8" i="2140"/>
  <c r="AF7" i="2140"/>
  <c r="AB7" i="2140"/>
  <c r="Q7" i="2140"/>
  <c r="P7" i="2140" s="1"/>
  <c r="AC7" i="2140" s="1"/>
  <c r="AD7" i="2140" s="1"/>
  <c r="O7" i="2140"/>
  <c r="M7" i="2140"/>
  <c r="AF6" i="2140"/>
  <c r="AB6" i="2140"/>
  <c r="Q6" i="2140"/>
  <c r="P6" i="2140"/>
  <c r="AC6" i="2140" s="1"/>
  <c r="O6" i="2140"/>
  <c r="M6" i="2140"/>
  <c r="AD7" i="2141" l="1"/>
  <c r="AD11" i="2141"/>
  <c r="AD26" i="2141"/>
  <c r="AC31" i="2141"/>
  <c r="AB31" i="2141"/>
  <c r="M31" i="2141"/>
  <c r="AD21" i="2141"/>
  <c r="AD31" i="2141" s="1"/>
  <c r="AE20" i="2141" s="1"/>
  <c r="P31" i="2141"/>
  <c r="AD11" i="2140"/>
  <c r="P8" i="2140"/>
  <c r="AC8" i="2140" s="1"/>
  <c r="M8" i="2140"/>
  <c r="AB8" i="2140"/>
  <c r="AD29" i="2140"/>
  <c r="L30" i="2140"/>
  <c r="O30" i="2140" s="1"/>
  <c r="AD18" i="2140"/>
  <c r="O25" i="2140"/>
  <c r="AD27" i="2140"/>
  <c r="Q30" i="2140"/>
  <c r="AD13" i="2140"/>
  <c r="AD22" i="2140"/>
  <c r="P25" i="2140"/>
  <c r="AC25" i="2140" s="1"/>
  <c r="AD26" i="2140"/>
  <c r="AD24" i="2140"/>
  <c r="AD12" i="2140"/>
  <c r="AD23" i="2140"/>
  <c r="AD14" i="2140"/>
  <c r="AD19" i="2140"/>
  <c r="AD6" i="2140"/>
  <c r="AB10" i="2140"/>
  <c r="M17" i="2140"/>
  <c r="M9" i="2140"/>
  <c r="AB9" i="2140"/>
  <c r="AD9" i="2140" s="1"/>
  <c r="O10" i="2140"/>
  <c r="M15" i="2140"/>
  <c r="AB15" i="2140"/>
  <c r="AD15" i="2140" s="1"/>
  <c r="M16" i="2140"/>
  <c r="AB16" i="2140"/>
  <c r="AD16" i="2140" s="1"/>
  <c r="O17" i="2140"/>
  <c r="M20" i="2140"/>
  <c r="AB20" i="2140"/>
  <c r="AD20" i="2140" s="1"/>
  <c r="O21" i="2140"/>
  <c r="M25" i="2140"/>
  <c r="AB25" i="2140"/>
  <c r="K30" i="2140"/>
  <c r="P10" i="2140"/>
  <c r="AC10" i="2140" s="1"/>
  <c r="P17" i="2140"/>
  <c r="AC17" i="2140" s="1"/>
  <c r="AD17" i="2140" s="1"/>
  <c r="M19" i="2140"/>
  <c r="P21" i="2140"/>
  <c r="AC21" i="2140" s="1"/>
  <c r="AD21" i="2140" s="1"/>
  <c r="M21" i="2140"/>
  <c r="AE30" i="2141" l="1"/>
  <c r="AE28" i="2141"/>
  <c r="AE25" i="2141"/>
  <c r="AE23" i="2141"/>
  <c r="AE19" i="2141"/>
  <c r="AE16" i="2141"/>
  <c r="AE14" i="2141"/>
  <c r="AE10" i="2141"/>
  <c r="AE26" i="2141"/>
  <c r="AE11" i="2141"/>
  <c r="AE29" i="2141"/>
  <c r="AE27" i="2141"/>
  <c r="AE24" i="2141"/>
  <c r="AE22" i="2141"/>
  <c r="AE17" i="2141"/>
  <c r="AE12" i="2141"/>
  <c r="AE8" i="2141"/>
  <c r="AE21" i="2141"/>
  <c r="AE18" i="2141"/>
  <c r="AE13" i="2141"/>
  <c r="AE9" i="2141"/>
  <c r="AE15" i="2141"/>
  <c r="AE6" i="2141"/>
  <c r="AE7" i="2141"/>
  <c r="AD8" i="2140"/>
  <c r="AD25" i="2140"/>
  <c r="M30" i="2140"/>
  <c r="P30" i="2140"/>
  <c r="AB30" i="2140"/>
  <c r="AD10" i="2140"/>
  <c r="AD30" i="2140" s="1"/>
  <c r="AC30" i="2140"/>
  <c r="AE29" i="2140" l="1"/>
  <c r="AE27" i="2140"/>
  <c r="AE25" i="2140"/>
  <c r="AE20" i="2140"/>
  <c r="AE14" i="2140"/>
  <c r="AE23" i="2140"/>
  <c r="AE21" i="2140"/>
  <c r="AE28" i="2140"/>
  <c r="AE26" i="2140"/>
  <c r="AE18" i="2140"/>
  <c r="AE13" i="2140"/>
  <c r="AE11" i="2140"/>
  <c r="AE7" i="2140"/>
  <c r="AE16" i="2140"/>
  <c r="AE15" i="2140"/>
  <c r="AE9" i="2140"/>
  <c r="AE17" i="2140"/>
  <c r="AE24" i="2140"/>
  <c r="AE22" i="2140"/>
  <c r="AE19" i="2140"/>
  <c r="AE8" i="2140"/>
  <c r="AE6" i="2140"/>
  <c r="AE12" i="2140"/>
  <c r="AE10" i="2140"/>
  <c r="C27" i="16" l="1"/>
  <c r="C26" i="16"/>
  <c r="C25" i="16"/>
  <c r="C24" i="16"/>
  <c r="C23" i="16"/>
  <c r="C22" i="16"/>
  <c r="AG22" i="16" s="1"/>
  <c r="C21" i="16"/>
  <c r="C20" i="16"/>
  <c r="C19" i="16"/>
  <c r="C18" i="16"/>
  <c r="C17" i="16"/>
  <c r="C16" i="16"/>
  <c r="AG16" i="16" s="1"/>
  <c r="C15" i="16"/>
  <c r="C14" i="16"/>
  <c r="AG14" i="16" s="1"/>
  <c r="C13" i="16"/>
  <c r="C12" i="16"/>
  <c r="C11" i="16"/>
  <c r="C10" i="16"/>
  <c r="C9" i="16"/>
  <c r="C8" i="16"/>
  <c r="C7" i="16"/>
  <c r="C6" i="16"/>
  <c r="AG6" i="16" s="1"/>
  <c r="C5" i="16"/>
  <c r="C4" i="16"/>
  <c r="C3" i="16"/>
  <c r="L26" i="2139"/>
  <c r="L22" i="2139"/>
  <c r="L21" i="2139"/>
  <c r="L20" i="2139"/>
  <c r="K20" i="2139" s="1"/>
  <c r="L19" i="2139"/>
  <c r="K19" i="2139" s="1"/>
  <c r="L18" i="2139"/>
  <c r="K18" i="2139" s="1"/>
  <c r="L17" i="2139"/>
  <c r="K17" i="2139" s="1"/>
  <c r="L16" i="2139"/>
  <c r="K15" i="2139"/>
  <c r="L12" i="2139"/>
  <c r="K12" i="2139" s="1"/>
  <c r="L11" i="2139"/>
  <c r="L10" i="2139"/>
  <c r="O10" i="2139" s="1"/>
  <c r="L9" i="2139"/>
  <c r="K9" i="2139" s="1"/>
  <c r="L8" i="2139"/>
  <c r="K8" i="2139"/>
  <c r="AF8" i="2139"/>
  <c r="AB8" i="2139"/>
  <c r="Q8" i="2139"/>
  <c r="P8" i="2139" s="1"/>
  <c r="AC8" i="2139" s="1"/>
  <c r="O8" i="2139"/>
  <c r="M8" i="2139"/>
  <c r="L6" i="2139"/>
  <c r="AB6" i="2139" s="1"/>
  <c r="K26" i="2139"/>
  <c r="K22" i="2139"/>
  <c r="K21" i="2139"/>
  <c r="K16" i="2139"/>
  <c r="K14" i="2139"/>
  <c r="K13" i="2139"/>
  <c r="K11" i="2139"/>
  <c r="K10" i="2139"/>
  <c r="K6" i="2139"/>
  <c r="A86" i="2139"/>
  <c r="A87" i="2139" s="1"/>
  <c r="A88" i="2139" s="1"/>
  <c r="A89" i="2139" s="1"/>
  <c r="A90" i="2139" s="1"/>
  <c r="A91" i="2139" s="1"/>
  <c r="AF70" i="2139"/>
  <c r="AF69" i="2139"/>
  <c r="AA31" i="2139"/>
  <c r="Z31" i="2139"/>
  <c r="Y31" i="2139"/>
  <c r="X31" i="2139"/>
  <c r="W31" i="2139"/>
  <c r="V31" i="2139"/>
  <c r="U31" i="2139"/>
  <c r="T31" i="2139"/>
  <c r="S31" i="2139"/>
  <c r="R31" i="2139"/>
  <c r="N31" i="2139"/>
  <c r="J31" i="2139"/>
  <c r="AF30" i="2139"/>
  <c r="AB30" i="2139"/>
  <c r="Q30" i="2139"/>
  <c r="P30" i="2139"/>
  <c r="AC30" i="2139" s="1"/>
  <c r="O30" i="2139"/>
  <c r="M30" i="2139"/>
  <c r="K30" i="2139"/>
  <c r="AF29" i="2139"/>
  <c r="AB29" i="2139"/>
  <c r="Q29" i="2139"/>
  <c r="P29" i="2139"/>
  <c r="AC29" i="2139" s="1"/>
  <c r="O29" i="2139"/>
  <c r="M29" i="2139"/>
  <c r="K29" i="2139"/>
  <c r="AF28" i="2139"/>
  <c r="AB28" i="2139"/>
  <c r="Q28" i="2139"/>
  <c r="P28" i="2139"/>
  <c r="AC28" i="2139" s="1"/>
  <c r="O28" i="2139"/>
  <c r="M28" i="2139"/>
  <c r="K28" i="2139"/>
  <c r="AF27" i="2139"/>
  <c r="AB27" i="2139"/>
  <c r="Q27" i="2139"/>
  <c r="P27" i="2139"/>
  <c r="AC27" i="2139" s="1"/>
  <c r="O27" i="2139"/>
  <c r="M27" i="2139"/>
  <c r="K27" i="2139"/>
  <c r="AF26" i="2139"/>
  <c r="AB26" i="2139"/>
  <c r="Q26" i="2139"/>
  <c r="P26" i="2139" s="1"/>
  <c r="AC26" i="2139" s="1"/>
  <c r="M26" i="2139"/>
  <c r="O26" i="2139"/>
  <c r="AF25" i="2139"/>
  <c r="AB25" i="2139"/>
  <c r="Q25" i="2139"/>
  <c r="P25" i="2139"/>
  <c r="AC25" i="2139" s="1"/>
  <c r="AD25" i="2139" s="1"/>
  <c r="O25" i="2139"/>
  <c r="M25" i="2139"/>
  <c r="K25" i="2139"/>
  <c r="AF24" i="2139"/>
  <c r="AB24" i="2139"/>
  <c r="Q24" i="2139"/>
  <c r="P24" i="2139"/>
  <c r="AC24" i="2139" s="1"/>
  <c r="AD24" i="2139" s="1"/>
  <c r="O24" i="2139"/>
  <c r="M24" i="2139"/>
  <c r="K24" i="2139"/>
  <c r="AF23" i="2139"/>
  <c r="AB23" i="2139"/>
  <c r="Q23" i="2139"/>
  <c r="P23" i="2139"/>
  <c r="AC23" i="2139" s="1"/>
  <c r="O23" i="2139"/>
  <c r="M23" i="2139"/>
  <c r="K23" i="2139"/>
  <c r="AF22" i="2139"/>
  <c r="Q22" i="2139"/>
  <c r="O22" i="2139"/>
  <c r="AB22" i="2139"/>
  <c r="AF21" i="2139"/>
  <c r="AB21" i="2139"/>
  <c r="Q21" i="2139"/>
  <c r="P21" i="2139" s="1"/>
  <c r="AC21" i="2139" s="1"/>
  <c r="M21" i="2139"/>
  <c r="O21" i="2139"/>
  <c r="AF20" i="2139"/>
  <c r="AB20" i="2139"/>
  <c r="Q20" i="2139"/>
  <c r="P20" i="2139" s="1"/>
  <c r="AC20" i="2139" s="1"/>
  <c r="O20" i="2139"/>
  <c r="M20" i="2139"/>
  <c r="AF19" i="2139"/>
  <c r="Q19" i="2139"/>
  <c r="P19" i="2139" s="1"/>
  <c r="AC19" i="2139" s="1"/>
  <c r="AF18" i="2139"/>
  <c r="AB18" i="2139"/>
  <c r="Q18" i="2139"/>
  <c r="M18" i="2139"/>
  <c r="AF17" i="2139"/>
  <c r="Q17" i="2139"/>
  <c r="AB17" i="2139"/>
  <c r="I17" i="2139"/>
  <c r="AF16" i="2139"/>
  <c r="Q16" i="2139"/>
  <c r="O16" i="2139"/>
  <c r="AB16" i="2139"/>
  <c r="I16" i="2139"/>
  <c r="AF15" i="2139"/>
  <c r="AB15" i="2139"/>
  <c r="Q15" i="2139"/>
  <c r="P15" i="2139" s="1"/>
  <c r="AC15" i="2139" s="1"/>
  <c r="O15" i="2139"/>
  <c r="M15" i="2139"/>
  <c r="AF14" i="2139"/>
  <c r="Q14" i="2139"/>
  <c r="P14" i="2139"/>
  <c r="AC14" i="2139" s="1"/>
  <c r="AF13" i="2139"/>
  <c r="AB13" i="2139"/>
  <c r="Q13" i="2139"/>
  <c r="P13" i="2139" s="1"/>
  <c r="AC13" i="2139" s="1"/>
  <c r="O13" i="2139"/>
  <c r="M13" i="2139"/>
  <c r="AF12" i="2139"/>
  <c r="AB12" i="2139"/>
  <c r="Q12" i="2139"/>
  <c r="M12" i="2139"/>
  <c r="AF11" i="2139"/>
  <c r="Q11" i="2139"/>
  <c r="P11" i="2139" s="1"/>
  <c r="AC11" i="2139" s="1"/>
  <c r="AF10" i="2139"/>
  <c r="AB10" i="2139"/>
  <c r="Q10" i="2139"/>
  <c r="M10" i="2139"/>
  <c r="AF9" i="2139"/>
  <c r="Q9" i="2139"/>
  <c r="AF7" i="2139"/>
  <c r="AB7" i="2139"/>
  <c r="Q7" i="2139"/>
  <c r="P7" i="2139" s="1"/>
  <c r="AC7" i="2139" s="1"/>
  <c r="O7" i="2139"/>
  <c r="M7" i="2139"/>
  <c r="K7" i="2139"/>
  <c r="AF6" i="2139"/>
  <c r="Q6" i="2139"/>
  <c r="P6" i="2139"/>
  <c r="AC6" i="2139" s="1"/>
  <c r="O6" i="2139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AG4" i="16" s="1"/>
  <c r="B3" i="16"/>
  <c r="AG27" i="16"/>
  <c r="AG26" i="16"/>
  <c r="AG25" i="16"/>
  <c r="AG23" i="16"/>
  <c r="AG21" i="16"/>
  <c r="AG19" i="16"/>
  <c r="AG18" i="16"/>
  <c r="AG17" i="16"/>
  <c r="AG15" i="16"/>
  <c r="AG13" i="16"/>
  <c r="AG11" i="16"/>
  <c r="AG10" i="16"/>
  <c r="AG9" i="16"/>
  <c r="AG7" i="16"/>
  <c r="AG5" i="16"/>
  <c r="AG3" i="16"/>
  <c r="L22" i="2138"/>
  <c r="K22" i="2138" s="1"/>
  <c r="L21" i="2138"/>
  <c r="AF19" i="2138"/>
  <c r="AC19" i="2138"/>
  <c r="AD19" i="2138" s="1"/>
  <c r="AB19" i="2138"/>
  <c r="Q19" i="2138"/>
  <c r="P19" i="2138"/>
  <c r="O19" i="2138"/>
  <c r="M19" i="2138"/>
  <c r="K19" i="2138"/>
  <c r="K20" i="2138"/>
  <c r="L18" i="2138"/>
  <c r="K18" i="2138" s="1"/>
  <c r="L17" i="2138"/>
  <c r="K17" i="2138" s="1"/>
  <c r="L16" i="2138"/>
  <c r="L15" i="2138"/>
  <c r="L13" i="2138"/>
  <c r="K13" i="2138" s="1"/>
  <c r="L12" i="2138"/>
  <c r="K11" i="2138"/>
  <c r="AG8" i="16" l="1"/>
  <c r="AG12" i="16"/>
  <c r="AG20" i="16"/>
  <c r="AG24" i="16"/>
  <c r="AB9" i="2139"/>
  <c r="O12" i="2139"/>
  <c r="O18" i="2139"/>
  <c r="AD23" i="2139"/>
  <c r="O9" i="2139"/>
  <c r="P12" i="2139"/>
  <c r="AC12" i="2139" s="1"/>
  <c r="AD29" i="2139"/>
  <c r="AD8" i="2139"/>
  <c r="I31" i="2139"/>
  <c r="P18" i="2139"/>
  <c r="AC18" i="2139" s="1"/>
  <c r="O17" i="2139"/>
  <c r="P10" i="2139"/>
  <c r="AC10" i="2139" s="1"/>
  <c r="AD10" i="2139" s="1"/>
  <c r="AD28" i="2139"/>
  <c r="AD12" i="2139"/>
  <c r="AD18" i="2139"/>
  <c r="AD27" i="2139"/>
  <c r="M6" i="2139"/>
  <c r="AD30" i="2139"/>
  <c r="AF72" i="2139"/>
  <c r="Q31" i="2139"/>
  <c r="AD7" i="2139"/>
  <c r="AD13" i="2139"/>
  <c r="AD20" i="2139"/>
  <c r="AD15" i="2139"/>
  <c r="AD26" i="2139"/>
  <c r="AD6" i="2139"/>
  <c r="AD21" i="2139"/>
  <c r="L31" i="2139"/>
  <c r="O31" i="2139" s="1"/>
  <c r="K31" i="2139"/>
  <c r="P9" i="2139"/>
  <c r="AC9" i="2139" s="1"/>
  <c r="M11" i="2139"/>
  <c r="AB11" i="2139"/>
  <c r="M14" i="2139"/>
  <c r="AB14" i="2139"/>
  <c r="P16" i="2139"/>
  <c r="AC16" i="2139" s="1"/>
  <c r="AD16" i="2139" s="1"/>
  <c r="P17" i="2139"/>
  <c r="AC17" i="2139" s="1"/>
  <c r="AD17" i="2139" s="1"/>
  <c r="M19" i="2139"/>
  <c r="AB19" i="2139"/>
  <c r="P22" i="2139"/>
  <c r="AC22" i="2139" s="1"/>
  <c r="AD22" i="2139" s="1"/>
  <c r="O11" i="2139"/>
  <c r="O14" i="2139"/>
  <c r="O19" i="2139"/>
  <c r="M9" i="2139"/>
  <c r="M16" i="2139"/>
  <c r="M17" i="2139"/>
  <c r="M22" i="2139"/>
  <c r="AD9" i="2139" l="1"/>
  <c r="AB31" i="2139"/>
  <c r="M31" i="2139"/>
  <c r="AD19" i="2139"/>
  <c r="AD14" i="2139"/>
  <c r="AD11" i="2139"/>
  <c r="P31" i="2139"/>
  <c r="AC31" i="2139"/>
  <c r="AD31" i="2139" l="1"/>
  <c r="AE8" i="2139" s="1"/>
  <c r="AE19" i="2139" l="1"/>
  <c r="AE18" i="2139"/>
  <c r="AE12" i="2139"/>
  <c r="AE20" i="2139"/>
  <c r="AE21" i="2139"/>
  <c r="AE6" i="2139"/>
  <c r="AE23" i="2139"/>
  <c r="AE22" i="2139"/>
  <c r="AE29" i="2139"/>
  <c r="AE25" i="2139"/>
  <c r="AE16" i="2139"/>
  <c r="AE24" i="2139"/>
  <c r="AE28" i="2139"/>
  <c r="AE27" i="2139"/>
  <c r="AE15" i="2139"/>
  <c r="AE26" i="2139"/>
  <c r="AE10" i="2139"/>
  <c r="AE14" i="2139"/>
  <c r="AE13" i="2139"/>
  <c r="AE11" i="2139"/>
  <c r="AE9" i="2139"/>
  <c r="AE17" i="2139"/>
  <c r="AE7" i="2139"/>
  <c r="AE30" i="2139"/>
  <c r="L10" i="2138"/>
  <c r="L9" i="2138"/>
  <c r="K9" i="2138" s="1"/>
  <c r="L8" i="2138"/>
  <c r="K8" i="2138" s="1"/>
  <c r="K7" i="2138"/>
  <c r="L6" i="2138"/>
  <c r="K6" i="2138" s="1"/>
  <c r="L26" i="2138"/>
  <c r="K26" i="2138" s="1"/>
  <c r="K21" i="2138"/>
  <c r="K16" i="2138"/>
  <c r="K15" i="2138"/>
  <c r="K14" i="2138"/>
  <c r="K12" i="2138"/>
  <c r="K10" i="2138"/>
  <c r="AB20" i="2138"/>
  <c r="M16" i="2138"/>
  <c r="M14" i="2138"/>
  <c r="AB11" i="2138"/>
  <c r="K27" i="2138"/>
  <c r="K24" i="2138"/>
  <c r="A86" i="2138"/>
  <c r="A87" i="2138" s="1"/>
  <c r="A88" i="2138" s="1"/>
  <c r="A89" i="2138" s="1"/>
  <c r="A90" i="2138" s="1"/>
  <c r="A91" i="2138" s="1"/>
  <c r="AF70" i="2138"/>
  <c r="AF69" i="2138"/>
  <c r="AA31" i="2138"/>
  <c r="Z31" i="2138"/>
  <c r="Y31" i="2138"/>
  <c r="X31" i="2138"/>
  <c r="W31" i="2138"/>
  <c r="V31" i="2138"/>
  <c r="U31" i="2138"/>
  <c r="T31" i="2138"/>
  <c r="S31" i="2138"/>
  <c r="R31" i="2138"/>
  <c r="N31" i="2138"/>
  <c r="J31" i="2138"/>
  <c r="AF30" i="2138"/>
  <c r="AB30" i="2138"/>
  <c r="Q30" i="2138"/>
  <c r="P30" i="2138"/>
  <c r="AC30" i="2138" s="1"/>
  <c r="O30" i="2138"/>
  <c r="M30" i="2138"/>
  <c r="K30" i="2138"/>
  <c r="AF29" i="2138"/>
  <c r="AB29" i="2138"/>
  <c r="Q29" i="2138"/>
  <c r="P29" i="2138"/>
  <c r="AC29" i="2138" s="1"/>
  <c r="O29" i="2138"/>
  <c r="M29" i="2138"/>
  <c r="K29" i="2138"/>
  <c r="AF28" i="2138"/>
  <c r="AB28" i="2138"/>
  <c r="Q28" i="2138"/>
  <c r="P28" i="2138"/>
  <c r="AC28" i="2138" s="1"/>
  <c r="O28" i="2138"/>
  <c r="M28" i="2138"/>
  <c r="K28" i="2138"/>
  <c r="AF27" i="2138"/>
  <c r="AB27" i="2138"/>
  <c r="Q27" i="2138"/>
  <c r="O27" i="2138"/>
  <c r="M27" i="2138"/>
  <c r="P27" i="2138"/>
  <c r="AC27" i="2138" s="1"/>
  <c r="AD27" i="2138" s="1"/>
  <c r="AF26" i="2138"/>
  <c r="AB26" i="2138"/>
  <c r="Q26" i="2138"/>
  <c r="P26" i="2138" s="1"/>
  <c r="AC26" i="2138" s="1"/>
  <c r="AF25" i="2138"/>
  <c r="AB25" i="2138"/>
  <c r="Q25" i="2138"/>
  <c r="P25" i="2138"/>
  <c r="AC25" i="2138" s="1"/>
  <c r="O25" i="2138"/>
  <c r="M25" i="2138"/>
  <c r="K25" i="2138"/>
  <c r="AF24" i="2138"/>
  <c r="AB24" i="2138"/>
  <c r="Q24" i="2138"/>
  <c r="O24" i="2138"/>
  <c r="M24" i="2138"/>
  <c r="P24" i="2138"/>
  <c r="AC24" i="2138" s="1"/>
  <c r="AF23" i="2138"/>
  <c r="AB23" i="2138"/>
  <c r="Q23" i="2138"/>
  <c r="P23" i="2138"/>
  <c r="AC23" i="2138" s="1"/>
  <c r="O23" i="2138"/>
  <c r="M23" i="2138"/>
  <c r="K23" i="2138"/>
  <c r="AF22" i="2138"/>
  <c r="AB22" i="2138"/>
  <c r="Q22" i="2138"/>
  <c r="O22" i="2138"/>
  <c r="M22" i="2138"/>
  <c r="AF21" i="2138"/>
  <c r="AB21" i="2138"/>
  <c r="Q21" i="2138"/>
  <c r="O21" i="2138"/>
  <c r="M21" i="2138"/>
  <c r="P21" i="2138"/>
  <c r="AC21" i="2138" s="1"/>
  <c r="AF20" i="2138"/>
  <c r="Q20" i="2138"/>
  <c r="P20" i="2138" s="1"/>
  <c r="AC20" i="2138" s="1"/>
  <c r="O20" i="2138"/>
  <c r="M20" i="2138"/>
  <c r="AF18" i="2138"/>
  <c r="AB18" i="2138"/>
  <c r="Q18" i="2138"/>
  <c r="P18" i="2138" s="1"/>
  <c r="AC18" i="2138" s="1"/>
  <c r="O18" i="2138"/>
  <c r="M18" i="2138"/>
  <c r="AF17" i="2138"/>
  <c r="AB17" i="2138"/>
  <c r="Q17" i="2138"/>
  <c r="P17" i="2138" s="1"/>
  <c r="AC17" i="2138" s="1"/>
  <c r="O17" i="2138"/>
  <c r="M17" i="2138"/>
  <c r="AF16" i="2138"/>
  <c r="AB16" i="2138"/>
  <c r="Q16" i="2138"/>
  <c r="P16" i="2138" s="1"/>
  <c r="AC16" i="2138" s="1"/>
  <c r="O16" i="2138"/>
  <c r="I16" i="2138"/>
  <c r="AF15" i="2138"/>
  <c r="AB15" i="2138"/>
  <c r="Q15" i="2138"/>
  <c r="O15" i="2138"/>
  <c r="M15" i="2138"/>
  <c r="P15" i="2138"/>
  <c r="AC15" i="2138" s="1"/>
  <c r="I15" i="2138"/>
  <c r="AF14" i="2138"/>
  <c r="AB14" i="2138"/>
  <c r="Q14" i="2138"/>
  <c r="P14" i="2138" s="1"/>
  <c r="AC14" i="2138" s="1"/>
  <c r="O14" i="2138"/>
  <c r="AF13" i="2138"/>
  <c r="AB13" i="2138"/>
  <c r="Q13" i="2138"/>
  <c r="P13" i="2138" s="1"/>
  <c r="AC13" i="2138" s="1"/>
  <c r="M13" i="2138"/>
  <c r="AF12" i="2138"/>
  <c r="Q12" i="2138"/>
  <c r="P12" i="2138" s="1"/>
  <c r="AC12" i="2138" s="1"/>
  <c r="AF11" i="2138"/>
  <c r="Q11" i="2138"/>
  <c r="P11" i="2138" s="1"/>
  <c r="AC11" i="2138" s="1"/>
  <c r="O11" i="2138"/>
  <c r="AF10" i="2138"/>
  <c r="Q10" i="2138"/>
  <c r="AF9" i="2138"/>
  <c r="AB9" i="2138"/>
  <c r="Q9" i="2138"/>
  <c r="O9" i="2138"/>
  <c r="M9" i="2138"/>
  <c r="AF8" i="2138"/>
  <c r="AB8" i="2138"/>
  <c r="Q8" i="2138"/>
  <c r="P8" i="2138" s="1"/>
  <c r="AC8" i="2138" s="1"/>
  <c r="O8" i="2138"/>
  <c r="M8" i="2138"/>
  <c r="AF7" i="2138"/>
  <c r="Q7" i="2138"/>
  <c r="P7" i="2138" s="1"/>
  <c r="AC7" i="2138" s="1"/>
  <c r="AF6" i="2138"/>
  <c r="AB6" i="2138"/>
  <c r="Q6" i="2138"/>
  <c r="P6" i="2138" s="1"/>
  <c r="AC6" i="2138" s="1"/>
  <c r="O6" i="2138"/>
  <c r="M6" i="2138"/>
  <c r="P22" i="2138" l="1"/>
  <c r="AC22" i="2138" s="1"/>
  <c r="AD22" i="2138" s="1"/>
  <c r="AD21" i="2138"/>
  <c r="AD16" i="2138"/>
  <c r="I31" i="2138"/>
  <c r="AD25" i="2138"/>
  <c r="AD30" i="2138"/>
  <c r="AF72" i="2138"/>
  <c r="AD15" i="2138"/>
  <c r="AD29" i="2138"/>
  <c r="M11" i="2138"/>
  <c r="P10" i="2138"/>
  <c r="AC10" i="2138" s="1"/>
  <c r="P9" i="2138"/>
  <c r="AC9" i="2138" s="1"/>
  <c r="AD9" i="2138" s="1"/>
  <c r="L31" i="2138"/>
  <c r="O31" i="2138" s="1"/>
  <c r="Q31" i="2138"/>
  <c r="M26" i="2138"/>
  <c r="AD8" i="2138"/>
  <c r="AD20" i="2138"/>
  <c r="AD11" i="2138"/>
  <c r="AD14" i="2138"/>
  <c r="AD28" i="2138"/>
  <c r="AD17" i="2138"/>
  <c r="AD18" i="2138"/>
  <c r="AD23" i="2138"/>
  <c r="AD24" i="2138"/>
  <c r="AD6" i="2138"/>
  <c r="M7" i="2138"/>
  <c r="AB7" i="2138"/>
  <c r="M10" i="2138"/>
  <c r="AB10" i="2138"/>
  <c r="M12" i="2138"/>
  <c r="AB12" i="2138"/>
  <c r="O13" i="2138"/>
  <c r="AD13" i="2138" s="1"/>
  <c r="O26" i="2138"/>
  <c r="AD26" i="2138" s="1"/>
  <c r="O7" i="2138"/>
  <c r="O10" i="2138"/>
  <c r="O12" i="2138"/>
  <c r="K31" i="2138"/>
  <c r="P31" i="2138" l="1"/>
  <c r="AD12" i="2138"/>
  <c r="AC31" i="2138"/>
  <c r="AB31" i="2138"/>
  <c r="M31" i="2138"/>
  <c r="AD7" i="2138"/>
  <c r="AD10" i="2138"/>
  <c r="AD31" i="2138" l="1"/>
  <c r="AE19" i="2138" s="1"/>
  <c r="AE28" i="2138" l="1"/>
  <c r="AE30" i="2138"/>
  <c r="AE14" i="2138"/>
  <c r="AE7" i="2138"/>
  <c r="AE29" i="2138"/>
  <c r="AE10" i="2138"/>
  <c r="AE13" i="2138"/>
  <c r="AE11" i="2138"/>
  <c r="AE17" i="2138"/>
  <c r="AE26" i="2138"/>
  <c r="AE18" i="2138"/>
  <c r="AE21" i="2138"/>
  <c r="AE12" i="2138"/>
  <c r="AE6" i="2138"/>
  <c r="AE22" i="2138"/>
  <c r="AE15" i="2138"/>
  <c r="AE24" i="2138"/>
  <c r="AE20" i="2138"/>
  <c r="AE25" i="2138"/>
  <c r="AE9" i="2138"/>
  <c r="AE8" i="2138"/>
  <c r="AE16" i="2138"/>
  <c r="AE27" i="2138"/>
  <c r="AE23" i="2138"/>
</calcChain>
</file>

<file path=xl/sharedStrings.xml><?xml version="1.0" encoding="utf-8"?>
<sst xmlns="http://schemas.openxmlformats.org/spreadsheetml/2006/main" count="6268" uniqueCount="914">
  <si>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</si>
  <si>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</si>
  <si>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</si>
  <si>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</si>
  <si>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</si>
  <si>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</si>
  <si>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</si>
  <si>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</si>
  <si>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</si>
  <si>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</si>
  <si>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</si>
  <si>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</si>
  <si>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</si>
  <si>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</si>
  <si>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</si>
  <si>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</si>
  <si>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</si>
  <si>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</si>
  <si>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</si>
  <si>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</si>
  <si>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</si>
  <si>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</si>
  <si>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</si>
  <si>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</si>
  <si>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</si>
  <si>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</si>
  <si>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</si>
  <si>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</si>
  <si>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</si>
  <si>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</si>
  <si>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</si>
  <si>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</si>
  <si>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</si>
  <si>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</si>
  <si>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</si>
  <si>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</si>
  <si>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</si>
  <si>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</si>
  <si>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</si>
  <si>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</si>
  <si>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</si>
  <si>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</si>
  <si>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</si>
  <si>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</si>
  <si>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</si>
  <si>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</si>
  <si>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</si>
  <si>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</si>
  <si>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</si>
  <si>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</si>
  <si>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</si>
  <si>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</si>
  <si>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</si>
  <si>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</si>
  <si>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</si>
  <si>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</si>
  <si>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</si>
  <si>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</si>
  <si>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</si>
  <si>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</si>
  <si>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</si>
  <si>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</si>
  <si>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</si>
  <si>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</si>
  <si>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</si>
  <si>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</si>
  <si>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</si>
  <si>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</si>
  <si>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</si>
  <si>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</si>
  <si>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</si>
  <si>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</si>
  <si>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</si>
  <si>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</si>
  <si>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</si>
  <si>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</si>
  <si>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</si>
  <si>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</si>
  <si>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</si>
  <si>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</si>
  <si>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</si>
  <si>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</si>
  <si>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</si>
  <si>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</si>
  <si>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</si>
  <si>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</si>
  <si>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</si>
  <si>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</si>
  <si>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</si>
  <si>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</si>
  <si>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</si>
  <si>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</si>
  <si>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</si>
  <si>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</si>
  <si>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</si>
  <si>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</si>
  <si>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</si>
  <si>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</si>
  <si>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</si>
  <si>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</si>
  <si>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</si>
  <si>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</si>
  <si>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</si>
  <si>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</si>
  <si>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</si>
  <si>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</si>
  <si>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</si>
  <si>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</si>
  <si>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</si>
  <si>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</si>
  <si>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</si>
  <si>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</si>
  <si>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</si>
  <si>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</si>
  <si>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</si>
  <si>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</si>
  <si>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SST</t>
    <phoneticPr fontId="2" type="noConversion"/>
  </si>
  <si>
    <t>14호기</t>
    <phoneticPr fontId="2" type="noConversion"/>
  </si>
  <si>
    <t>15호기</t>
    <phoneticPr fontId="2" type="noConversion"/>
  </si>
  <si>
    <t>16호기</t>
    <phoneticPr fontId="2" type="noConversion"/>
  </si>
  <si>
    <t>품  명</t>
    <phoneticPr fontId="2" type="noConversion"/>
  </si>
  <si>
    <t>COVER</t>
    <phoneticPr fontId="2" type="noConversion"/>
  </si>
  <si>
    <t>SF2255</t>
    <phoneticPr fontId="2" type="noConversion"/>
  </si>
  <si>
    <t>SGF2030</t>
    <phoneticPr fontId="2" type="noConversion"/>
  </si>
  <si>
    <t>SGF2033 N/P</t>
    <phoneticPr fontId="2" type="noConversion"/>
  </si>
  <si>
    <t>K-AR3533-1A</t>
    <phoneticPr fontId="2" type="noConversion"/>
  </si>
  <si>
    <t>HICON</t>
    <phoneticPr fontId="2" type="noConversion"/>
  </si>
  <si>
    <t>KR6463-GA180PLA</t>
  </si>
  <si>
    <t>EEEEEEEEEEEEEEEEEEEEEEEEE</t>
    <phoneticPr fontId="2" type="noConversion"/>
  </si>
  <si>
    <t>31호기</t>
    <phoneticPr fontId="2" type="noConversion"/>
  </si>
  <si>
    <t>32호기</t>
    <phoneticPr fontId="2" type="noConversion"/>
  </si>
  <si>
    <t>33호기</t>
    <phoneticPr fontId="2" type="noConversion"/>
  </si>
  <si>
    <t>34호기</t>
    <phoneticPr fontId="2" type="noConversion"/>
  </si>
  <si>
    <t>35호기</t>
    <phoneticPr fontId="2" type="noConversion"/>
  </si>
  <si>
    <t>36호기</t>
    <phoneticPr fontId="2" type="noConversion"/>
  </si>
  <si>
    <t>SGF2033</t>
    <phoneticPr fontId="2" type="noConversion"/>
  </si>
  <si>
    <t>SF2255 I/V</t>
    <phoneticPr fontId="2" type="noConversion"/>
  </si>
  <si>
    <t>ADAPTER</t>
    <phoneticPr fontId="2" type="noConversion"/>
  </si>
  <si>
    <t>8301</t>
    <phoneticPr fontId="2" type="noConversion"/>
  </si>
  <si>
    <t>1</t>
    <phoneticPr fontId="2" type="noConversion"/>
  </si>
  <si>
    <t>AMB0172A-KAA-R3</t>
    <phoneticPr fontId="2" type="noConversion"/>
  </si>
  <si>
    <t>수리후양산</t>
    <phoneticPr fontId="2" type="noConversion"/>
  </si>
  <si>
    <t>4</t>
    <phoneticPr fontId="2" type="noConversion"/>
  </si>
  <si>
    <t>K-AR3544-1A</t>
    <phoneticPr fontId="2" type="noConversion"/>
  </si>
  <si>
    <t>24P(4POST)</t>
    <phoneticPr fontId="2" type="noConversion"/>
  </si>
  <si>
    <t>AMB0355A-KAA-R2</t>
    <phoneticPr fontId="2" type="noConversion"/>
  </si>
  <si>
    <t>3</t>
    <phoneticPr fontId="2" type="noConversion"/>
  </si>
  <si>
    <t>STOPPER</t>
    <phoneticPr fontId="2" type="noConversion"/>
  </si>
  <si>
    <t>7301</t>
    <phoneticPr fontId="2" type="noConversion"/>
  </si>
  <si>
    <t>ACTUATOR</t>
    <phoneticPr fontId="2" type="noConversion"/>
  </si>
  <si>
    <t>SGF2041 N/P</t>
    <phoneticPr fontId="2" type="noConversion"/>
  </si>
  <si>
    <t>OKINS</t>
    <phoneticPr fontId="2" type="noConversion"/>
  </si>
  <si>
    <t>G1300H</t>
    <phoneticPr fontId="2" type="noConversion"/>
  </si>
  <si>
    <t>수리후양산-&gt;코아파손정지</t>
    <phoneticPr fontId="2" type="noConversion"/>
  </si>
  <si>
    <t>발주분양산</t>
    <phoneticPr fontId="2" type="noConversion"/>
  </si>
  <si>
    <t>전일 ISSUE 사항(01일)</t>
    <phoneticPr fontId="2" type="noConversion"/>
  </si>
  <si>
    <t>당일 진행 사항(02일)</t>
    <phoneticPr fontId="2" type="noConversion"/>
  </si>
  <si>
    <t>SAMPLE 진행 사항(01일)</t>
    <phoneticPr fontId="2" type="noConversion"/>
  </si>
  <si>
    <t>262C83A-B150A</t>
    <phoneticPr fontId="2" type="noConversion"/>
  </si>
  <si>
    <t>SF2250EPR</t>
    <phoneticPr fontId="2" type="noConversion"/>
  </si>
  <si>
    <t>2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</si>
  <si>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</si>
  <si>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</si>
  <si>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t>KR6458BB456PMA</t>
    <phoneticPr fontId="2" type="noConversion"/>
  </si>
  <si>
    <t>AMB1942A-KAA-R1</t>
    <phoneticPr fontId="2" type="noConversion"/>
  </si>
  <si>
    <t>JD4901</t>
    <phoneticPr fontId="2" type="noConversion"/>
  </si>
  <si>
    <t>6</t>
    <phoneticPr fontId="2" type="noConversion"/>
  </si>
  <si>
    <t>SGF2041</t>
    <phoneticPr fontId="2" type="noConversion"/>
  </si>
  <si>
    <t>HL072-10M3/4</t>
    <phoneticPr fontId="2" type="noConversion"/>
  </si>
  <si>
    <t>BODY/LID</t>
    <phoneticPr fontId="2" type="noConversion"/>
  </si>
  <si>
    <t>2*1</t>
    <phoneticPr fontId="2" type="noConversion"/>
  </si>
  <si>
    <t>New Pattern Cover-2</t>
    <phoneticPr fontId="2" type="noConversion"/>
  </si>
  <si>
    <t>라인</t>
    <phoneticPr fontId="2" type="noConversion"/>
  </si>
  <si>
    <t>LCP ESD</t>
    <phoneticPr fontId="2" type="noConversion"/>
  </si>
  <si>
    <t>AMB0368A-KAA-R1</t>
    <phoneticPr fontId="2" type="noConversion"/>
  </si>
  <si>
    <t>5030G</t>
    <phoneticPr fontId="2" type="noConversion"/>
  </si>
  <si>
    <t>HSA08-M02A1</t>
    <phoneticPr fontId="2" type="noConversion"/>
  </si>
  <si>
    <t>AMB07AB3A-KAA-R2</t>
    <phoneticPr fontId="2" type="noConversion"/>
  </si>
  <si>
    <t>SEPARATOR</t>
    <phoneticPr fontId="2" type="noConversion"/>
  </si>
  <si>
    <t>KR6472-J034PRA</t>
    <phoneticPr fontId="2" type="noConversion"/>
  </si>
  <si>
    <t>MT401</t>
    <phoneticPr fontId="2" type="noConversion"/>
  </si>
  <si>
    <t>17호기</t>
    <phoneticPr fontId="2" type="noConversion"/>
  </si>
  <si>
    <t>18호기</t>
    <phoneticPr fontId="2" type="noConversion"/>
  </si>
  <si>
    <t>SGP2030R N/P</t>
    <phoneticPr fontId="2" type="noConversion"/>
  </si>
  <si>
    <t>K-AR3550-1B</t>
    <phoneticPr fontId="2" type="noConversion"/>
  </si>
  <si>
    <t>K-AR3548-1B</t>
    <phoneticPr fontId="2" type="noConversion"/>
  </si>
  <si>
    <t>BASE</t>
    <phoneticPr fontId="2" type="noConversion"/>
  </si>
  <si>
    <t>AM0143A-K</t>
    <phoneticPr fontId="2" type="noConversion"/>
  </si>
  <si>
    <t>AMB0248A-KAA-R1</t>
    <phoneticPr fontId="2" type="noConversion"/>
  </si>
  <si>
    <t>AM0148B-K-R2</t>
    <phoneticPr fontId="2" type="noConversion"/>
  </si>
  <si>
    <t>AMB1938A-KAA-R1</t>
    <phoneticPr fontId="2" type="noConversion"/>
  </si>
  <si>
    <t>15</t>
    <phoneticPr fontId="2" type="noConversion"/>
  </si>
  <si>
    <t>40P</t>
    <phoneticPr fontId="2" type="noConversion"/>
  </si>
  <si>
    <r>
      <t>2021년 11월 01일 일일생산현황</t>
    </r>
    <r>
      <rPr>
        <b/>
        <sz val="14"/>
        <color indexed="8"/>
        <rFont val="굴림체"/>
        <family val="3"/>
        <charset val="129"/>
      </rPr>
      <t>(02일 09시 현재)</t>
    </r>
    <phoneticPr fontId="2" type="noConversion"/>
  </si>
  <si>
    <t>HDBF05-M01B1-N</t>
    <phoneticPr fontId="2" type="noConversion"/>
  </si>
  <si>
    <t>AMM08008B-KAA-R1</t>
    <phoneticPr fontId="2" type="noConversion"/>
  </si>
  <si>
    <t xml:space="preserve">SF2255 </t>
    <phoneticPr fontId="2" type="noConversion"/>
  </si>
  <si>
    <t>SLIDER</t>
    <phoneticPr fontId="2" type="noConversion"/>
  </si>
  <si>
    <t>BODY</t>
    <phoneticPr fontId="2" type="noConversion"/>
  </si>
  <si>
    <t>AMB0194A-KAA-R1</t>
    <phoneticPr fontId="2" type="noConversion"/>
  </si>
  <si>
    <t>발주분양산-&gt;코아파손수리</t>
    <phoneticPr fontId="2" type="noConversion"/>
  </si>
  <si>
    <t>AMM08008B-KAA-R1</t>
    <phoneticPr fontId="2" type="noConversion"/>
  </si>
  <si>
    <t>발주분양산</t>
    <phoneticPr fontId="2" type="noConversion"/>
  </si>
  <si>
    <t>HSA08-M02A1(PES)</t>
    <phoneticPr fontId="2" type="noConversion"/>
  </si>
  <si>
    <t>12</t>
    <phoneticPr fontId="2" type="noConversion"/>
  </si>
  <si>
    <t>13</t>
    <phoneticPr fontId="2" type="noConversion"/>
  </si>
  <si>
    <t>AM0148B-K-R2</t>
    <phoneticPr fontId="2" type="noConversion"/>
  </si>
  <si>
    <t>AMB1938A-KAA-R1</t>
    <phoneticPr fontId="2" type="noConversion"/>
  </si>
  <si>
    <t>14</t>
    <phoneticPr fontId="2" type="noConversion"/>
  </si>
  <si>
    <t>ACTUATOR</t>
    <phoneticPr fontId="2" type="noConversion"/>
  </si>
  <si>
    <t>K-R2770-1C</t>
    <phoneticPr fontId="2" type="noConversion"/>
  </si>
  <si>
    <t>SST</t>
    <phoneticPr fontId="2" type="noConversion"/>
  </si>
  <si>
    <t>3</t>
    <phoneticPr fontId="2" type="noConversion"/>
  </si>
  <si>
    <t>CAM 1</t>
    <phoneticPr fontId="2" type="noConversion"/>
  </si>
  <si>
    <t>BP22-127A1(신형)</t>
    <phoneticPr fontId="2" type="noConversion"/>
  </si>
  <si>
    <t>6</t>
    <phoneticPr fontId="2" type="noConversion"/>
  </si>
  <si>
    <t>22P</t>
    <phoneticPr fontId="2" type="noConversion"/>
  </si>
  <si>
    <t>288C64A-U148B</t>
    <phoneticPr fontId="2" type="noConversion"/>
  </si>
  <si>
    <t>OKINS</t>
    <phoneticPr fontId="2" type="noConversion"/>
  </si>
  <si>
    <t>9</t>
    <phoneticPr fontId="2" type="noConversion"/>
  </si>
  <si>
    <t>U/BASE</t>
    <phoneticPr fontId="2" type="noConversion"/>
  </si>
  <si>
    <t>K-R2764-1A</t>
    <phoneticPr fontId="2" type="noConversion"/>
  </si>
  <si>
    <t>11월 호기별 가동현황</t>
    <phoneticPr fontId="2" type="noConversion"/>
  </si>
  <si>
    <r>
      <t>2021년 11월 02일 일일생산현황</t>
    </r>
    <r>
      <rPr>
        <b/>
        <sz val="14"/>
        <color indexed="8"/>
        <rFont val="굴림체"/>
        <family val="3"/>
        <charset val="129"/>
      </rPr>
      <t>(03일 09시 현재)</t>
    </r>
    <phoneticPr fontId="2" type="noConversion"/>
  </si>
  <si>
    <t>F/A</t>
    <phoneticPr fontId="2" type="noConversion"/>
  </si>
  <si>
    <t>AMB07P8A-KAA-R1</t>
    <phoneticPr fontId="2" type="noConversion"/>
  </si>
  <si>
    <t>BP22-127A1(신형)</t>
    <phoneticPr fontId="2" type="noConversion"/>
  </si>
  <si>
    <t>UNDER</t>
    <phoneticPr fontId="2" type="noConversion"/>
  </si>
  <si>
    <t>K-R2764-1A</t>
    <phoneticPr fontId="2" type="noConversion"/>
  </si>
  <si>
    <t>전일 ISSUE 사항(02일)</t>
    <phoneticPr fontId="2" type="noConversion"/>
  </si>
  <si>
    <t>코아파손정지</t>
    <phoneticPr fontId="2" type="noConversion"/>
  </si>
  <si>
    <t>코아파손수리</t>
    <phoneticPr fontId="2" type="noConversion"/>
  </si>
  <si>
    <t>K-R2770-1C</t>
    <phoneticPr fontId="2" type="noConversion"/>
  </si>
  <si>
    <t>288C64A-U148B</t>
    <phoneticPr fontId="2" type="noConversion"/>
  </si>
  <si>
    <t>당일 진행 사항(03일)</t>
    <phoneticPr fontId="2" type="noConversion"/>
  </si>
  <si>
    <t>K-R2768-1B</t>
    <phoneticPr fontId="2" type="noConversion"/>
  </si>
  <si>
    <t>288C64A-B148A</t>
    <phoneticPr fontId="2" type="noConversion"/>
  </si>
  <si>
    <t>DI</t>
    <phoneticPr fontId="2" type="noConversion"/>
  </si>
  <si>
    <t>16</t>
    <phoneticPr fontId="2" type="noConversion"/>
  </si>
  <si>
    <t>30P</t>
    <phoneticPr fontId="2" type="noConversion"/>
  </si>
  <si>
    <t>KR6458BB456PMA(1C)</t>
    <phoneticPr fontId="2" type="noConversion"/>
  </si>
  <si>
    <t>코아파손정지</t>
    <phoneticPr fontId="2" type="noConversion"/>
  </si>
  <si>
    <t>7</t>
    <phoneticPr fontId="2" type="noConversion"/>
  </si>
  <si>
    <t>SAMPLE 진행 사항(02일)</t>
    <phoneticPr fontId="2" type="noConversion"/>
  </si>
  <si>
    <t>AMB2107A-KAA-R1</t>
    <phoneticPr fontId="2" type="noConversion"/>
  </si>
  <si>
    <t>MCS</t>
    <phoneticPr fontId="2" type="noConversion"/>
  </si>
  <si>
    <t>TOP</t>
    <phoneticPr fontId="2" type="noConversion"/>
  </si>
  <si>
    <t>SGF2030</t>
    <phoneticPr fontId="2" type="noConversion"/>
  </si>
  <si>
    <t>수정</t>
    <phoneticPr fontId="2" type="noConversion"/>
  </si>
  <si>
    <t>3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</si>
  <si>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</si>
  <si>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</si>
  <si>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2021년 11월 03일 일일생산현황</t>
    </r>
    <r>
      <rPr>
        <b/>
        <sz val="14"/>
        <color indexed="8"/>
        <rFont val="굴림체"/>
        <family val="3"/>
        <charset val="129"/>
      </rPr>
      <t>(04일 09시 현재)</t>
    </r>
    <phoneticPr fontId="2" type="noConversion"/>
  </si>
  <si>
    <t>K-AR3550-2B</t>
    <phoneticPr fontId="2" type="noConversion"/>
  </si>
  <si>
    <t>790 B</t>
    <phoneticPr fontId="2" type="noConversion"/>
  </si>
  <si>
    <t>016-125-358</t>
    <phoneticPr fontId="2" type="noConversion"/>
  </si>
  <si>
    <t>LEAD GUIDE</t>
    <phoneticPr fontId="2" type="noConversion"/>
  </si>
  <si>
    <t>30P(4POST)</t>
    <phoneticPr fontId="2" type="noConversion"/>
  </si>
  <si>
    <t>전일 ISSUE 사항(03일)</t>
    <phoneticPr fontId="2" type="noConversion"/>
  </si>
  <si>
    <t>BURR2회-&gt;휨수리-&gt;1C뜯김막음</t>
    <phoneticPr fontId="2" type="noConversion"/>
  </si>
  <si>
    <t>발주분양산-&gt;코아파손2회정지</t>
    <phoneticPr fontId="2" type="noConversion"/>
  </si>
  <si>
    <t>8</t>
    <phoneticPr fontId="2" type="noConversion"/>
  </si>
  <si>
    <t>BODY/LID</t>
    <phoneticPr fontId="2" type="noConversion"/>
  </si>
  <si>
    <t>HL072-10M3/4</t>
    <phoneticPr fontId="2" type="noConversion"/>
  </si>
  <si>
    <t>수리후양산</t>
    <phoneticPr fontId="2" type="noConversion"/>
  </si>
  <si>
    <t>당일 진행 사항(04일)</t>
    <phoneticPr fontId="2" type="noConversion"/>
  </si>
  <si>
    <t>DI</t>
    <phoneticPr fontId="2" type="noConversion"/>
  </si>
  <si>
    <t>16</t>
    <phoneticPr fontId="2" type="noConversion"/>
  </si>
  <si>
    <t>30P</t>
    <phoneticPr fontId="2" type="noConversion"/>
  </si>
  <si>
    <t>7</t>
    <phoneticPr fontId="2" type="noConversion"/>
  </si>
  <si>
    <t>BASE</t>
    <phoneticPr fontId="2" type="noConversion"/>
  </si>
  <si>
    <t>KR6458BB456PMA(1C)</t>
    <phoneticPr fontId="2" type="noConversion"/>
  </si>
  <si>
    <t>AM0241A-K-R2</t>
    <phoneticPr fontId="2" type="noConversion"/>
  </si>
  <si>
    <t>발주분양산</t>
    <phoneticPr fontId="2" type="noConversion"/>
  </si>
  <si>
    <t>MCS</t>
    <phoneticPr fontId="2" type="noConversion"/>
  </si>
  <si>
    <t>STOPPER</t>
    <phoneticPr fontId="2" type="noConversion"/>
  </si>
  <si>
    <t>HS05B-COVER1</t>
    <phoneticPr fontId="2" type="noConversion"/>
  </si>
  <si>
    <t>HICON</t>
    <phoneticPr fontId="2" type="noConversion"/>
  </si>
  <si>
    <t>12</t>
    <phoneticPr fontId="2" type="noConversion"/>
  </si>
  <si>
    <t>COVER</t>
    <phoneticPr fontId="2" type="noConversion"/>
  </si>
  <si>
    <t>KR6422AA496YA</t>
    <phoneticPr fontId="2" type="noConversion"/>
  </si>
  <si>
    <t>SST</t>
    <phoneticPr fontId="2" type="noConversion"/>
  </si>
  <si>
    <t>13</t>
    <phoneticPr fontId="2" type="noConversion"/>
  </si>
  <si>
    <t>SLIDER</t>
    <phoneticPr fontId="2" type="noConversion"/>
  </si>
  <si>
    <t>SAMPLE 진행 사항(03일)</t>
    <phoneticPr fontId="2" type="noConversion"/>
  </si>
  <si>
    <t>HB1208-10M2</t>
    <phoneticPr fontId="2" type="noConversion"/>
  </si>
  <si>
    <t>AMB09K2A-KAA-R1</t>
    <phoneticPr fontId="2" type="noConversion"/>
  </si>
  <si>
    <t>HDB08QL-102S2(4C)</t>
    <phoneticPr fontId="2" type="noConversion"/>
  </si>
  <si>
    <t>HDB08PL-96S2(4C)</t>
    <phoneticPr fontId="2" type="noConversion"/>
  </si>
  <si>
    <t>KR6472-J034PRA(4C)</t>
    <phoneticPr fontId="2" type="noConversion"/>
  </si>
  <si>
    <t>BOTTOM</t>
    <phoneticPr fontId="2" type="noConversion"/>
  </si>
  <si>
    <t>S475</t>
    <phoneticPr fontId="2" type="noConversion"/>
  </si>
  <si>
    <t>원재료</t>
    <phoneticPr fontId="2" type="noConversion"/>
  </si>
  <si>
    <t>3</t>
    <phoneticPr fontId="2" type="noConversion"/>
  </si>
  <si>
    <t>JD4901</t>
    <phoneticPr fontId="2" type="noConversion"/>
  </si>
  <si>
    <t>수정</t>
    <phoneticPr fontId="2" type="noConversion"/>
  </si>
  <si>
    <t>LATCH PLATE</t>
    <phoneticPr fontId="2" type="noConversion"/>
  </si>
  <si>
    <t>SP</t>
    <phoneticPr fontId="2" type="noConversion"/>
  </si>
  <si>
    <t>SGF2030 N/P</t>
    <phoneticPr fontId="2" type="noConversion"/>
  </si>
  <si>
    <t>18</t>
    <phoneticPr fontId="2" type="noConversion"/>
  </si>
  <si>
    <t>치수확인용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</si>
  <si>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</si>
  <si>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</si>
  <si>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2021년 11월 04일 일일생산현황</t>
    </r>
    <r>
      <rPr>
        <b/>
        <sz val="14"/>
        <color indexed="8"/>
        <rFont val="굴림체"/>
        <family val="3"/>
        <charset val="129"/>
      </rPr>
      <t>(05일 09시 현재)</t>
    </r>
    <phoneticPr fontId="2" type="noConversion"/>
  </si>
  <si>
    <t>AMB0194A-KAA-R2</t>
    <phoneticPr fontId="2" type="noConversion"/>
  </si>
  <si>
    <t>HS05B-COVER1</t>
    <phoneticPr fontId="2" type="noConversion"/>
  </si>
  <si>
    <t>SGF2050</t>
    <phoneticPr fontId="2" type="noConversion"/>
  </si>
  <si>
    <t>LATCH</t>
    <phoneticPr fontId="2" type="noConversion"/>
  </si>
  <si>
    <t>HT00-M64A4-8</t>
    <phoneticPr fontId="2" type="noConversion"/>
  </si>
  <si>
    <t>전일 ISSUE 사항(04일)</t>
    <phoneticPr fontId="2" type="noConversion"/>
  </si>
  <si>
    <t>BURR수리후양산</t>
    <phoneticPr fontId="2" type="noConversion"/>
  </si>
  <si>
    <t>수정후양산</t>
    <phoneticPr fontId="2" type="noConversion"/>
  </si>
  <si>
    <t>뜯김정지</t>
    <phoneticPr fontId="2" type="noConversion"/>
  </si>
  <si>
    <t>코아파손2회정지</t>
    <phoneticPr fontId="2" type="noConversion"/>
  </si>
  <si>
    <t>12</t>
    <phoneticPr fontId="2" type="noConversion"/>
  </si>
  <si>
    <t>COVER</t>
    <phoneticPr fontId="2" type="noConversion"/>
  </si>
  <si>
    <t>당일 진행 사항(05일)</t>
    <phoneticPr fontId="2" type="noConversion"/>
  </si>
  <si>
    <t>KR6422AA496YA</t>
    <phoneticPr fontId="2" type="noConversion"/>
  </si>
  <si>
    <t>발주분양산-&gt;미성형정지</t>
    <phoneticPr fontId="2" type="noConversion"/>
  </si>
  <si>
    <t>SST</t>
    <phoneticPr fontId="2" type="noConversion"/>
  </si>
  <si>
    <t>13</t>
    <phoneticPr fontId="2" type="noConversion"/>
  </si>
  <si>
    <t>SLIDER</t>
    <phoneticPr fontId="2" type="noConversion"/>
  </si>
  <si>
    <t>FLOATING</t>
    <phoneticPr fontId="2" type="noConversion"/>
  </si>
  <si>
    <t>2829HQN05-28-F3</t>
    <phoneticPr fontId="2" type="noConversion"/>
  </si>
  <si>
    <t>K-JR01903-D180ZA</t>
    <phoneticPr fontId="2" type="noConversion"/>
  </si>
  <si>
    <t>4</t>
    <phoneticPr fontId="2" type="noConversion"/>
  </si>
  <si>
    <t>STOPPER</t>
    <phoneticPr fontId="2" type="noConversion"/>
  </si>
  <si>
    <t>K-R2767-1A</t>
    <phoneticPr fontId="2" type="noConversion"/>
  </si>
  <si>
    <t>14</t>
    <phoneticPr fontId="2" type="noConversion"/>
  </si>
  <si>
    <t>SAMPLE 진행 사항(04일)</t>
    <phoneticPr fontId="2" type="noConversion"/>
  </si>
  <si>
    <t>AMB39R1A-KAA-R1(4C)</t>
    <phoneticPr fontId="2" type="noConversion"/>
  </si>
  <si>
    <t>NP635-315-010#LB</t>
    <phoneticPr fontId="2" type="noConversion"/>
  </si>
  <si>
    <t>SGP2030R N/P</t>
    <phoneticPr fontId="2" type="noConversion"/>
  </si>
  <si>
    <t>신작</t>
    <phoneticPr fontId="2" type="noConversion"/>
  </si>
  <si>
    <t>AYE</t>
    <phoneticPr fontId="2" type="noConversion"/>
  </si>
  <si>
    <t>NP635-315-010#IN-A</t>
    <phoneticPr fontId="2" type="noConversion"/>
  </si>
  <si>
    <t>NP635-315-010#IN-B</t>
    <phoneticPr fontId="2" type="noConversion"/>
  </si>
  <si>
    <t>AMB2107A-KAA-R1</t>
    <phoneticPr fontId="2" type="noConversion"/>
  </si>
  <si>
    <t>TOP</t>
    <phoneticPr fontId="2" type="noConversion"/>
  </si>
  <si>
    <t>SGF2041</t>
    <phoneticPr fontId="2" type="noConversion"/>
  </si>
  <si>
    <t>LG35</t>
    <phoneticPr fontId="2" type="noConversion"/>
  </si>
  <si>
    <t>3</t>
    <phoneticPr fontId="2" type="noConversion"/>
  </si>
  <si>
    <t>SGF2030</t>
    <phoneticPr fontId="2" type="noConversion"/>
  </si>
  <si>
    <t>수정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</si>
  <si>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</si>
  <si>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</si>
  <si>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2021년 11월 05일 일일생산현황</t>
    </r>
    <r>
      <rPr>
        <b/>
        <sz val="14"/>
        <color indexed="8"/>
        <rFont val="굴림체"/>
        <family val="3"/>
        <charset val="129"/>
      </rPr>
      <t>(06일 09시 현재)</t>
    </r>
    <phoneticPr fontId="2" type="noConversion"/>
  </si>
  <si>
    <t>K-JR01903-D180ZA</t>
    <phoneticPr fontId="2" type="noConversion"/>
  </si>
  <si>
    <t>SGP2020R</t>
    <phoneticPr fontId="2" type="noConversion"/>
  </si>
  <si>
    <t>AMB0366A-KAA-R3</t>
    <phoneticPr fontId="2" type="noConversion"/>
  </si>
  <si>
    <t>2829HQN05-28-F3</t>
    <phoneticPr fontId="2" type="noConversion"/>
  </si>
  <si>
    <t>K-R2767-1A</t>
    <phoneticPr fontId="2" type="noConversion"/>
  </si>
  <si>
    <t>22P(4POST)</t>
    <phoneticPr fontId="2" type="noConversion"/>
  </si>
  <si>
    <t>AMB39R1A-KAA-R1</t>
    <phoneticPr fontId="2" type="noConversion"/>
  </si>
  <si>
    <t>전일 ISSUE 사항(05일)</t>
    <phoneticPr fontId="2" type="noConversion"/>
  </si>
  <si>
    <t>휨정지</t>
    <phoneticPr fontId="2" type="noConversion"/>
  </si>
  <si>
    <t>발주분양산-&gt;뜯김수리</t>
    <phoneticPr fontId="2" type="noConversion"/>
  </si>
  <si>
    <t>코아파손2회수리</t>
    <phoneticPr fontId="2" type="noConversion"/>
  </si>
  <si>
    <t>수리후양산-&gt;코아파손2회수리-&gt;BURR수리</t>
    <phoneticPr fontId="2" type="noConversion"/>
  </si>
  <si>
    <t>당일 진행 사항(08일)</t>
    <phoneticPr fontId="2" type="noConversion"/>
  </si>
  <si>
    <t>HDBF05-M01B1-N</t>
    <phoneticPr fontId="2" type="noConversion"/>
  </si>
  <si>
    <t>HS05B-FLOATING1</t>
    <phoneticPr fontId="2" type="noConversion"/>
  </si>
  <si>
    <t>AMB07Z2A-KAA-R1</t>
    <phoneticPr fontId="2" type="noConversion"/>
  </si>
  <si>
    <t>288F84M-B159A</t>
    <phoneticPr fontId="2" type="noConversion"/>
  </si>
  <si>
    <t>262C83A-B150A</t>
    <phoneticPr fontId="2" type="noConversion"/>
  </si>
  <si>
    <t>10</t>
    <phoneticPr fontId="2" type="noConversion"/>
  </si>
  <si>
    <t>K-JR01903-A180AWB</t>
    <phoneticPr fontId="2" type="noConversion"/>
  </si>
  <si>
    <t>SST</t>
    <phoneticPr fontId="2" type="noConversion"/>
  </si>
  <si>
    <t>11</t>
    <phoneticPr fontId="2" type="noConversion"/>
  </si>
  <si>
    <t>SLIDER</t>
    <phoneticPr fontId="2" type="noConversion"/>
  </si>
  <si>
    <t>13</t>
    <phoneticPr fontId="2" type="noConversion"/>
  </si>
  <si>
    <t>K-JR01903-B180AWB</t>
    <phoneticPr fontId="2" type="noConversion"/>
  </si>
  <si>
    <t>치수확인후양산</t>
    <phoneticPr fontId="2" type="noConversion"/>
  </si>
  <si>
    <t>18</t>
    <phoneticPr fontId="2" type="noConversion"/>
  </si>
  <si>
    <t>SP</t>
    <phoneticPr fontId="2" type="noConversion"/>
  </si>
  <si>
    <t>SAMPLE 진행 사항(05일)</t>
    <phoneticPr fontId="2" type="noConversion"/>
  </si>
  <si>
    <t>KR6472-B273UA</t>
    <phoneticPr fontId="2" type="noConversion"/>
  </si>
  <si>
    <t>KR6472-C273TA</t>
    <phoneticPr fontId="2" type="noConversion"/>
  </si>
  <si>
    <t>NP635-315-010#LB</t>
    <phoneticPr fontId="2" type="noConversion"/>
  </si>
  <si>
    <t>KR6446-GF078PLA</t>
    <phoneticPr fontId="2" type="noConversion"/>
  </si>
  <si>
    <t>AYE</t>
    <phoneticPr fontId="2" type="noConversion"/>
  </si>
  <si>
    <t>BASE</t>
    <phoneticPr fontId="2" type="noConversion"/>
  </si>
  <si>
    <t>COVER</t>
    <phoneticPr fontId="2" type="noConversion"/>
  </si>
  <si>
    <t>ADAPTER</t>
    <phoneticPr fontId="2" type="noConversion"/>
  </si>
  <si>
    <t>JD4901</t>
    <phoneticPr fontId="2" type="noConversion"/>
  </si>
  <si>
    <t>PX13322</t>
    <phoneticPr fontId="2" type="noConversion"/>
  </si>
  <si>
    <t>SGP2030R N/P</t>
    <phoneticPr fontId="2" type="noConversion"/>
  </si>
  <si>
    <t>3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</si>
  <si>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</si>
  <si>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</si>
  <si>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2021년 11월 08일 일일생산현황</t>
    </r>
    <r>
      <rPr>
        <b/>
        <sz val="14"/>
        <color indexed="8"/>
        <rFont val="굴림체"/>
        <family val="3"/>
        <charset val="129"/>
      </rPr>
      <t>(09일 09시 현재)</t>
    </r>
    <phoneticPr fontId="2" type="noConversion"/>
  </si>
  <si>
    <t>288F84M-B160A</t>
    <phoneticPr fontId="2" type="noConversion"/>
  </si>
  <si>
    <t>AMM08012A-KAA-R1</t>
    <phoneticPr fontId="2" type="noConversion"/>
  </si>
  <si>
    <t>전일 ISSUE 사항(08일)</t>
    <phoneticPr fontId="2" type="noConversion"/>
  </si>
  <si>
    <t>발주분양산-&gt;HOOK파손수리</t>
    <phoneticPr fontId="2" type="noConversion"/>
  </si>
  <si>
    <t>치수이상정지</t>
    <phoneticPr fontId="2" type="noConversion"/>
  </si>
  <si>
    <t>당일 진행 사항(09일)</t>
    <phoneticPr fontId="2" type="noConversion"/>
  </si>
  <si>
    <t>HDBF05-M02B1</t>
    <phoneticPr fontId="2" type="noConversion"/>
  </si>
  <si>
    <t>2829HQN05-28-B2</t>
    <phoneticPr fontId="2" type="noConversion"/>
  </si>
  <si>
    <t>2829HQN05-28-B1</t>
    <phoneticPr fontId="2" type="noConversion"/>
  </si>
  <si>
    <t>RIVET</t>
    <phoneticPr fontId="2" type="noConversion"/>
  </si>
  <si>
    <t>AM0148A-K-R2</t>
    <phoneticPr fontId="2" type="noConversion"/>
  </si>
  <si>
    <t>SAMPLE 진행 사항(08일)</t>
    <phoneticPr fontId="2" type="noConversion"/>
  </si>
  <si>
    <t>New Pattern Cover-4</t>
    <phoneticPr fontId="2" type="noConversion"/>
  </si>
  <si>
    <t>32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</si>
  <si>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</si>
  <si>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</si>
  <si>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t>테스트용</t>
    <phoneticPr fontId="2" type="noConversion"/>
  </si>
  <si>
    <r>
      <t>2021년 11월 09일 일일생산현황</t>
    </r>
    <r>
      <rPr>
        <b/>
        <sz val="14"/>
        <color indexed="8"/>
        <rFont val="굴림체"/>
        <family val="3"/>
        <charset val="129"/>
      </rPr>
      <t>(10일 09시 현재)</t>
    </r>
    <phoneticPr fontId="2" type="noConversion"/>
  </si>
  <si>
    <t>2829HQN05-28-B2</t>
    <phoneticPr fontId="2" type="noConversion"/>
  </si>
  <si>
    <t>2829HQN05-28-B1</t>
    <phoneticPr fontId="2" type="noConversion"/>
  </si>
  <si>
    <t>RTP N/P</t>
    <phoneticPr fontId="2" type="noConversion"/>
  </si>
  <si>
    <t>AM0148A-K-R2</t>
    <phoneticPr fontId="2" type="noConversion"/>
  </si>
  <si>
    <t>New Pattern Cover-3</t>
    <phoneticPr fontId="2" type="noConversion"/>
  </si>
  <si>
    <t>K-AR3462-2B</t>
    <phoneticPr fontId="2" type="noConversion"/>
  </si>
  <si>
    <t>K-AR3463-1A</t>
    <phoneticPr fontId="2" type="noConversion"/>
  </si>
  <si>
    <t>K-AR3464-1A</t>
    <phoneticPr fontId="2" type="noConversion"/>
  </si>
  <si>
    <t>전일 ISSUE 사항(09일)</t>
    <phoneticPr fontId="2" type="noConversion"/>
  </si>
  <si>
    <t>3</t>
    <phoneticPr fontId="2" type="noConversion"/>
  </si>
  <si>
    <t>AMM08012A-KAA-R1</t>
    <phoneticPr fontId="2" type="noConversion"/>
  </si>
  <si>
    <t>수리후양산-&gt;코아파손3회정지</t>
    <phoneticPr fontId="2" type="noConversion"/>
  </si>
  <si>
    <t>발주분양산-&gt;상측박힘수리</t>
    <phoneticPr fontId="2" type="noConversion"/>
  </si>
  <si>
    <t>코아파손1C막음</t>
    <phoneticPr fontId="2" type="noConversion"/>
  </si>
  <si>
    <t>라인</t>
    <phoneticPr fontId="2" type="noConversion"/>
  </si>
  <si>
    <t>32</t>
    <phoneticPr fontId="2" type="noConversion"/>
  </si>
  <si>
    <t>RV1.0-1.2HD-1.15A1</t>
    <phoneticPr fontId="2" type="noConversion"/>
  </si>
  <si>
    <t>10</t>
    <phoneticPr fontId="2" type="noConversion"/>
  </si>
  <si>
    <t>COVER-3</t>
    <phoneticPr fontId="2" type="noConversion"/>
  </si>
  <si>
    <t>33</t>
    <phoneticPr fontId="2" type="noConversion"/>
  </si>
  <si>
    <t>BASE</t>
    <phoneticPr fontId="2" type="noConversion"/>
  </si>
  <si>
    <t>당일 진행 사항(10일)</t>
    <phoneticPr fontId="2" type="noConversion"/>
  </si>
  <si>
    <t>RJR</t>
    <phoneticPr fontId="2" type="noConversion"/>
  </si>
  <si>
    <t>2</t>
    <phoneticPr fontId="2" type="noConversion"/>
  </si>
  <si>
    <t>LID-8106</t>
    <phoneticPr fontId="2" type="noConversion"/>
  </si>
  <si>
    <t>HS05B-BASE1</t>
    <phoneticPr fontId="2" type="noConversion"/>
  </si>
  <si>
    <t>K-JR01903-A180AWB</t>
    <phoneticPr fontId="2" type="noConversion"/>
  </si>
  <si>
    <t>SST</t>
    <phoneticPr fontId="2" type="noConversion"/>
  </si>
  <si>
    <t>11</t>
    <phoneticPr fontId="2" type="noConversion"/>
  </si>
  <si>
    <t>SLIDER</t>
    <phoneticPr fontId="2" type="noConversion"/>
  </si>
  <si>
    <t>35</t>
    <phoneticPr fontId="2" type="noConversion"/>
  </si>
  <si>
    <t>COVER</t>
    <phoneticPr fontId="2" type="noConversion"/>
  </si>
  <si>
    <t>SAMPLE 진행 사항(09일)</t>
    <phoneticPr fontId="2" type="noConversion"/>
  </si>
  <si>
    <t>5</t>
    <phoneticPr fontId="2" type="noConversion"/>
  </si>
  <si>
    <t>KR6432-C153TB</t>
    <phoneticPr fontId="2" type="noConversion"/>
  </si>
  <si>
    <t>HDB08J-M02A1-A(78B)</t>
    <phoneticPr fontId="2" type="noConversion"/>
  </si>
  <si>
    <t>HICON</t>
    <phoneticPr fontId="2" type="noConversion"/>
  </si>
  <si>
    <t>SGF2030 N/P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</si>
  <si>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</si>
  <si>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</si>
  <si>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r>
      <t>2021년 11월 10일 일일생산현황</t>
    </r>
    <r>
      <rPr>
        <b/>
        <sz val="14"/>
        <color indexed="8"/>
        <rFont val="굴림체"/>
        <family val="3"/>
        <charset val="129"/>
      </rPr>
      <t>(11일 09시 현재)</t>
    </r>
    <phoneticPr fontId="2" type="noConversion"/>
  </si>
  <si>
    <t>LID</t>
    <phoneticPr fontId="2" type="noConversion"/>
  </si>
  <si>
    <t>S475 N/P</t>
    <phoneticPr fontId="2" type="noConversion"/>
  </si>
  <si>
    <t>메카텍</t>
    <phoneticPr fontId="2" type="noConversion"/>
  </si>
  <si>
    <t>COVER HINGE</t>
    <phoneticPr fontId="2" type="noConversion"/>
  </si>
  <si>
    <t xml:space="preserve">SGF2041 </t>
    <phoneticPr fontId="2" type="noConversion"/>
  </si>
  <si>
    <t>전일 ISSUE 사항(10일)</t>
    <phoneticPr fontId="2" type="noConversion"/>
  </si>
  <si>
    <t>발주분양산-&gt;이물수리</t>
    <phoneticPr fontId="2" type="noConversion"/>
  </si>
  <si>
    <t>HS05B-BASE1</t>
    <phoneticPr fontId="2" type="noConversion"/>
  </si>
  <si>
    <t>발주분양산-&gt;BURR저잊</t>
    <phoneticPr fontId="2" type="noConversion"/>
  </si>
  <si>
    <t>K-JR01903-D180ZA</t>
    <phoneticPr fontId="2" type="noConversion"/>
  </si>
  <si>
    <t>뜯김수리</t>
    <phoneticPr fontId="2" type="noConversion"/>
  </si>
  <si>
    <t>발주분양산-&gt;설비이상정지</t>
    <phoneticPr fontId="2" type="noConversion"/>
  </si>
  <si>
    <t>당일 진행 사항(11일)</t>
    <phoneticPr fontId="2" type="noConversion"/>
  </si>
  <si>
    <t>AMM08010A-KAA-R1</t>
    <phoneticPr fontId="2" type="noConversion"/>
  </si>
  <si>
    <t>AMB0361A-KAA-R2</t>
    <phoneticPr fontId="2" type="noConversion"/>
  </si>
  <si>
    <t>AM0241A-K-R2</t>
    <phoneticPr fontId="2" type="noConversion"/>
  </si>
  <si>
    <t>세척후양산</t>
    <phoneticPr fontId="2" type="noConversion"/>
  </si>
  <si>
    <t>8</t>
    <phoneticPr fontId="2" type="noConversion"/>
  </si>
  <si>
    <t>STOPPER</t>
    <phoneticPr fontId="2" type="noConversion"/>
  </si>
  <si>
    <t>AM1903C-J</t>
    <phoneticPr fontId="2" type="noConversion"/>
  </si>
  <si>
    <t>14</t>
    <phoneticPr fontId="2" type="noConversion"/>
  </si>
  <si>
    <t>ACTUATOR</t>
    <phoneticPr fontId="2" type="noConversion"/>
  </si>
  <si>
    <t>SAMPLE 진행 사항(10일)</t>
    <phoneticPr fontId="2" type="noConversion"/>
  </si>
  <si>
    <t>HSA08-M03A1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</si>
  <si>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</si>
  <si>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</si>
  <si>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2021년 11월 11일 일일생산현황</t>
    </r>
    <r>
      <rPr>
        <b/>
        <sz val="14"/>
        <color indexed="8"/>
        <rFont val="굴림체"/>
        <family val="3"/>
        <charset val="129"/>
      </rPr>
      <t>(12일 09시 현재)</t>
    </r>
    <phoneticPr fontId="2" type="noConversion"/>
  </si>
  <si>
    <t>KR6197-GV153PNC</t>
    <phoneticPr fontId="2" type="noConversion"/>
  </si>
  <si>
    <t>SF2250EPR N/P</t>
    <phoneticPr fontId="2" type="noConversion"/>
  </si>
  <si>
    <t>전일 ISSUE 사항(11일)</t>
    <phoneticPr fontId="2" type="noConversion"/>
  </si>
  <si>
    <t>수리후양산-&gt;BURR수리-&gt;코아파손정지</t>
    <phoneticPr fontId="2" type="noConversion"/>
  </si>
  <si>
    <t>발주분양산-&gt;칼퀴수리</t>
    <phoneticPr fontId="2" type="noConversion"/>
  </si>
  <si>
    <t>33</t>
    <phoneticPr fontId="2" type="noConversion"/>
  </si>
  <si>
    <t>K-AR3462-2B</t>
    <phoneticPr fontId="2" type="noConversion"/>
  </si>
  <si>
    <t>코아파손막음</t>
    <phoneticPr fontId="2" type="noConversion"/>
  </si>
  <si>
    <t>당일 진행 사항(12일)</t>
    <phoneticPr fontId="2" type="noConversion"/>
  </si>
  <si>
    <t>AM1903C-J</t>
    <phoneticPr fontId="2" type="noConversion"/>
  </si>
  <si>
    <t>14</t>
    <phoneticPr fontId="2" type="noConversion"/>
  </si>
  <si>
    <t>ACTUATOR</t>
    <phoneticPr fontId="2" type="noConversion"/>
  </si>
  <si>
    <t>15</t>
    <phoneticPr fontId="2" type="noConversion"/>
  </si>
  <si>
    <t>JOINT</t>
    <phoneticPr fontId="2" type="noConversion"/>
  </si>
  <si>
    <t>AMM0860A-KAA-R1</t>
    <phoneticPr fontId="2" type="noConversion"/>
  </si>
  <si>
    <t>LEVER BRACKET</t>
    <phoneticPr fontId="2" type="noConversion"/>
  </si>
  <si>
    <t>메카텍</t>
    <phoneticPr fontId="2" type="noConversion"/>
  </si>
  <si>
    <t>5</t>
    <phoneticPr fontId="2" type="noConversion"/>
  </si>
  <si>
    <t>SAMPLE 진행 사항(11일)</t>
    <phoneticPr fontId="2" type="noConversion"/>
  </si>
  <si>
    <t>KR6446-GF078PLA</t>
    <phoneticPr fontId="2" type="noConversion"/>
  </si>
  <si>
    <t>SST</t>
    <phoneticPr fontId="2" type="noConversion"/>
  </si>
  <si>
    <t>ADAPTER</t>
    <phoneticPr fontId="2" type="noConversion"/>
  </si>
  <si>
    <t>PX13322 W/T</t>
    <phoneticPr fontId="2" type="noConversion"/>
  </si>
  <si>
    <t>수정</t>
    <phoneticPr fontId="2" type="noConversion"/>
  </si>
  <si>
    <t>1</t>
    <phoneticPr fontId="2" type="noConversion"/>
  </si>
  <si>
    <t>상측박힘수리</t>
    <phoneticPr fontId="2" type="noConversion"/>
  </si>
  <si>
    <t>KR6197-GV153PNC</t>
    <phoneticPr fontId="2" type="noConversion"/>
  </si>
  <si>
    <t>SF2250EPR N/P</t>
    <phoneticPr fontId="2" type="noConversion"/>
  </si>
  <si>
    <t>요청</t>
    <phoneticPr fontId="2" type="noConversion"/>
  </si>
  <si>
    <t>12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</si>
  <si>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</si>
  <si>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</si>
  <si>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2021년 11월 12일 일일생산현황</t>
    </r>
    <r>
      <rPr>
        <b/>
        <sz val="14"/>
        <color indexed="8"/>
        <rFont val="굴림체"/>
        <family val="3"/>
        <charset val="129"/>
      </rPr>
      <t>(13일 09시 현재)</t>
    </r>
    <phoneticPr fontId="2" type="noConversion"/>
  </si>
  <si>
    <t>GN2330</t>
    <phoneticPr fontId="2" type="noConversion"/>
  </si>
  <si>
    <t>전일 ISSUE 사항(12일)</t>
    <phoneticPr fontId="2" type="noConversion"/>
  </si>
  <si>
    <t>수리후양산-&gt;코아파손4회정지</t>
    <phoneticPr fontId="2" type="noConversion"/>
  </si>
  <si>
    <t>SOCKET</t>
    <phoneticPr fontId="2" type="noConversion"/>
  </si>
  <si>
    <t>당일 진행 사항(15일)</t>
    <phoneticPr fontId="2" type="noConversion"/>
  </si>
  <si>
    <t>AMB07M4A-KAA-R1</t>
    <phoneticPr fontId="2" type="noConversion"/>
  </si>
  <si>
    <t>SST</t>
    <phoneticPr fontId="2" type="noConversion"/>
  </si>
  <si>
    <t>4</t>
    <phoneticPr fontId="2" type="noConversion"/>
  </si>
  <si>
    <t>STOPPER</t>
    <phoneticPr fontId="2" type="noConversion"/>
  </si>
  <si>
    <t>K-JR01903-D180ZA</t>
    <phoneticPr fontId="2" type="noConversion"/>
  </si>
  <si>
    <t>런너막힘정지</t>
    <phoneticPr fontId="2" type="noConversion"/>
  </si>
  <si>
    <t>11</t>
    <phoneticPr fontId="2" type="noConversion"/>
  </si>
  <si>
    <t>SLIDER</t>
    <phoneticPr fontId="2" type="noConversion"/>
  </si>
  <si>
    <t>K-JR01903-A180AWB</t>
    <phoneticPr fontId="2" type="noConversion"/>
  </si>
  <si>
    <t>코아파손정지</t>
    <phoneticPr fontId="2" type="noConversion"/>
  </si>
  <si>
    <t>1</t>
    <phoneticPr fontId="2" type="noConversion"/>
  </si>
  <si>
    <t>ADAPTER</t>
    <phoneticPr fontId="2" type="noConversion"/>
  </si>
  <si>
    <t>K-JR01875-E01TA</t>
    <phoneticPr fontId="2" type="noConversion"/>
  </si>
  <si>
    <t>6</t>
    <phoneticPr fontId="2" type="noConversion"/>
  </si>
  <si>
    <t>LATCH</t>
    <phoneticPr fontId="2" type="noConversion"/>
  </si>
  <si>
    <t>AMB0182A-KAA-R1</t>
    <phoneticPr fontId="2" type="noConversion"/>
  </si>
  <si>
    <t>5</t>
    <phoneticPr fontId="2" type="noConversion"/>
  </si>
  <si>
    <t>KR6457-GA315PNA</t>
    <phoneticPr fontId="2" type="noConversion"/>
  </si>
  <si>
    <t>KR6457-E01TA</t>
    <phoneticPr fontId="2" type="noConversion"/>
  </si>
  <si>
    <t>12</t>
    <phoneticPr fontId="2" type="noConversion"/>
  </si>
  <si>
    <t>8</t>
    <phoneticPr fontId="2" type="noConversion"/>
  </si>
  <si>
    <t>15</t>
    <phoneticPr fontId="2" type="noConversion"/>
  </si>
  <si>
    <t>KR6457-A315YA</t>
    <phoneticPr fontId="2" type="noConversion"/>
  </si>
  <si>
    <t>SAMPLE 진행 사항(12일)</t>
    <phoneticPr fontId="2" type="noConversion"/>
  </si>
  <si>
    <t>SP L/R</t>
    <phoneticPr fontId="2" type="noConversion"/>
  </si>
  <si>
    <t>AMB39R2A/B-KAA-R1</t>
    <phoneticPr fontId="2" type="noConversion"/>
  </si>
  <si>
    <t>E130i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</si>
  <si>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</si>
  <si>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</si>
  <si>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2021년 11월 15일 일일생산현황</t>
    </r>
    <r>
      <rPr>
        <b/>
        <sz val="14"/>
        <color indexed="8"/>
        <rFont val="굴림체"/>
        <family val="3"/>
        <charset val="129"/>
      </rPr>
      <t>(16일 09시 현재)</t>
    </r>
    <phoneticPr fontId="2" type="noConversion"/>
  </si>
  <si>
    <t>AMB0189A-KAA-R2</t>
    <phoneticPr fontId="2" type="noConversion"/>
  </si>
  <si>
    <t>KR6457BB315PMA</t>
    <phoneticPr fontId="2" type="noConversion"/>
  </si>
  <si>
    <t>60P</t>
    <phoneticPr fontId="2" type="noConversion"/>
  </si>
  <si>
    <t>전일 ISSUE 사항(15일)</t>
    <phoneticPr fontId="2" type="noConversion"/>
  </si>
  <si>
    <t>발주분양산-&gt;BURR수리</t>
    <phoneticPr fontId="2" type="noConversion"/>
  </si>
  <si>
    <t>당일 진행 사항(16일)</t>
    <phoneticPr fontId="2" type="noConversion"/>
  </si>
  <si>
    <t>AMB0150A-KAA-R4</t>
    <phoneticPr fontId="2" type="noConversion"/>
  </si>
  <si>
    <t>HS05B-BOTTOM1</t>
    <phoneticPr fontId="2" type="noConversion"/>
  </si>
  <si>
    <t>KR6457-D315UA</t>
    <phoneticPr fontId="2" type="noConversion"/>
  </si>
  <si>
    <t>KR6457-C315TA</t>
    <phoneticPr fontId="2" type="noConversion"/>
  </si>
  <si>
    <t>34</t>
    <phoneticPr fontId="2" type="noConversion"/>
  </si>
  <si>
    <t>SAMPLE 진행 사항(15일)</t>
    <phoneticPr fontId="2" type="noConversion"/>
  </si>
  <si>
    <t>옵션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</si>
  <si>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</si>
  <si>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</si>
  <si>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2021년 11월 16일 일일생산현황</t>
    </r>
    <r>
      <rPr>
        <b/>
        <sz val="14"/>
        <color indexed="8"/>
        <rFont val="굴림체"/>
        <family val="3"/>
        <charset val="129"/>
      </rPr>
      <t>(17일 09시 현재)</t>
    </r>
    <phoneticPr fontId="2" type="noConversion"/>
  </si>
  <si>
    <t>AMB0150A-KAA-R4</t>
    <phoneticPr fontId="2" type="noConversion"/>
  </si>
  <si>
    <t>HS05B-BOTTOM1</t>
    <phoneticPr fontId="2" type="noConversion"/>
  </si>
  <si>
    <t>KR6454-D352UA</t>
    <phoneticPr fontId="2" type="noConversion"/>
  </si>
  <si>
    <t>전일 ISSUE 사항(16일)</t>
    <phoneticPr fontId="2" type="noConversion"/>
  </si>
  <si>
    <t>KR6457-C315TA</t>
    <phoneticPr fontId="2" type="noConversion"/>
  </si>
  <si>
    <t>K-AR3463-1A</t>
    <phoneticPr fontId="2" type="noConversion"/>
  </si>
  <si>
    <t>수리후양산-&gt;뜯김수리</t>
    <phoneticPr fontId="2" type="noConversion"/>
  </si>
  <si>
    <t>15</t>
    <phoneticPr fontId="2" type="noConversion"/>
  </si>
  <si>
    <t>34</t>
    <phoneticPr fontId="2" type="noConversion"/>
  </si>
  <si>
    <t>SLIDER</t>
    <phoneticPr fontId="2" type="noConversion"/>
  </si>
  <si>
    <t>COVER</t>
    <phoneticPr fontId="2" type="noConversion"/>
  </si>
  <si>
    <t>당일 진행 사항(17일)</t>
    <phoneticPr fontId="2" type="noConversion"/>
  </si>
  <si>
    <t>AMB07P2A-KAA-R1</t>
    <phoneticPr fontId="2" type="noConversion"/>
  </si>
  <si>
    <t>KR6197-GK209QA</t>
    <phoneticPr fontId="2" type="noConversion"/>
  </si>
  <si>
    <t>ODT</t>
    <phoneticPr fontId="2" type="noConversion"/>
  </si>
  <si>
    <t>CASE</t>
    <phoneticPr fontId="2" type="noConversion"/>
  </si>
  <si>
    <t>AMM1237A-KAA/B-R1</t>
    <phoneticPr fontId="2" type="noConversion"/>
  </si>
  <si>
    <t>AM0143A-K</t>
    <phoneticPr fontId="2" type="noConversion"/>
  </si>
  <si>
    <t>8</t>
    <phoneticPr fontId="2" type="noConversion"/>
  </si>
  <si>
    <t>SAMPLE 진행 사항(16일)</t>
    <phoneticPr fontId="2" type="noConversion"/>
  </si>
  <si>
    <t>BURR수리</t>
    <phoneticPr fontId="2" type="noConversion"/>
  </si>
  <si>
    <t>AMB0190A-KAA-R1</t>
    <phoneticPr fontId="2" type="noConversion"/>
  </si>
  <si>
    <t>BASE</t>
    <phoneticPr fontId="2" type="noConversion"/>
  </si>
  <si>
    <t>RG430NH</t>
    <phoneticPr fontId="2" type="noConversion"/>
  </si>
  <si>
    <t>원재료</t>
    <phoneticPr fontId="2" type="noConversion"/>
  </si>
  <si>
    <t>6</t>
    <phoneticPr fontId="2" type="noConversion"/>
  </si>
  <si>
    <t>HDB08PL-96S2</t>
    <phoneticPr fontId="2" type="noConversion"/>
  </si>
  <si>
    <t>HICON</t>
    <phoneticPr fontId="2" type="noConversion"/>
  </si>
  <si>
    <t>SGF2030 N/P</t>
    <phoneticPr fontId="2" type="noConversion"/>
  </si>
  <si>
    <t>수정</t>
    <phoneticPr fontId="2" type="noConversion"/>
  </si>
  <si>
    <t>12</t>
    <phoneticPr fontId="2" type="noConversion"/>
  </si>
  <si>
    <t>AMB0201C-JAA-R3</t>
    <phoneticPr fontId="2" type="noConversion"/>
  </si>
  <si>
    <t>STOPPER</t>
    <phoneticPr fontId="2" type="noConversion"/>
  </si>
  <si>
    <t>SF2255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</si>
  <si>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</si>
  <si>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</si>
  <si>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2021년 11월 17일 일일생산현황</t>
    </r>
    <r>
      <rPr>
        <b/>
        <sz val="14"/>
        <color indexed="8"/>
        <rFont val="굴림체"/>
        <family val="3"/>
        <charset val="129"/>
      </rPr>
      <t>(18일 09시 현재)</t>
    </r>
    <phoneticPr fontId="2" type="noConversion"/>
  </si>
  <si>
    <t>AMB07P2A-KAA-R1</t>
    <phoneticPr fontId="2" type="noConversion"/>
  </si>
  <si>
    <t>HL088-10M1</t>
    <phoneticPr fontId="2" type="noConversion"/>
  </si>
  <si>
    <t>GP2306F</t>
    <phoneticPr fontId="2" type="noConversion"/>
  </si>
  <si>
    <t>2*1</t>
    <phoneticPr fontId="2" type="noConversion"/>
  </si>
  <si>
    <t>STOPPER L/R</t>
    <phoneticPr fontId="2" type="noConversion"/>
  </si>
  <si>
    <t>AMM1237A-KAA/B</t>
    <phoneticPr fontId="2" type="noConversion"/>
  </si>
  <si>
    <t>전일 ISSUE 사항(17일)</t>
    <phoneticPr fontId="2" type="noConversion"/>
  </si>
  <si>
    <t>HL088-10M1</t>
    <phoneticPr fontId="2" type="noConversion"/>
  </si>
  <si>
    <t>AM0143A-K</t>
    <phoneticPr fontId="2" type="noConversion"/>
  </si>
  <si>
    <t>8</t>
    <phoneticPr fontId="2" type="noConversion"/>
  </si>
  <si>
    <t>당일 진행 사항(18일)</t>
    <phoneticPr fontId="2" type="noConversion"/>
  </si>
  <si>
    <t>HDBF05-M02B1</t>
    <phoneticPr fontId="2" type="noConversion"/>
  </si>
  <si>
    <t>288C64A-B149A</t>
    <phoneticPr fontId="2" type="noConversion"/>
  </si>
  <si>
    <t>ST/HOL</t>
    <phoneticPr fontId="2" type="noConversion"/>
  </si>
  <si>
    <t>K-JR01860-D01AZB/H</t>
    <phoneticPr fontId="2" type="noConversion"/>
  </si>
  <si>
    <t>SAMPLE 진행 사항(17일)</t>
    <phoneticPr fontId="2" type="noConversion"/>
  </si>
  <si>
    <t>AMMM08007A-KAA-R1</t>
    <phoneticPr fontId="2" type="noConversion"/>
  </si>
  <si>
    <t>KR6472-J034PRA</t>
    <phoneticPr fontId="2" type="noConversion"/>
  </si>
  <si>
    <t>SST</t>
    <phoneticPr fontId="2" type="noConversion"/>
  </si>
  <si>
    <t>SP</t>
    <phoneticPr fontId="2" type="noConversion"/>
  </si>
  <si>
    <t>S475</t>
    <phoneticPr fontId="2" type="noConversion"/>
  </si>
  <si>
    <t>수정</t>
    <phoneticPr fontId="2" type="noConversion"/>
  </si>
  <si>
    <t>18</t>
    <phoneticPr fontId="2" type="noConversion"/>
  </si>
  <si>
    <t>치수확인용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</si>
  <si>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</si>
  <si>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</si>
  <si>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2021년 11월 18일 일일생산현황</t>
    </r>
    <r>
      <rPr>
        <b/>
        <sz val="14"/>
        <color indexed="8"/>
        <rFont val="굴림체"/>
        <family val="3"/>
        <charset val="129"/>
      </rPr>
      <t>(19일 09시 현재)</t>
    </r>
    <phoneticPr fontId="2" type="noConversion"/>
  </si>
  <si>
    <t>SPACER 1.2</t>
    <phoneticPr fontId="2" type="noConversion"/>
  </si>
  <si>
    <t>288C64A-B149A</t>
    <phoneticPr fontId="2" type="noConversion"/>
  </si>
  <si>
    <t>ST/HO</t>
    <phoneticPr fontId="2" type="noConversion"/>
  </si>
  <si>
    <t>K-JR01860-D/H01AZB</t>
    <phoneticPr fontId="2" type="noConversion"/>
  </si>
  <si>
    <t>2*1</t>
    <phoneticPr fontId="2" type="noConversion"/>
  </si>
  <si>
    <t>전일 ISSUE 사항(18일)</t>
    <phoneticPr fontId="2" type="noConversion"/>
  </si>
  <si>
    <t>HDBF05-M02B1</t>
    <phoneticPr fontId="2" type="noConversion"/>
  </si>
  <si>
    <t>발주분양산-&gt;런너막힘수리</t>
    <phoneticPr fontId="2" type="noConversion"/>
  </si>
  <si>
    <t>HS05B-BASE1</t>
    <phoneticPr fontId="2" type="noConversion"/>
  </si>
  <si>
    <t>SP 1.2</t>
    <phoneticPr fontId="2" type="noConversion"/>
  </si>
  <si>
    <t>AMB39R2A/B-KAA-R1</t>
    <phoneticPr fontId="2" type="noConversion"/>
  </si>
  <si>
    <t>발주분양산-&gt;코아파손4회저잊</t>
    <phoneticPr fontId="2" type="noConversion"/>
  </si>
  <si>
    <t>K-JR01860-D/H01AZB</t>
    <phoneticPr fontId="2" type="noConversion"/>
  </si>
  <si>
    <t>발주분양산-&gt;뜯김정지</t>
    <phoneticPr fontId="2" type="noConversion"/>
  </si>
  <si>
    <t>K-JR01903-A180AWB</t>
    <phoneticPr fontId="2" type="noConversion"/>
  </si>
  <si>
    <t>코아파손1C막음</t>
    <phoneticPr fontId="2" type="noConversion"/>
  </si>
  <si>
    <t>SST</t>
    <phoneticPr fontId="2" type="noConversion"/>
  </si>
  <si>
    <t>11</t>
    <phoneticPr fontId="2" type="noConversion"/>
  </si>
  <si>
    <t>당일 진행 사항(19일)</t>
    <phoneticPr fontId="2" type="noConversion"/>
  </si>
  <si>
    <t>AMC1201A-KAA-R1</t>
    <phoneticPr fontId="2" type="noConversion"/>
  </si>
  <si>
    <t>AMB0359A-KAA-R2</t>
    <phoneticPr fontId="2" type="noConversion"/>
  </si>
  <si>
    <t>6</t>
    <phoneticPr fontId="2" type="noConversion"/>
  </si>
  <si>
    <t>COVER</t>
    <phoneticPr fontId="2" type="noConversion"/>
  </si>
  <si>
    <t>K-R2867-1A</t>
    <phoneticPr fontId="2" type="noConversion"/>
  </si>
  <si>
    <t>14</t>
    <phoneticPr fontId="2" type="noConversion"/>
  </si>
  <si>
    <t>SAMPLE 진행 사항(18일)</t>
    <phoneticPr fontId="2" type="noConversion"/>
  </si>
  <si>
    <t>AMB20H1A-KAA-R1</t>
    <phoneticPr fontId="2" type="noConversion"/>
  </si>
  <si>
    <t>MCS</t>
    <phoneticPr fontId="2" type="noConversion"/>
  </si>
  <si>
    <t>F/A</t>
    <phoneticPr fontId="2" type="noConversion"/>
  </si>
  <si>
    <t>8301/SF2255 I/V</t>
    <phoneticPr fontId="2" type="noConversion"/>
  </si>
  <si>
    <t>신작</t>
    <phoneticPr fontId="2" type="noConversion"/>
  </si>
  <si>
    <t>2</t>
    <phoneticPr fontId="2" type="noConversion"/>
  </si>
  <si>
    <t>AMB0486A-KAA-R1</t>
    <phoneticPr fontId="2" type="noConversion"/>
  </si>
  <si>
    <t>LEAD GUIDE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</si>
  <si>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</si>
  <si>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</si>
  <si>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2021년 11월 19일 일일생산현황</t>
    </r>
    <r>
      <rPr>
        <b/>
        <sz val="14"/>
        <color indexed="8"/>
        <rFont val="굴림체"/>
        <family val="3"/>
        <charset val="129"/>
      </rPr>
      <t>(20일 09시 현재)</t>
    </r>
    <phoneticPr fontId="2" type="noConversion"/>
  </si>
  <si>
    <t>AMC1201A-KAA-R1</t>
    <phoneticPr fontId="2" type="noConversion"/>
  </si>
  <si>
    <t>AMB0359A-KAA-R1</t>
    <phoneticPr fontId="2" type="noConversion"/>
  </si>
  <si>
    <t>K-R2867-1A</t>
    <phoneticPr fontId="2" type="noConversion"/>
  </si>
  <si>
    <t>AMM0822A-KAB-R1</t>
    <phoneticPr fontId="2" type="noConversion"/>
  </si>
  <si>
    <t>전일 ISSUE 사항(19일)</t>
    <phoneticPr fontId="2" type="noConversion"/>
  </si>
  <si>
    <t>CASE</t>
    <phoneticPr fontId="2" type="noConversion"/>
  </si>
  <si>
    <t>AMB0359A-KAA-R2</t>
    <phoneticPr fontId="2" type="noConversion"/>
  </si>
  <si>
    <t>수리후양산-&gt;코아파손5회정지</t>
    <phoneticPr fontId="2" type="noConversion"/>
  </si>
  <si>
    <t>당일 진행 사항(22일)</t>
    <phoneticPr fontId="2" type="noConversion"/>
  </si>
  <si>
    <t>AMB09J4B-KAA-R6</t>
    <phoneticPr fontId="2" type="noConversion"/>
  </si>
  <si>
    <t>K-R2866-1A</t>
    <phoneticPr fontId="2" type="noConversion"/>
  </si>
  <si>
    <t>SAMPLE 진행 사항(19일)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</si>
  <si>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</si>
  <si>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</si>
  <si>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t>SF2255 I/V</t>
    <phoneticPr fontId="2" type="noConversion"/>
  </si>
  <si>
    <r>
      <t>2021년 11월 22일 일일생산현황</t>
    </r>
    <r>
      <rPr>
        <b/>
        <sz val="14"/>
        <color indexed="8"/>
        <rFont val="굴림체"/>
        <family val="3"/>
        <charset val="129"/>
      </rPr>
      <t>(23일 09시 현재)</t>
    </r>
    <phoneticPr fontId="2" type="noConversion"/>
  </si>
  <si>
    <t>AMB20G9A-KAA-R1</t>
    <phoneticPr fontId="2" type="noConversion"/>
  </si>
  <si>
    <t>AMM0899A-KAB-R1</t>
    <phoneticPr fontId="2" type="noConversion"/>
  </si>
  <si>
    <t>전일 ISSUE 사항(22일)</t>
    <phoneticPr fontId="2" type="noConversion"/>
  </si>
  <si>
    <t>KR6422AA496YA</t>
    <phoneticPr fontId="2" type="noConversion"/>
  </si>
  <si>
    <t>발주분양산-&gt;BURR2회정지</t>
    <phoneticPr fontId="2" type="noConversion"/>
  </si>
  <si>
    <t>AMB09J4B-KAA-R6</t>
    <phoneticPr fontId="2" type="noConversion"/>
  </si>
  <si>
    <t>AMB09K2A-KAA-R1</t>
    <phoneticPr fontId="2" type="noConversion"/>
  </si>
  <si>
    <t>치수확인후양산-&gt;2회진행</t>
    <phoneticPr fontId="2" type="noConversion"/>
  </si>
  <si>
    <t>DI</t>
    <phoneticPr fontId="2" type="noConversion"/>
  </si>
  <si>
    <t>16</t>
    <phoneticPr fontId="2" type="noConversion"/>
  </si>
  <si>
    <t>22P</t>
    <phoneticPr fontId="2" type="noConversion"/>
  </si>
  <si>
    <t>세척후양산-&gt;오조립수리</t>
    <phoneticPr fontId="2" type="noConversion"/>
  </si>
  <si>
    <t>당일 진행 사항(23일)</t>
    <phoneticPr fontId="2" type="noConversion"/>
  </si>
  <si>
    <t>KR6463-B180PMA</t>
    <phoneticPr fontId="2" type="noConversion"/>
  </si>
  <si>
    <t>KR6463-D180PSA</t>
    <phoneticPr fontId="2" type="noConversion"/>
  </si>
  <si>
    <t>MCS</t>
    <phoneticPr fontId="2" type="noConversion"/>
  </si>
  <si>
    <t>6</t>
    <phoneticPr fontId="2" type="noConversion"/>
  </si>
  <si>
    <t>LEAD GUIDE</t>
    <phoneticPr fontId="2" type="noConversion"/>
  </si>
  <si>
    <t>AMB0485A-KAA-R1</t>
    <phoneticPr fontId="2" type="noConversion"/>
  </si>
  <si>
    <t>AMB20G9A-KAA-R1</t>
    <phoneticPr fontId="2" type="noConversion"/>
  </si>
  <si>
    <t>K-R2862-1E</t>
    <phoneticPr fontId="2" type="noConversion"/>
  </si>
  <si>
    <t>2</t>
    <phoneticPr fontId="2" type="noConversion"/>
  </si>
  <si>
    <t>F/A</t>
    <phoneticPr fontId="2" type="noConversion"/>
  </si>
  <si>
    <t>3</t>
    <phoneticPr fontId="2" type="noConversion"/>
  </si>
  <si>
    <t>SAMPLE 진행 사항(22일)</t>
    <phoneticPr fontId="2" type="noConversion"/>
  </si>
  <si>
    <t>CAM</t>
    <phoneticPr fontId="2" type="noConversion"/>
  </si>
  <si>
    <t>수리</t>
    <phoneticPr fontId="2" type="noConversion"/>
  </si>
  <si>
    <t>NP635-315-010#IN-A</t>
    <phoneticPr fontId="2" type="noConversion"/>
  </si>
  <si>
    <t>AYE</t>
    <phoneticPr fontId="2" type="noConversion"/>
  </si>
  <si>
    <t>SGF2041</t>
    <phoneticPr fontId="2" type="noConversion"/>
  </si>
  <si>
    <t>수정</t>
    <phoneticPr fontId="2" type="noConversion"/>
  </si>
  <si>
    <t>2회진행</t>
    <phoneticPr fontId="2" type="noConversion"/>
  </si>
  <si>
    <t>HDB08NP-C3(3차)</t>
    <phoneticPr fontId="2" type="noConversion"/>
  </si>
  <si>
    <t>HICON</t>
    <phoneticPr fontId="2" type="noConversion"/>
  </si>
  <si>
    <t>COVER</t>
    <phoneticPr fontId="2" type="noConversion"/>
  </si>
  <si>
    <t>SGF2030 N/P</t>
    <phoneticPr fontId="2" type="noConversion"/>
  </si>
  <si>
    <t>12</t>
    <phoneticPr fontId="2" type="noConversion"/>
  </si>
  <si>
    <t>NP635-315-010#LB</t>
    <phoneticPr fontId="2" type="noConversion"/>
  </si>
  <si>
    <t>SGP2030R N/P</t>
    <phoneticPr fontId="2" type="noConversion"/>
  </si>
  <si>
    <t>KR6472-J034PRA</t>
    <phoneticPr fontId="2" type="noConversion"/>
  </si>
  <si>
    <t>S475</t>
    <phoneticPr fontId="2" type="noConversion"/>
  </si>
  <si>
    <t>18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</si>
  <si>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</si>
  <si>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</si>
  <si>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t>치수확인용</t>
    <phoneticPr fontId="2" type="noConversion"/>
  </si>
  <si>
    <r>
      <t>2021년 11월 23일 일일생산현황</t>
    </r>
    <r>
      <rPr>
        <b/>
        <sz val="14"/>
        <color indexed="8"/>
        <rFont val="굴림체"/>
        <family val="3"/>
        <charset val="129"/>
      </rPr>
      <t>(24일 09시 현재)</t>
    </r>
    <phoneticPr fontId="2" type="noConversion"/>
  </si>
  <si>
    <t>SPL/발주</t>
    <phoneticPr fontId="2" type="noConversion"/>
  </si>
  <si>
    <t>K-R2862-1E</t>
    <phoneticPr fontId="2" type="noConversion"/>
  </si>
  <si>
    <t>AMB09K3A-KAA-R1</t>
    <phoneticPr fontId="2" type="noConversion"/>
  </si>
  <si>
    <t>AMB0485A-KAA-R1</t>
    <phoneticPr fontId="2" type="noConversion"/>
  </si>
  <si>
    <t>KR6463-B180PMA</t>
    <phoneticPr fontId="2" type="noConversion"/>
  </si>
  <si>
    <t>KR6463-D180PSA</t>
    <phoneticPr fontId="2" type="noConversion"/>
  </si>
  <si>
    <t>5050GM</t>
    <phoneticPr fontId="2" type="noConversion"/>
  </si>
  <si>
    <t>204F51M-B047E</t>
    <phoneticPr fontId="2" type="noConversion"/>
  </si>
  <si>
    <t>AMB0159A-KAA-R1</t>
    <phoneticPr fontId="2" type="noConversion"/>
  </si>
  <si>
    <t>AMB0229A-KAA-R1</t>
    <phoneticPr fontId="2" type="noConversion"/>
  </si>
  <si>
    <t>전일 ISSUE 사항(23일)</t>
    <phoneticPr fontId="2" type="noConversion"/>
  </si>
  <si>
    <t>수리후양산-&gt;코아파손2회정지</t>
    <phoneticPr fontId="2" type="noConversion"/>
  </si>
  <si>
    <t>AMB0229A-KAA-R1</t>
    <phoneticPr fontId="2" type="noConversion"/>
  </si>
  <si>
    <t>발주분양산</t>
    <phoneticPr fontId="2" type="noConversion"/>
  </si>
  <si>
    <t>AMB20G9A-KAA-R1</t>
    <phoneticPr fontId="2" type="noConversion"/>
  </si>
  <si>
    <t>2</t>
    <phoneticPr fontId="2" type="noConversion"/>
  </si>
  <si>
    <t>F/A</t>
    <phoneticPr fontId="2" type="noConversion"/>
  </si>
  <si>
    <t>당일 진행 사항(24일)</t>
    <phoneticPr fontId="2" type="noConversion"/>
  </si>
  <si>
    <t>AMB07P7A-KAA-R1</t>
    <phoneticPr fontId="2" type="noConversion"/>
  </si>
  <si>
    <t>6</t>
    <phoneticPr fontId="2" type="noConversion"/>
  </si>
  <si>
    <t>SLIDER</t>
    <phoneticPr fontId="2" type="noConversion"/>
  </si>
  <si>
    <t>KR6454-A352YA</t>
    <phoneticPr fontId="2" type="noConversion"/>
  </si>
  <si>
    <t>SAMPLE 진행 사항(23일)</t>
    <phoneticPr fontId="2" type="noConversion"/>
  </si>
  <si>
    <t>HDB08PL-96B1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</si>
  <si>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</si>
  <si>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</si>
  <si>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2021년 11월 24일 일일생산현황</t>
    </r>
    <r>
      <rPr>
        <b/>
        <sz val="14"/>
        <color indexed="8"/>
        <rFont val="굴림체"/>
        <family val="3"/>
        <charset val="129"/>
      </rPr>
      <t>(25일 09시 현재)</t>
    </r>
    <phoneticPr fontId="2" type="noConversion"/>
  </si>
  <si>
    <t>U-BASE</t>
    <phoneticPr fontId="2" type="noConversion"/>
  </si>
  <si>
    <t>288C64A-U149B</t>
    <phoneticPr fontId="2" type="noConversion"/>
  </si>
  <si>
    <t>전일 ISSUE 사항(24일)</t>
    <phoneticPr fontId="2" type="noConversion"/>
  </si>
  <si>
    <t>ADAPTER</t>
    <phoneticPr fontId="2" type="noConversion"/>
  </si>
  <si>
    <t>AMB07P7A-KAA-R1</t>
    <phoneticPr fontId="2" type="noConversion"/>
  </si>
  <si>
    <t>8</t>
    <phoneticPr fontId="2" type="noConversion"/>
  </si>
  <si>
    <t>KR6463-D180PSA</t>
    <phoneticPr fontId="2" type="noConversion"/>
  </si>
  <si>
    <t>코아파손수리</t>
    <phoneticPr fontId="2" type="noConversion"/>
  </si>
  <si>
    <t>발주분양산-&gt;칼퀴파손수리</t>
    <phoneticPr fontId="2" type="noConversion"/>
  </si>
  <si>
    <t>KR6454-A352YA</t>
    <phoneticPr fontId="2" type="noConversion"/>
  </si>
  <si>
    <t>6</t>
    <phoneticPr fontId="2" type="noConversion"/>
  </si>
  <si>
    <t>당일 진행 사항(25일)</t>
    <phoneticPr fontId="2" type="noConversion"/>
  </si>
  <si>
    <t>AMB1921B-KAA-R1</t>
    <phoneticPr fontId="2" type="noConversion"/>
  </si>
  <si>
    <t>AMB0343A-KAA-R1</t>
    <phoneticPr fontId="2" type="noConversion"/>
  </si>
  <si>
    <t>SST</t>
    <phoneticPr fontId="2" type="noConversion"/>
  </si>
  <si>
    <t>4</t>
    <phoneticPr fontId="2" type="noConversion"/>
  </si>
  <si>
    <t>SLIDER</t>
    <phoneticPr fontId="2" type="noConversion"/>
  </si>
  <si>
    <t>KR6422AA496YA</t>
    <phoneticPr fontId="2" type="noConversion"/>
  </si>
  <si>
    <t>AMC0821A-KAA-R1</t>
    <phoneticPr fontId="2" type="noConversion"/>
  </si>
  <si>
    <t>3</t>
    <phoneticPr fontId="2" type="noConversion"/>
  </si>
  <si>
    <t>2C</t>
    <phoneticPr fontId="2" type="noConversion"/>
  </si>
  <si>
    <t>AMB0159A-KAA-R1</t>
    <phoneticPr fontId="2" type="noConversion"/>
  </si>
  <si>
    <t>14</t>
    <phoneticPr fontId="2" type="noConversion"/>
  </si>
  <si>
    <t>SAMPLE 진행 사항(24일)</t>
    <phoneticPr fontId="2" type="noConversion"/>
  </si>
  <si>
    <t>K-JR01911-A308BWA</t>
    <phoneticPr fontId="2" type="noConversion"/>
  </si>
  <si>
    <t>SGF2030</t>
    <phoneticPr fontId="2" type="noConversion"/>
  </si>
  <si>
    <t>수정</t>
    <phoneticPr fontId="2" type="noConversion"/>
  </si>
  <si>
    <t>치수NG 2회진행</t>
    <phoneticPr fontId="2" type="noConversion"/>
  </si>
  <si>
    <t>NP652-316-001#IN-B</t>
    <phoneticPr fontId="2" type="noConversion"/>
  </si>
  <si>
    <t>AYE</t>
    <phoneticPr fontId="2" type="noConversion"/>
  </si>
  <si>
    <t>SGF2041</t>
    <phoneticPr fontId="2" type="noConversion"/>
  </si>
  <si>
    <t>신작</t>
    <phoneticPr fontId="2" type="noConversion"/>
  </si>
  <si>
    <t>뜯김2회</t>
    <phoneticPr fontId="2" type="noConversion"/>
  </si>
  <si>
    <t>NP652-316-001#IN-A</t>
    <phoneticPr fontId="2" type="noConversion"/>
  </si>
  <si>
    <t>SGF2050</t>
    <phoneticPr fontId="2" type="noConversion"/>
  </si>
  <si>
    <t>밀핀BURR</t>
    <phoneticPr fontId="2" type="noConversion"/>
  </si>
  <si>
    <t>NP652-316-001#MO</t>
    <phoneticPr fontId="2" type="noConversion"/>
  </si>
  <si>
    <t>SGP2030R</t>
    <phoneticPr fontId="2" type="noConversion"/>
  </si>
  <si>
    <t>K-AR3544-1A</t>
    <phoneticPr fontId="2" type="noConversion"/>
  </si>
  <si>
    <t>BASE</t>
    <phoneticPr fontId="2" type="noConversion"/>
  </si>
  <si>
    <t>SGF2033</t>
    <phoneticPr fontId="2" type="noConversion"/>
  </si>
  <si>
    <t>테스트</t>
    <phoneticPr fontId="2" type="noConversion"/>
  </si>
  <si>
    <t>31</t>
    <phoneticPr fontId="2" type="noConversion"/>
  </si>
  <si>
    <t>자동화 TEST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</si>
  <si>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</si>
  <si>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</si>
  <si>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2021년 11월 25일 일일생산현황</t>
    </r>
    <r>
      <rPr>
        <b/>
        <sz val="14"/>
        <color indexed="8"/>
        <rFont val="굴림체"/>
        <family val="3"/>
        <charset val="129"/>
      </rPr>
      <t>(26일 09시 현재)</t>
    </r>
    <phoneticPr fontId="2" type="noConversion"/>
  </si>
  <si>
    <t>SGF2050 N/P</t>
    <phoneticPr fontId="2" type="noConversion"/>
  </si>
  <si>
    <t>F/ADAPTER</t>
    <phoneticPr fontId="2" type="noConversion"/>
  </si>
  <si>
    <t>AMB2071B-KAA-R4</t>
    <phoneticPr fontId="2" type="noConversion"/>
  </si>
  <si>
    <t>전일 ISSUE 사항(25일)</t>
    <phoneticPr fontId="2" type="noConversion"/>
  </si>
  <si>
    <t>발주분양산-&gt;상측박힘4회정지</t>
    <phoneticPr fontId="2" type="noConversion"/>
  </si>
  <si>
    <t>당일 진행 사항(26일)</t>
    <phoneticPr fontId="2" type="noConversion"/>
  </si>
  <si>
    <t>F/ADAPTER</t>
    <phoneticPr fontId="2" type="noConversion"/>
  </si>
  <si>
    <t>AMB20E4A-KAA-R9</t>
    <phoneticPr fontId="2" type="noConversion"/>
  </si>
  <si>
    <t>AMB2107A-KAA-R1</t>
    <phoneticPr fontId="2" type="noConversion"/>
  </si>
  <si>
    <t>AMB2203A-KAA-R1</t>
    <phoneticPr fontId="2" type="noConversion"/>
  </si>
  <si>
    <t>AM0148E-K-R2</t>
    <phoneticPr fontId="2" type="noConversion"/>
  </si>
  <si>
    <t>AMS08155A-KBB-R2</t>
    <phoneticPr fontId="2" type="noConversion"/>
  </si>
  <si>
    <t>AMM0890A-KAE-R1</t>
    <phoneticPr fontId="2" type="noConversion"/>
  </si>
  <si>
    <t>5</t>
    <phoneticPr fontId="2" type="noConversion"/>
  </si>
  <si>
    <t>SAMPLE 진행 사항(25일)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</si>
  <si>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</si>
  <si>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</si>
  <si>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2021년 11월 26일 일일생산현황</t>
    </r>
    <r>
      <rPr>
        <b/>
        <sz val="14"/>
        <color indexed="8"/>
        <rFont val="굴림체"/>
        <family val="3"/>
        <charset val="129"/>
      </rPr>
      <t>(27일 09시 현재)</t>
    </r>
    <phoneticPr fontId="2" type="noConversion"/>
  </si>
  <si>
    <t>AMB20E4A-KAA-R9</t>
    <phoneticPr fontId="2" type="noConversion"/>
  </si>
  <si>
    <t>AMB2107A-KAA-R1</t>
    <phoneticPr fontId="2" type="noConversion"/>
  </si>
  <si>
    <t>AMB2203A-KAA-R1</t>
    <phoneticPr fontId="2" type="noConversion"/>
  </si>
  <si>
    <t>AM0148E-K-R2</t>
    <phoneticPr fontId="2" type="noConversion"/>
  </si>
  <si>
    <t>BASE</t>
    <phoneticPr fontId="2" type="noConversion"/>
  </si>
  <si>
    <t>AMS08155A-KBB-R2</t>
    <phoneticPr fontId="2" type="noConversion"/>
  </si>
  <si>
    <t>LED A</t>
    <phoneticPr fontId="2" type="noConversion"/>
  </si>
  <si>
    <t>SW-003071</t>
    <phoneticPr fontId="2" type="noConversion"/>
  </si>
  <si>
    <t>LEN2211 W/T</t>
    <phoneticPr fontId="2" type="noConversion"/>
  </si>
  <si>
    <t>전일 ISSUE 사항(26일)</t>
    <phoneticPr fontId="2" type="noConversion"/>
  </si>
  <si>
    <t>발주분양산-&gt;뜯김2회정지</t>
    <phoneticPr fontId="2" type="noConversion"/>
  </si>
  <si>
    <t>3</t>
    <phoneticPr fontId="2" type="noConversion"/>
  </si>
  <si>
    <t>5</t>
    <phoneticPr fontId="2" type="noConversion"/>
  </si>
  <si>
    <t>당일 진행 사항(29일)</t>
    <phoneticPr fontId="2" type="noConversion"/>
  </si>
  <si>
    <t>AMB0158A-KAA-R4</t>
    <phoneticPr fontId="2" type="noConversion"/>
  </si>
  <si>
    <t>KR6422-B589CA</t>
    <phoneticPr fontId="2" type="noConversion"/>
  </si>
  <si>
    <t>HRCS-03C15H1</t>
    <phoneticPr fontId="2" type="noConversion"/>
  </si>
  <si>
    <t>PLANGER</t>
    <phoneticPr fontId="2" type="noConversion"/>
  </si>
  <si>
    <t>KR6170AF1440UA</t>
    <phoneticPr fontId="2" type="noConversion"/>
  </si>
  <si>
    <t>KR6170BD740UB</t>
    <phoneticPr fontId="2" type="noConversion"/>
  </si>
  <si>
    <t>SAMPLE 진행 사항(26일)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</si>
  <si>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</si>
  <si>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</si>
  <si>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2021년 11월 29일 일일생산현황</t>
    </r>
    <r>
      <rPr>
        <b/>
        <sz val="14"/>
        <color indexed="8"/>
        <rFont val="굴림체"/>
        <family val="3"/>
        <charset val="129"/>
      </rPr>
      <t>(30일 09시 현재)</t>
    </r>
    <phoneticPr fontId="2" type="noConversion"/>
  </si>
  <si>
    <t>HRCS-03C13</t>
    <phoneticPr fontId="2" type="noConversion"/>
  </si>
  <si>
    <t>AMB0158A-KAA-R4</t>
    <phoneticPr fontId="2" type="noConversion"/>
  </si>
  <si>
    <t>KR6422-B589CA</t>
    <phoneticPr fontId="2" type="noConversion"/>
  </si>
  <si>
    <t>LID/PLUNGER</t>
    <phoneticPr fontId="2" type="noConversion"/>
  </si>
  <si>
    <t>HRCS-03C15H1/16</t>
    <phoneticPr fontId="2" type="noConversion"/>
  </si>
  <si>
    <t>KR6170AF1440UA</t>
    <phoneticPr fontId="2" type="noConversion"/>
  </si>
  <si>
    <t>KR6170BD740UA</t>
    <phoneticPr fontId="2" type="noConversion"/>
  </si>
  <si>
    <t>전일 ISSUE 사항(29일)</t>
    <phoneticPr fontId="2" type="noConversion"/>
  </si>
  <si>
    <t>발주분양산-&gt;뜯김수리-&gt;코아파손3회정지</t>
    <phoneticPr fontId="2" type="noConversion"/>
  </si>
  <si>
    <t>수리후양산-&gt;뜯김2회정지</t>
    <phoneticPr fontId="2" type="noConversion"/>
  </si>
  <si>
    <t>발주분양산-&gt;런너막힘4회정지</t>
    <phoneticPr fontId="2" type="noConversion"/>
  </si>
  <si>
    <t>5</t>
    <phoneticPr fontId="2" type="noConversion"/>
  </si>
  <si>
    <t>LID/PLUNGER</t>
    <phoneticPr fontId="2" type="noConversion"/>
  </si>
  <si>
    <t>당일 진행 사항(30일)</t>
    <phoneticPr fontId="2" type="noConversion"/>
  </si>
  <si>
    <t>AMM08008A-KAA-R1</t>
    <phoneticPr fontId="2" type="noConversion"/>
  </si>
  <si>
    <t>AMM0890A-KAE-R1</t>
    <phoneticPr fontId="2" type="noConversion"/>
  </si>
  <si>
    <t>9</t>
    <phoneticPr fontId="2" type="noConversion"/>
  </si>
  <si>
    <t>SAMPLE 진행 사항(29일)</t>
    <phoneticPr fontId="2" type="noConversion"/>
  </si>
  <si>
    <t>NP635-315-010#IN-B</t>
    <phoneticPr fontId="2" type="noConversion"/>
  </si>
  <si>
    <t>AYE</t>
    <phoneticPr fontId="2" type="noConversion"/>
  </si>
  <si>
    <t>LG35</t>
    <phoneticPr fontId="2" type="noConversion"/>
  </si>
  <si>
    <t>수정</t>
    <phoneticPr fontId="2" type="noConversion"/>
  </si>
  <si>
    <t>3</t>
    <phoneticPr fontId="2" type="noConversion"/>
  </si>
  <si>
    <t>NP652-316-001#IN-B</t>
    <phoneticPr fontId="2" type="noConversion"/>
  </si>
  <si>
    <t>SGF2041</t>
    <phoneticPr fontId="2" type="noConversion"/>
  </si>
  <si>
    <t>NP652-316-001#IN-A</t>
    <phoneticPr fontId="2" type="noConversion"/>
  </si>
  <si>
    <t>SGF2050</t>
    <phoneticPr fontId="2" type="noConversion"/>
  </si>
  <si>
    <t>6</t>
    <phoneticPr fontId="2" type="noConversion"/>
  </si>
  <si>
    <t>HDB08NP-C3(3차)</t>
    <phoneticPr fontId="2" type="noConversion"/>
  </si>
  <si>
    <t>HICON</t>
    <phoneticPr fontId="2" type="noConversion"/>
  </si>
  <si>
    <t>COVER</t>
    <phoneticPr fontId="2" type="noConversion"/>
  </si>
  <si>
    <t>SGF2030 N/P</t>
    <phoneticPr fontId="2" type="noConversion"/>
  </si>
  <si>
    <t>12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</si>
  <si>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</si>
  <si>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</si>
  <si>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2021년 11월 30일 일일생산현황</t>
    </r>
    <r>
      <rPr>
        <b/>
        <sz val="14"/>
        <color indexed="8"/>
        <rFont val="굴림체"/>
        <family val="3"/>
        <charset val="129"/>
      </rPr>
      <t>(01일 09시 현재)</t>
    </r>
    <phoneticPr fontId="2" type="noConversion"/>
  </si>
  <si>
    <t>AMM08008B-KAA-R1</t>
    <phoneticPr fontId="2" type="noConversion"/>
  </si>
  <si>
    <t>AMM08008A-KAA-R1</t>
    <phoneticPr fontId="2" type="noConversion"/>
  </si>
  <si>
    <t>HRCS-00C11B</t>
    <phoneticPr fontId="2" type="noConversion"/>
  </si>
  <si>
    <t>전일 ISSUE 사항(30일)</t>
    <phoneticPr fontId="2" type="noConversion"/>
  </si>
  <si>
    <t>발주분양산-&gt;코아파손2회수리</t>
    <phoneticPr fontId="2" type="noConversion"/>
  </si>
  <si>
    <t>수리후양산-&gt;뜯김수리-&gt;코아파손2회정지</t>
    <phoneticPr fontId="2" type="noConversion"/>
  </si>
  <si>
    <t>22P(4POST)</t>
    <phoneticPr fontId="2" type="noConversion"/>
  </si>
  <si>
    <t>DI</t>
    <phoneticPr fontId="2" type="noConversion"/>
  </si>
  <si>
    <t>16</t>
    <phoneticPr fontId="2" type="noConversion"/>
  </si>
  <si>
    <t>당일 진행 사항(01일)</t>
    <phoneticPr fontId="2" type="noConversion"/>
  </si>
  <si>
    <t>AMB1915B-KAA-R1</t>
    <phoneticPr fontId="2" type="noConversion"/>
  </si>
  <si>
    <t>AMM0890A-KAD-R1</t>
    <phoneticPr fontId="2" type="noConversion"/>
  </si>
  <si>
    <t>AMB39D8A-KAA-R1</t>
    <phoneticPr fontId="2" type="noConversion"/>
  </si>
  <si>
    <t>4</t>
    <phoneticPr fontId="2" type="noConversion"/>
  </si>
  <si>
    <t>SEPARATOR</t>
    <phoneticPr fontId="2" type="noConversion"/>
  </si>
  <si>
    <t>HRCS-00C12B</t>
    <phoneticPr fontId="2" type="noConversion"/>
  </si>
  <si>
    <t>HICON</t>
    <phoneticPr fontId="2" type="noConversion"/>
  </si>
  <si>
    <t>14</t>
    <phoneticPr fontId="2" type="noConversion"/>
  </si>
  <si>
    <t>BOTTOM</t>
    <phoneticPr fontId="2" type="noConversion"/>
  </si>
  <si>
    <t>SAMPLE 진행 사항(30일)</t>
    <phoneticPr fontId="2" type="noConversion"/>
  </si>
  <si>
    <t>AMB20H1A-KAA-R1</t>
    <phoneticPr fontId="2" type="noConversion"/>
  </si>
  <si>
    <t>KR6156-E02BA</t>
    <phoneticPr fontId="2" type="noConversion"/>
  </si>
  <si>
    <t>MCS</t>
    <phoneticPr fontId="2" type="noConversion"/>
  </si>
  <si>
    <t>F/ADAPTER</t>
    <phoneticPr fontId="2" type="noConversion"/>
  </si>
  <si>
    <t>SF2255 I/V</t>
    <phoneticPr fontId="2" type="noConversion"/>
  </si>
  <si>
    <t>수정</t>
    <phoneticPr fontId="2" type="noConversion"/>
  </si>
  <si>
    <t>2</t>
    <phoneticPr fontId="2" type="noConversion"/>
  </si>
  <si>
    <t>SST</t>
    <phoneticPr fontId="2" type="noConversion"/>
  </si>
  <si>
    <t>LATCH</t>
    <phoneticPr fontId="2" type="noConversion"/>
  </si>
  <si>
    <t>SGF2030 N/P</t>
    <phoneticPr fontId="2" type="noConversion"/>
  </si>
  <si>
    <t>원재료</t>
    <phoneticPr fontId="2" type="noConversion"/>
  </si>
  <si>
    <t>12</t>
    <phoneticPr fontId="2" type="noConversion"/>
  </si>
  <si>
    <t>AMB39R1A-KAA-R1(4C)</t>
    <phoneticPr fontId="2" type="noConversion"/>
  </si>
  <si>
    <t>MT401</t>
    <phoneticPr fontId="2" type="noConversion"/>
  </si>
  <si>
    <t>18</t>
    <phoneticPr fontId="2" type="noConversion"/>
  </si>
  <si>
    <t>치수검토용</t>
    <phoneticPr fontId="2" type="noConversion"/>
  </si>
  <si>
    <t>금형 수리 내역(30일)</t>
    <phoneticPr fontId="2" type="noConversion"/>
  </si>
  <si>
    <t>설비 점검 내역(30일)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</si>
</sst>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4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6" xfId="4" applyFont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Border="1" applyAlignment="1">
      <alignment horizontal="center" vertical="center"/>
    </xf>
    <xf numFmtId="9" fontId="9" fillId="0" borderId="7" xfId="3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178" fontId="8" fillId="0" borderId="10" xfId="4" applyNumberFormat="1" applyFont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4" fillId="0" borderId="7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3" xfId="2" applyNumberFormat="1" applyFont="1" applyBorder="1" applyAlignment="1">
      <alignment horizontal="center" vertical="center" wrapText="1"/>
    </xf>
    <xf numFmtId="41" fontId="8" fillId="0" borderId="8" xfId="4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shrinkToFit="1"/>
    </xf>
    <xf numFmtId="41" fontId="13" fillId="0" borderId="0" xfId="4" applyFont="1">
      <alignment vertical="center"/>
    </xf>
    <xf numFmtId="49" fontId="13" fillId="0" borderId="0" xfId="2" applyNumberFormat="1" applyFont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8" borderId="20" xfId="8" applyFont="1" applyFill="1" applyBorder="1" applyAlignment="1">
      <alignment horizontal="center" vertical="center"/>
    </xf>
    <xf numFmtId="9" fontId="7" fillId="28" borderId="54" xfId="8" applyFont="1" applyFill="1" applyBorder="1" applyAlignment="1">
      <alignment horizontal="center" vertical="center"/>
    </xf>
    <xf numFmtId="9" fontId="7" fillId="28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8" fillId="28" borderId="6" xfId="2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8" borderId="49" xfId="8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8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8" fillId="29" borderId="8" xfId="2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49" fontId="13" fillId="0" borderId="17" xfId="2" applyNumberFormat="1" applyFont="1" applyBorder="1" applyAlignment="1">
      <alignment horizontal="center" vertical="center" shrinkToFit="1"/>
    </xf>
    <xf numFmtId="0" fontId="8" fillId="28" borderId="8" xfId="2" applyFont="1" applyFill="1" applyBorder="1" applyAlignment="1">
      <alignment horizontal="center" vertical="center"/>
    </xf>
    <xf numFmtId="0" fontId="7" fillId="28" borderId="53" xfId="0" applyFont="1" applyFill="1" applyBorder="1" applyAlignment="1">
      <alignment horizontal="center" vertical="center"/>
    </xf>
    <xf numFmtId="9" fontId="7" fillId="28" borderId="38" xfId="8" applyFont="1" applyFill="1" applyBorder="1" applyAlignment="1">
      <alignment horizontal="center" vertical="center"/>
    </xf>
    <xf numFmtId="9" fontId="7" fillId="28" borderId="24" xfId="8" applyFont="1" applyFill="1" applyBorder="1" applyAlignment="1">
      <alignment horizontal="center" vertical="center"/>
    </xf>
    <xf numFmtId="9" fontId="7" fillId="28" borderId="33" xfId="8" applyFont="1" applyFill="1" applyBorder="1" applyAlignment="1">
      <alignment horizontal="center" vertical="center"/>
    </xf>
    <xf numFmtId="9" fontId="7" fillId="28" borderId="31" xfId="8" applyFont="1" applyFill="1" applyBorder="1" applyAlignment="1">
      <alignment horizontal="center" vertical="center"/>
    </xf>
    <xf numFmtId="9" fontId="7" fillId="28" borderId="5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41" fontId="8" fillId="0" borderId="7" xfId="4" applyFont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42" fontId="15" fillId="0" borderId="22" xfId="7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0" fontId="13" fillId="0" borderId="12" xfId="2" applyFont="1" applyBorder="1" applyAlignment="1">
      <alignment horizontal="center" vertical="center" wrapText="1"/>
    </xf>
    <xf numFmtId="0" fontId="13" fillId="0" borderId="26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6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5" xfId="2" applyNumberFormat="1" applyFont="1" applyBorder="1" applyAlignment="1">
      <alignment horizontal="left" vertical="center" shrinkToFit="1"/>
    </xf>
    <xf numFmtId="49" fontId="13" fillId="0" borderId="63" xfId="2" applyNumberFormat="1" applyFont="1" applyBorder="1" applyAlignment="1">
      <alignment horizontal="left" vertical="center" shrinkToFit="1"/>
    </xf>
    <xf numFmtId="49" fontId="13" fillId="0" borderId="64" xfId="2" applyNumberFormat="1" applyFont="1" applyBorder="1" applyAlignment="1">
      <alignment horizontal="left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21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54" xfId="2" applyNumberFormat="1" applyFont="1" applyBorder="1" applyAlignment="1">
      <alignment horizontal="left" vertical="center" shrinkToFit="1"/>
    </xf>
    <xf numFmtId="49" fontId="13" fillId="0" borderId="61" xfId="2" applyNumberFormat="1" applyFont="1" applyBorder="1" applyAlignment="1">
      <alignment horizontal="left" vertical="center" shrinkToFit="1"/>
    </xf>
    <xf numFmtId="49" fontId="13" fillId="0" borderId="62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26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29" xfId="2" applyFont="1" applyFill="1" applyBorder="1" applyAlignment="1">
      <alignment horizontal="center" vertical="center"/>
    </xf>
    <xf numFmtId="0" fontId="19" fillId="2" borderId="16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49" fontId="13" fillId="0" borderId="19" xfId="2" applyNumberFormat="1" applyFont="1" applyBorder="1" applyAlignment="1">
      <alignment horizontal="left" vertical="center" shrinkToFit="1"/>
    </xf>
    <xf numFmtId="49" fontId="13" fillId="0" borderId="27" xfId="2" applyNumberFormat="1" applyFont="1" applyBorder="1" applyAlignment="1">
      <alignment horizontal="left" vertical="center" shrinkToFit="1"/>
    </xf>
    <xf numFmtId="49" fontId="13" fillId="0" borderId="65" xfId="2" applyNumberFormat="1" applyFont="1" applyBorder="1" applyAlignment="1">
      <alignment horizontal="left" vertical="center" shrinkToFit="1"/>
    </xf>
    <xf numFmtId="0" fontId="9" fillId="0" borderId="27" xfId="0" applyFont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BODY/LID</c:v>
                </c:pt>
                <c:pt idx="8">
                  <c:v>COVER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'01'!$L$6:$L$30</c:f>
              <c:numCache>
                <c:formatCode>_(* #,##0_);_(* \(#,##0\);_(* "-"_);_(@_)</c:formatCode>
                <c:ptCount val="25"/>
                <c:pt idx="0">
                  <c:v>8904</c:v>
                </c:pt>
                <c:pt idx="2">
                  <c:v>835</c:v>
                </c:pt>
                <c:pt idx="3">
                  <c:v>4988</c:v>
                </c:pt>
                <c:pt idx="4">
                  <c:v>3392</c:v>
                </c:pt>
                <c:pt idx="5">
                  <c:v>428</c:v>
                </c:pt>
                <c:pt idx="6">
                  <c:v>5031</c:v>
                </c:pt>
                <c:pt idx="7">
                  <c:v>1084</c:v>
                </c:pt>
                <c:pt idx="9">
                  <c:v>11258</c:v>
                </c:pt>
                <c:pt idx="10">
                  <c:v>8950</c:v>
                </c:pt>
                <c:pt idx="11">
                  <c:v>14416</c:v>
                </c:pt>
                <c:pt idx="12">
                  <c:v>5152</c:v>
                </c:pt>
                <c:pt idx="13">
                  <c:v>363</c:v>
                </c:pt>
                <c:pt idx="14">
                  <c:v>432</c:v>
                </c:pt>
                <c:pt idx="15">
                  <c:v>8040</c:v>
                </c:pt>
                <c:pt idx="16">
                  <c:v>50936</c:v>
                </c:pt>
                <c:pt idx="20">
                  <c:v>155736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E-47B9-A1E3-D560EA985031}"/>
            </c:ext>
          </c:extLst>
        </c:ser>
        <c:ser>
          <c:idx val="1"/>
          <c:order val="1"/>
          <c:tx>
            <c:v>계획</c:v>
          </c:tx>
          <c:cat>
            <c:strRef>
              <c:f>'01'!$D$6:$D$30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BODY/LID</c:v>
                </c:pt>
                <c:pt idx="8">
                  <c:v>COVER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'01'!$J$6:$J$30</c:f>
              <c:numCache>
                <c:formatCode>_(* #,##0_);_(* \(#,##0\);_(* "-"_);_(@_)</c:formatCode>
                <c:ptCount val="25"/>
                <c:pt idx="0">
                  <c:v>8904</c:v>
                </c:pt>
                <c:pt idx="1">
                  <c:v>200</c:v>
                </c:pt>
                <c:pt idx="2">
                  <c:v>835</c:v>
                </c:pt>
                <c:pt idx="3">
                  <c:v>4988</c:v>
                </c:pt>
                <c:pt idx="4">
                  <c:v>3392</c:v>
                </c:pt>
                <c:pt idx="5">
                  <c:v>428</c:v>
                </c:pt>
                <c:pt idx="6">
                  <c:v>5031</c:v>
                </c:pt>
                <c:pt idx="7">
                  <c:v>1084</c:v>
                </c:pt>
                <c:pt idx="8">
                  <c:v>211</c:v>
                </c:pt>
                <c:pt idx="9">
                  <c:v>11258</c:v>
                </c:pt>
                <c:pt idx="10">
                  <c:v>8950</c:v>
                </c:pt>
                <c:pt idx="11">
                  <c:v>14416</c:v>
                </c:pt>
                <c:pt idx="12">
                  <c:v>5152</c:v>
                </c:pt>
                <c:pt idx="13">
                  <c:v>363</c:v>
                </c:pt>
                <c:pt idx="14">
                  <c:v>363</c:v>
                </c:pt>
                <c:pt idx="15">
                  <c:v>8040</c:v>
                </c:pt>
                <c:pt idx="16">
                  <c:v>50936</c:v>
                </c:pt>
                <c:pt idx="17">
                  <c:v>0</c:v>
                </c:pt>
                <c:pt idx="18">
                  <c:v>7513</c:v>
                </c:pt>
                <c:pt idx="19">
                  <c:v>22300</c:v>
                </c:pt>
                <c:pt idx="20">
                  <c:v>155736</c:v>
                </c:pt>
                <c:pt idx="21">
                  <c:v>13428</c:v>
                </c:pt>
                <c:pt idx="22">
                  <c:v>8984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E-47B9-A1E3-D560EA98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575-42FF-ACB6-5A1CB093D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2FF-ACB6-5A1CB093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75-42FF-ACB6-5A1CB093D1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5-42FF-ACB6-5A1CB093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185-4C8B-A3F7-078C2A1672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5-4C8B-A3F7-078C2A16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2.5622939056245648E-2"/>
                  <c:y val="-0.3900797052655309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185-4C8B-A3F7-078C2A16720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5-4C8B-A3F7-078C2A16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'29'!$L$6:$L$30</c:f>
              <c:numCache>
                <c:formatCode>_(* #,##0_);_(* \(#,##0\);_(* "-"_);_(@_)</c:formatCode>
                <c:ptCount val="25"/>
                <c:pt idx="0">
                  <c:v>4276</c:v>
                </c:pt>
                <c:pt idx="1">
                  <c:v>6598</c:v>
                </c:pt>
                <c:pt idx="2">
                  <c:v>600</c:v>
                </c:pt>
                <c:pt idx="3">
                  <c:v>562</c:v>
                </c:pt>
                <c:pt idx="4">
                  <c:v>0</c:v>
                </c:pt>
                <c:pt idx="5">
                  <c:v>4701</c:v>
                </c:pt>
                <c:pt idx="6">
                  <c:v>1121</c:v>
                </c:pt>
                <c:pt idx="7">
                  <c:v>8804</c:v>
                </c:pt>
                <c:pt idx="8">
                  <c:v>14816</c:v>
                </c:pt>
                <c:pt idx="10">
                  <c:v>24324</c:v>
                </c:pt>
                <c:pt idx="11">
                  <c:v>11588</c:v>
                </c:pt>
                <c:pt idx="13">
                  <c:v>11242</c:v>
                </c:pt>
                <c:pt idx="14">
                  <c:v>4075</c:v>
                </c:pt>
                <c:pt idx="15">
                  <c:v>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D-4EBD-B5EA-94F41C1859AA}"/>
            </c:ext>
          </c:extLst>
        </c:ser>
        <c:ser>
          <c:idx val="1"/>
          <c:order val="1"/>
          <c:tx>
            <c:v>계획</c:v>
          </c:tx>
          <c:cat>
            <c:strRef>
              <c:f>'29'!$D$6:$D$30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'29'!$J$6:$J$30</c:f>
              <c:numCache>
                <c:formatCode>_(* #,##0_);_(* \(#,##0\);_(* "-"_);_(@_)</c:formatCode>
                <c:ptCount val="25"/>
                <c:pt idx="0">
                  <c:v>4276</c:v>
                </c:pt>
                <c:pt idx="1">
                  <c:v>6598</c:v>
                </c:pt>
                <c:pt idx="2">
                  <c:v>600</c:v>
                </c:pt>
                <c:pt idx="3">
                  <c:v>562</c:v>
                </c:pt>
                <c:pt idx="4">
                  <c:v>3293</c:v>
                </c:pt>
                <c:pt idx="5">
                  <c:v>4701</c:v>
                </c:pt>
                <c:pt idx="6">
                  <c:v>1121</c:v>
                </c:pt>
                <c:pt idx="7">
                  <c:v>8804</c:v>
                </c:pt>
                <c:pt idx="8">
                  <c:v>14816</c:v>
                </c:pt>
                <c:pt idx="9">
                  <c:v>244</c:v>
                </c:pt>
                <c:pt idx="10">
                  <c:v>24324</c:v>
                </c:pt>
                <c:pt idx="11">
                  <c:v>11588</c:v>
                </c:pt>
                <c:pt idx="12">
                  <c:v>600</c:v>
                </c:pt>
                <c:pt idx="13">
                  <c:v>11242</c:v>
                </c:pt>
                <c:pt idx="14">
                  <c:v>4075</c:v>
                </c:pt>
                <c:pt idx="15">
                  <c:v>5062</c:v>
                </c:pt>
                <c:pt idx="16">
                  <c:v>61284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D-4EBD-B5EA-94F41C18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'29'!$AD$6:$AD$30</c:f>
              <c:strCache>
                <c:ptCount val="25"/>
                <c:pt idx="0">
                  <c:v>83%</c:v>
                </c:pt>
                <c:pt idx="1">
                  <c:v>100%</c:v>
                </c:pt>
                <c:pt idx="2">
                  <c:v>17%</c:v>
                </c:pt>
                <c:pt idx="3">
                  <c:v>33%</c:v>
                </c:pt>
                <c:pt idx="4">
                  <c:v>0%</c:v>
                </c:pt>
                <c:pt idx="5">
                  <c:v>96%</c:v>
                </c:pt>
                <c:pt idx="6">
                  <c:v>25%</c:v>
                </c:pt>
                <c:pt idx="7">
                  <c:v>92%</c:v>
                </c:pt>
                <c:pt idx="8">
                  <c:v>100%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88%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'29'!$AD$6:$AD$30</c:f>
              <c:numCache>
                <c:formatCode>0%</c:formatCode>
                <c:ptCount val="25"/>
                <c:pt idx="0">
                  <c:v>0.83333333333333337</c:v>
                </c:pt>
                <c:pt idx="1">
                  <c:v>1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</c:v>
                </c:pt>
                <c:pt idx="5">
                  <c:v>0.95833333333333337</c:v>
                </c:pt>
                <c:pt idx="6">
                  <c:v>0.25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0.875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5-48AF-8D88-9569F6B9D4C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55-48AF-8D88-9569F6B9D4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'29'!$AE$6:$AE$30</c:f>
              <c:numCache>
                <c:formatCode>0%</c:formatCode>
                <c:ptCount val="25"/>
                <c:pt idx="0">
                  <c:v>0.41333333333333333</c:v>
                </c:pt>
                <c:pt idx="1">
                  <c:v>0.41333333333333333</c:v>
                </c:pt>
                <c:pt idx="2">
                  <c:v>0.41333333333333333</c:v>
                </c:pt>
                <c:pt idx="3">
                  <c:v>0.41333333333333333</c:v>
                </c:pt>
                <c:pt idx="4">
                  <c:v>0.41333333333333333</c:v>
                </c:pt>
                <c:pt idx="5">
                  <c:v>0.41333333333333333</c:v>
                </c:pt>
                <c:pt idx="6">
                  <c:v>0.41333333333333333</c:v>
                </c:pt>
                <c:pt idx="7">
                  <c:v>0.41333333333333333</c:v>
                </c:pt>
                <c:pt idx="8">
                  <c:v>0.41333333333333333</c:v>
                </c:pt>
                <c:pt idx="9">
                  <c:v>0.41333333333333333</c:v>
                </c:pt>
                <c:pt idx="10">
                  <c:v>0.41333333333333333</c:v>
                </c:pt>
                <c:pt idx="11">
                  <c:v>0.41333333333333333</c:v>
                </c:pt>
                <c:pt idx="12">
                  <c:v>0.41333333333333333</c:v>
                </c:pt>
                <c:pt idx="13">
                  <c:v>0.41333333333333333</c:v>
                </c:pt>
                <c:pt idx="14">
                  <c:v>0.41333333333333333</c:v>
                </c:pt>
                <c:pt idx="15">
                  <c:v>0.41333333333333333</c:v>
                </c:pt>
                <c:pt idx="16">
                  <c:v>0.41333333333333333</c:v>
                </c:pt>
                <c:pt idx="17">
                  <c:v>0.41333333333333333</c:v>
                </c:pt>
                <c:pt idx="18">
                  <c:v>0.41333333333333333</c:v>
                </c:pt>
                <c:pt idx="19">
                  <c:v>0.41333333333333333</c:v>
                </c:pt>
                <c:pt idx="20">
                  <c:v>0.41333333333333333</c:v>
                </c:pt>
                <c:pt idx="21">
                  <c:v>0.41333333333333333</c:v>
                </c:pt>
                <c:pt idx="22">
                  <c:v>0.41333333333333333</c:v>
                </c:pt>
                <c:pt idx="23">
                  <c:v>0.41333333333333333</c:v>
                </c:pt>
                <c:pt idx="24">
                  <c:v>0.41333333333333333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5-48AF-8D88-9569F6B9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'29'!$L$6:$L$30</c:f>
              <c:numCache>
                <c:formatCode>_(* #,##0_);_(* \(#,##0\);_(* "-"_);_(@_)</c:formatCode>
                <c:ptCount val="25"/>
                <c:pt idx="0">
                  <c:v>4276</c:v>
                </c:pt>
                <c:pt idx="1">
                  <c:v>6598</c:v>
                </c:pt>
                <c:pt idx="2">
                  <c:v>600</c:v>
                </c:pt>
                <c:pt idx="3">
                  <c:v>562</c:v>
                </c:pt>
                <c:pt idx="4">
                  <c:v>0</c:v>
                </c:pt>
                <c:pt idx="5">
                  <c:v>4701</c:v>
                </c:pt>
                <c:pt idx="6">
                  <c:v>1121</c:v>
                </c:pt>
                <c:pt idx="7">
                  <c:v>8804</c:v>
                </c:pt>
                <c:pt idx="8">
                  <c:v>14816</c:v>
                </c:pt>
                <c:pt idx="10">
                  <c:v>24324</c:v>
                </c:pt>
                <c:pt idx="11">
                  <c:v>11588</c:v>
                </c:pt>
                <c:pt idx="13">
                  <c:v>11242</c:v>
                </c:pt>
                <c:pt idx="14">
                  <c:v>4075</c:v>
                </c:pt>
                <c:pt idx="15">
                  <c:v>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238-885A-A96BBFEE5EA5}"/>
            </c:ext>
          </c:extLst>
        </c:ser>
        <c:ser>
          <c:idx val="1"/>
          <c:order val="1"/>
          <c:tx>
            <c:v>계획</c:v>
          </c:tx>
          <c:cat>
            <c:strRef>
              <c:f>'29'!$D$6:$D$30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'29'!$J$6:$J$30</c:f>
              <c:numCache>
                <c:formatCode>_(* #,##0_);_(* \(#,##0\);_(* "-"_);_(@_)</c:formatCode>
                <c:ptCount val="25"/>
                <c:pt idx="0">
                  <c:v>4276</c:v>
                </c:pt>
                <c:pt idx="1">
                  <c:v>6598</c:v>
                </c:pt>
                <c:pt idx="2">
                  <c:v>600</c:v>
                </c:pt>
                <c:pt idx="3">
                  <c:v>562</c:v>
                </c:pt>
                <c:pt idx="4">
                  <c:v>3293</c:v>
                </c:pt>
                <c:pt idx="5">
                  <c:v>4701</c:v>
                </c:pt>
                <c:pt idx="6">
                  <c:v>1121</c:v>
                </c:pt>
                <c:pt idx="7">
                  <c:v>8804</c:v>
                </c:pt>
                <c:pt idx="8">
                  <c:v>14816</c:v>
                </c:pt>
                <c:pt idx="9">
                  <c:v>244</c:v>
                </c:pt>
                <c:pt idx="10">
                  <c:v>24324</c:v>
                </c:pt>
                <c:pt idx="11">
                  <c:v>11588</c:v>
                </c:pt>
                <c:pt idx="12">
                  <c:v>600</c:v>
                </c:pt>
                <c:pt idx="13">
                  <c:v>11242</c:v>
                </c:pt>
                <c:pt idx="14">
                  <c:v>4075</c:v>
                </c:pt>
                <c:pt idx="15">
                  <c:v>5062</c:v>
                </c:pt>
                <c:pt idx="16">
                  <c:v>61284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238-885A-A96BBFEE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'29'!$AD$6:$AD$30</c:f>
              <c:strCache>
                <c:ptCount val="25"/>
                <c:pt idx="0">
                  <c:v>83%</c:v>
                </c:pt>
                <c:pt idx="1">
                  <c:v>100%</c:v>
                </c:pt>
                <c:pt idx="2">
                  <c:v>17%</c:v>
                </c:pt>
                <c:pt idx="3">
                  <c:v>33%</c:v>
                </c:pt>
                <c:pt idx="4">
                  <c:v>0%</c:v>
                </c:pt>
                <c:pt idx="5">
                  <c:v>96%</c:v>
                </c:pt>
                <c:pt idx="6">
                  <c:v>25%</c:v>
                </c:pt>
                <c:pt idx="7">
                  <c:v>92%</c:v>
                </c:pt>
                <c:pt idx="8">
                  <c:v>100%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88%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'29'!$AD$6:$AD$30</c:f>
              <c:numCache>
                <c:formatCode>0%</c:formatCode>
                <c:ptCount val="25"/>
                <c:pt idx="0">
                  <c:v>0.83333333333333337</c:v>
                </c:pt>
                <c:pt idx="1">
                  <c:v>1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</c:v>
                </c:pt>
                <c:pt idx="5">
                  <c:v>0.95833333333333337</c:v>
                </c:pt>
                <c:pt idx="6">
                  <c:v>0.25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0.875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7-41EF-AC0B-F263C9D1B94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A7-41EF-AC0B-F263C9D1B94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'29'!$AE$6:$AE$30</c:f>
              <c:numCache>
                <c:formatCode>0%</c:formatCode>
                <c:ptCount val="25"/>
                <c:pt idx="0">
                  <c:v>0.41333333333333333</c:v>
                </c:pt>
                <c:pt idx="1">
                  <c:v>0.41333333333333333</c:v>
                </c:pt>
                <c:pt idx="2">
                  <c:v>0.41333333333333333</c:v>
                </c:pt>
                <c:pt idx="3">
                  <c:v>0.41333333333333333</c:v>
                </c:pt>
                <c:pt idx="4">
                  <c:v>0.41333333333333333</c:v>
                </c:pt>
                <c:pt idx="5">
                  <c:v>0.41333333333333333</c:v>
                </c:pt>
                <c:pt idx="6">
                  <c:v>0.41333333333333333</c:v>
                </c:pt>
                <c:pt idx="7">
                  <c:v>0.41333333333333333</c:v>
                </c:pt>
                <c:pt idx="8">
                  <c:v>0.41333333333333333</c:v>
                </c:pt>
                <c:pt idx="9">
                  <c:v>0.41333333333333333</c:v>
                </c:pt>
                <c:pt idx="10">
                  <c:v>0.41333333333333333</c:v>
                </c:pt>
                <c:pt idx="11">
                  <c:v>0.41333333333333333</c:v>
                </c:pt>
                <c:pt idx="12">
                  <c:v>0.41333333333333333</c:v>
                </c:pt>
                <c:pt idx="13">
                  <c:v>0.41333333333333333</c:v>
                </c:pt>
                <c:pt idx="14">
                  <c:v>0.41333333333333333</c:v>
                </c:pt>
                <c:pt idx="15">
                  <c:v>0.41333333333333333</c:v>
                </c:pt>
                <c:pt idx="16">
                  <c:v>0.41333333333333333</c:v>
                </c:pt>
                <c:pt idx="17">
                  <c:v>0.41333333333333333</c:v>
                </c:pt>
                <c:pt idx="18">
                  <c:v>0.41333333333333333</c:v>
                </c:pt>
                <c:pt idx="19">
                  <c:v>0.41333333333333333</c:v>
                </c:pt>
                <c:pt idx="20">
                  <c:v>0.41333333333333333</c:v>
                </c:pt>
                <c:pt idx="21">
                  <c:v>0.41333333333333333</c:v>
                </c:pt>
                <c:pt idx="22">
                  <c:v>0.41333333333333333</c:v>
                </c:pt>
                <c:pt idx="23">
                  <c:v>0.41333333333333333</c:v>
                </c:pt>
                <c:pt idx="24">
                  <c:v>0.41333333333333333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7-41EF-AC0B-F263C9D1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521-4C6C-98E0-E08A4B979B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1-4C6C-98E0-E08A4B97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2.5622939056245648E-2"/>
                  <c:y val="-0.3900797052655309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521-4C6C-98E0-E08A4B979B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1-4C6C-98E0-E08A4B97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TOP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'30'!$L$6:$L$30</c:f>
              <c:numCache>
                <c:formatCode>_(* #,##0_);_(* \(#,##0\);_(* "-"_);_(@_)</c:formatCode>
                <c:ptCount val="25"/>
                <c:pt idx="0">
                  <c:v>5292</c:v>
                </c:pt>
                <c:pt idx="1">
                  <c:v>585</c:v>
                </c:pt>
                <c:pt idx="2">
                  <c:v>594</c:v>
                </c:pt>
                <c:pt idx="3">
                  <c:v>598</c:v>
                </c:pt>
                <c:pt idx="5">
                  <c:v>4126</c:v>
                </c:pt>
                <c:pt idx="6">
                  <c:v>873</c:v>
                </c:pt>
                <c:pt idx="7">
                  <c:v>9066</c:v>
                </c:pt>
                <c:pt idx="8">
                  <c:v>13532</c:v>
                </c:pt>
                <c:pt idx="9">
                  <c:v>988</c:v>
                </c:pt>
                <c:pt idx="10">
                  <c:v>23616</c:v>
                </c:pt>
                <c:pt idx="11">
                  <c:v>10714</c:v>
                </c:pt>
                <c:pt idx="13">
                  <c:v>10656</c:v>
                </c:pt>
                <c:pt idx="14">
                  <c:v>4563</c:v>
                </c:pt>
                <c:pt idx="15">
                  <c:v>5211</c:v>
                </c:pt>
                <c:pt idx="16">
                  <c:v>57732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2B7-B411-83B331C3531D}"/>
            </c:ext>
          </c:extLst>
        </c:ser>
        <c:ser>
          <c:idx val="1"/>
          <c:order val="1"/>
          <c:tx>
            <c:v>계획</c:v>
          </c:tx>
          <c:cat>
            <c:strRef>
              <c:f>'30'!$D$6:$D$30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TOP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'30'!$J$6:$J$30</c:f>
              <c:numCache>
                <c:formatCode>_(* #,##0_);_(* \(#,##0\);_(* "-"_);_(@_)</c:formatCode>
                <c:ptCount val="25"/>
                <c:pt idx="0">
                  <c:v>5292</c:v>
                </c:pt>
                <c:pt idx="1">
                  <c:v>585</c:v>
                </c:pt>
                <c:pt idx="2">
                  <c:v>594</c:v>
                </c:pt>
                <c:pt idx="3">
                  <c:v>598</c:v>
                </c:pt>
                <c:pt idx="4">
                  <c:v>3293</c:v>
                </c:pt>
                <c:pt idx="5">
                  <c:v>4126</c:v>
                </c:pt>
                <c:pt idx="6">
                  <c:v>873</c:v>
                </c:pt>
                <c:pt idx="7">
                  <c:v>9066</c:v>
                </c:pt>
                <c:pt idx="8">
                  <c:v>13532</c:v>
                </c:pt>
                <c:pt idx="9">
                  <c:v>988</c:v>
                </c:pt>
                <c:pt idx="10">
                  <c:v>23616</c:v>
                </c:pt>
                <c:pt idx="11">
                  <c:v>10714</c:v>
                </c:pt>
                <c:pt idx="12">
                  <c:v>600</c:v>
                </c:pt>
                <c:pt idx="13">
                  <c:v>10656</c:v>
                </c:pt>
                <c:pt idx="14">
                  <c:v>4563</c:v>
                </c:pt>
                <c:pt idx="15">
                  <c:v>5211</c:v>
                </c:pt>
                <c:pt idx="16">
                  <c:v>57732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E-42B7-B411-83B331C3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'30'!$AD$6:$AD$30</c:f>
              <c:strCache>
                <c:ptCount val="25"/>
                <c:pt idx="0">
                  <c:v>100%</c:v>
                </c:pt>
                <c:pt idx="1">
                  <c:v>17%</c:v>
                </c:pt>
                <c:pt idx="2">
                  <c:v>38%</c:v>
                </c:pt>
                <c:pt idx="3">
                  <c:v>38%</c:v>
                </c:pt>
                <c:pt idx="4">
                  <c:v>0%</c:v>
                </c:pt>
                <c:pt idx="5">
                  <c:v>100%</c:v>
                </c:pt>
                <c:pt idx="6">
                  <c:v>21%</c:v>
                </c:pt>
                <c:pt idx="7">
                  <c:v>100%</c:v>
                </c:pt>
                <c:pt idx="8">
                  <c:v>100%</c:v>
                </c:pt>
                <c:pt idx="9">
                  <c:v>67%</c:v>
                </c:pt>
                <c:pt idx="10">
                  <c:v>100%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92%</c:v>
                </c:pt>
                <c:pt idx="15">
                  <c:v>100%</c:v>
                </c:pt>
                <c:pt idx="16">
                  <c:v>92%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TOP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'30'!$AD$6:$AD$30</c:f>
              <c:numCache>
                <c:formatCode>0%</c:formatCode>
                <c:ptCount val="25"/>
                <c:pt idx="0">
                  <c:v>1</c:v>
                </c:pt>
                <c:pt idx="1">
                  <c:v>0.16666666666666666</c:v>
                </c:pt>
                <c:pt idx="2">
                  <c:v>0.375</c:v>
                </c:pt>
                <c:pt idx="3">
                  <c:v>0.375</c:v>
                </c:pt>
                <c:pt idx="4">
                  <c:v>0</c:v>
                </c:pt>
                <c:pt idx="5">
                  <c:v>1</c:v>
                </c:pt>
                <c:pt idx="6">
                  <c:v>0.20833333333333334</c:v>
                </c:pt>
                <c:pt idx="7">
                  <c:v>1</c:v>
                </c:pt>
                <c:pt idx="8">
                  <c:v>1</c:v>
                </c:pt>
                <c:pt idx="9">
                  <c:v>0.66666666666666663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0.91666666666666663</c:v>
                </c:pt>
                <c:pt idx="15">
                  <c:v>1</c:v>
                </c:pt>
                <c:pt idx="16">
                  <c:v>0.91666666666666663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7-4947-AE96-EFA5D3BA3CF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17-4947-AE96-EFA5D3BA3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TOP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'30'!$AE$6:$AE$30</c:f>
              <c:numCache>
                <c:formatCode>0%</c:formatCode>
                <c:ptCount val="25"/>
                <c:pt idx="0">
                  <c:v>0.46500000000000002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0.46500000000000002</c:v>
                </c:pt>
                <c:pt idx="4">
                  <c:v>0.46500000000000002</c:v>
                </c:pt>
                <c:pt idx="5">
                  <c:v>0.46500000000000002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0.46500000000000002</c:v>
                </c:pt>
                <c:pt idx="10">
                  <c:v>0.46500000000000002</c:v>
                </c:pt>
                <c:pt idx="11">
                  <c:v>0.46500000000000002</c:v>
                </c:pt>
                <c:pt idx="12">
                  <c:v>0.46500000000000002</c:v>
                </c:pt>
                <c:pt idx="13">
                  <c:v>0.46500000000000002</c:v>
                </c:pt>
                <c:pt idx="14">
                  <c:v>0.46500000000000002</c:v>
                </c:pt>
                <c:pt idx="15">
                  <c:v>0.46500000000000002</c:v>
                </c:pt>
                <c:pt idx="16">
                  <c:v>0.46500000000000002</c:v>
                </c:pt>
                <c:pt idx="17">
                  <c:v>0.46500000000000002</c:v>
                </c:pt>
                <c:pt idx="18">
                  <c:v>0.46500000000000002</c:v>
                </c:pt>
                <c:pt idx="19">
                  <c:v>0.46500000000000002</c:v>
                </c:pt>
                <c:pt idx="20">
                  <c:v>0.46500000000000002</c:v>
                </c:pt>
                <c:pt idx="21">
                  <c:v>0.46500000000000002</c:v>
                </c:pt>
                <c:pt idx="22">
                  <c:v>0.46500000000000002</c:v>
                </c:pt>
                <c:pt idx="23">
                  <c:v>0.46500000000000002</c:v>
                </c:pt>
                <c:pt idx="24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7-4947-AE96-EFA5D3BA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TOP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'30'!$L$6:$L$30</c:f>
              <c:numCache>
                <c:formatCode>_(* #,##0_);_(* \(#,##0\);_(* "-"_);_(@_)</c:formatCode>
                <c:ptCount val="25"/>
                <c:pt idx="0">
                  <c:v>5292</c:v>
                </c:pt>
                <c:pt idx="1">
                  <c:v>585</c:v>
                </c:pt>
                <c:pt idx="2">
                  <c:v>594</c:v>
                </c:pt>
                <c:pt idx="3">
                  <c:v>598</c:v>
                </c:pt>
                <c:pt idx="5">
                  <c:v>4126</c:v>
                </c:pt>
                <c:pt idx="6">
                  <c:v>873</c:v>
                </c:pt>
                <c:pt idx="7">
                  <c:v>9066</c:v>
                </c:pt>
                <c:pt idx="8">
                  <c:v>13532</c:v>
                </c:pt>
                <c:pt idx="9">
                  <c:v>988</c:v>
                </c:pt>
                <c:pt idx="10">
                  <c:v>23616</c:v>
                </c:pt>
                <c:pt idx="11">
                  <c:v>10714</c:v>
                </c:pt>
                <c:pt idx="13">
                  <c:v>10656</c:v>
                </c:pt>
                <c:pt idx="14">
                  <c:v>4563</c:v>
                </c:pt>
                <c:pt idx="15">
                  <c:v>5211</c:v>
                </c:pt>
                <c:pt idx="16">
                  <c:v>57732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F-47EC-8DB3-3F7B99803BFB}"/>
            </c:ext>
          </c:extLst>
        </c:ser>
        <c:ser>
          <c:idx val="1"/>
          <c:order val="1"/>
          <c:tx>
            <c:v>계획</c:v>
          </c:tx>
          <c:cat>
            <c:strRef>
              <c:f>'30'!$D$6:$D$30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TOP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'30'!$J$6:$J$30</c:f>
              <c:numCache>
                <c:formatCode>_(* #,##0_);_(* \(#,##0\);_(* "-"_);_(@_)</c:formatCode>
                <c:ptCount val="25"/>
                <c:pt idx="0">
                  <c:v>5292</c:v>
                </c:pt>
                <c:pt idx="1">
                  <c:v>585</c:v>
                </c:pt>
                <c:pt idx="2">
                  <c:v>594</c:v>
                </c:pt>
                <c:pt idx="3">
                  <c:v>598</c:v>
                </c:pt>
                <c:pt idx="4">
                  <c:v>3293</c:v>
                </c:pt>
                <c:pt idx="5">
                  <c:v>4126</c:v>
                </c:pt>
                <c:pt idx="6">
                  <c:v>873</c:v>
                </c:pt>
                <c:pt idx="7">
                  <c:v>9066</c:v>
                </c:pt>
                <c:pt idx="8">
                  <c:v>13532</c:v>
                </c:pt>
                <c:pt idx="9">
                  <c:v>988</c:v>
                </c:pt>
                <c:pt idx="10">
                  <c:v>23616</c:v>
                </c:pt>
                <c:pt idx="11">
                  <c:v>10714</c:v>
                </c:pt>
                <c:pt idx="12">
                  <c:v>600</c:v>
                </c:pt>
                <c:pt idx="13">
                  <c:v>10656</c:v>
                </c:pt>
                <c:pt idx="14">
                  <c:v>4563</c:v>
                </c:pt>
                <c:pt idx="15">
                  <c:v>5211</c:v>
                </c:pt>
                <c:pt idx="16">
                  <c:v>57732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F-47EC-8DB3-3F7B9980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'30'!$AD$6:$AD$30</c:f>
              <c:strCache>
                <c:ptCount val="25"/>
                <c:pt idx="0">
                  <c:v>100%</c:v>
                </c:pt>
                <c:pt idx="1">
                  <c:v>17%</c:v>
                </c:pt>
                <c:pt idx="2">
                  <c:v>38%</c:v>
                </c:pt>
                <c:pt idx="3">
                  <c:v>38%</c:v>
                </c:pt>
                <c:pt idx="4">
                  <c:v>0%</c:v>
                </c:pt>
                <c:pt idx="5">
                  <c:v>100%</c:v>
                </c:pt>
                <c:pt idx="6">
                  <c:v>21%</c:v>
                </c:pt>
                <c:pt idx="7">
                  <c:v>100%</c:v>
                </c:pt>
                <c:pt idx="8">
                  <c:v>100%</c:v>
                </c:pt>
                <c:pt idx="9">
                  <c:v>67%</c:v>
                </c:pt>
                <c:pt idx="10">
                  <c:v>100%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92%</c:v>
                </c:pt>
                <c:pt idx="15">
                  <c:v>100%</c:v>
                </c:pt>
                <c:pt idx="16">
                  <c:v>92%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TOP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'30'!$AD$6:$AD$30</c:f>
              <c:numCache>
                <c:formatCode>0%</c:formatCode>
                <c:ptCount val="25"/>
                <c:pt idx="0">
                  <c:v>1</c:v>
                </c:pt>
                <c:pt idx="1">
                  <c:v>0.16666666666666666</c:v>
                </c:pt>
                <c:pt idx="2">
                  <c:v>0.375</c:v>
                </c:pt>
                <c:pt idx="3">
                  <c:v>0.375</c:v>
                </c:pt>
                <c:pt idx="4">
                  <c:v>0</c:v>
                </c:pt>
                <c:pt idx="5">
                  <c:v>1</c:v>
                </c:pt>
                <c:pt idx="6">
                  <c:v>0.20833333333333334</c:v>
                </c:pt>
                <c:pt idx="7">
                  <c:v>1</c:v>
                </c:pt>
                <c:pt idx="8">
                  <c:v>1</c:v>
                </c:pt>
                <c:pt idx="9">
                  <c:v>0.66666666666666663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0.91666666666666663</c:v>
                </c:pt>
                <c:pt idx="15">
                  <c:v>1</c:v>
                </c:pt>
                <c:pt idx="16">
                  <c:v>0.91666666666666663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B-4BA1-8B38-24FC640D417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AB-4BA1-8B38-24FC640D41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'30'!$D$6:$D$30</c:f>
              <c:strCache>
                <c:ptCount val="24"/>
                <c:pt idx="0">
                  <c:v>FLOATING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LID/PLUNGER</c:v>
                </c:pt>
                <c:pt idx="6">
                  <c:v>LEAD GUIDE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LED A</c:v>
                </c:pt>
                <c:pt idx="11">
                  <c:v>SLIDER</c:v>
                </c:pt>
                <c:pt idx="13">
                  <c:v>BASE</c:v>
                </c:pt>
                <c:pt idx="14">
                  <c:v>TOP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'30'!$AE$6:$AE$30</c:f>
              <c:numCache>
                <c:formatCode>0%</c:formatCode>
                <c:ptCount val="25"/>
                <c:pt idx="0">
                  <c:v>0.46500000000000002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0.46500000000000002</c:v>
                </c:pt>
                <c:pt idx="4">
                  <c:v>0.46500000000000002</c:v>
                </c:pt>
                <c:pt idx="5">
                  <c:v>0.46500000000000002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0.46500000000000002</c:v>
                </c:pt>
                <c:pt idx="10">
                  <c:v>0.46500000000000002</c:v>
                </c:pt>
                <c:pt idx="11">
                  <c:v>0.46500000000000002</c:v>
                </c:pt>
                <c:pt idx="12">
                  <c:v>0.46500000000000002</c:v>
                </c:pt>
                <c:pt idx="13">
                  <c:v>0.46500000000000002</c:v>
                </c:pt>
                <c:pt idx="14">
                  <c:v>0.46500000000000002</c:v>
                </c:pt>
                <c:pt idx="15">
                  <c:v>0.46500000000000002</c:v>
                </c:pt>
                <c:pt idx="16">
                  <c:v>0.46500000000000002</c:v>
                </c:pt>
                <c:pt idx="17">
                  <c:v>0.46500000000000002</c:v>
                </c:pt>
                <c:pt idx="18">
                  <c:v>0.46500000000000002</c:v>
                </c:pt>
                <c:pt idx="19">
                  <c:v>0.46500000000000002</c:v>
                </c:pt>
                <c:pt idx="20">
                  <c:v>0.46500000000000002</c:v>
                </c:pt>
                <c:pt idx="21">
                  <c:v>0.46500000000000002</c:v>
                </c:pt>
                <c:pt idx="22">
                  <c:v>0.46500000000000002</c:v>
                </c:pt>
                <c:pt idx="23">
                  <c:v>0.46500000000000002</c:v>
                </c:pt>
                <c:pt idx="24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B-4BA1-8B38-24FC640D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'03'!$D$6:$D$29</c:f>
              <c:strCache>
                <c:ptCount val="23"/>
                <c:pt idx="0">
                  <c:v>BASE</c:v>
                </c:pt>
                <c:pt idx="1">
                  <c:v>F/A</c:v>
                </c:pt>
                <c:pt idx="2">
                  <c:v>790 B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LEAD GUIDE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COVER</c:v>
                </c:pt>
                <c:pt idx="21">
                  <c:v>BASE</c:v>
                </c:pt>
                <c:pt idx="22">
                  <c:v>COVER</c:v>
                </c:pt>
              </c:strCache>
            </c:strRef>
          </c:cat>
          <c:val>
            <c:numRef>
              <c:f>'03'!$L$6:$L$29</c:f>
              <c:numCache>
                <c:formatCode>_(* #,##0_);_(* \(#,##0\);_(* "-"_);_(@_)</c:formatCode>
                <c:ptCount val="24"/>
                <c:pt idx="0">
                  <c:v>2171</c:v>
                </c:pt>
                <c:pt idx="1">
                  <c:v>5825</c:v>
                </c:pt>
                <c:pt idx="2">
                  <c:v>4333</c:v>
                </c:pt>
                <c:pt idx="3">
                  <c:v>5301</c:v>
                </c:pt>
                <c:pt idx="4">
                  <c:v>5779</c:v>
                </c:pt>
                <c:pt idx="5">
                  <c:v>24084</c:v>
                </c:pt>
                <c:pt idx="6">
                  <c:v>5044</c:v>
                </c:pt>
                <c:pt idx="7">
                  <c:v>2807</c:v>
                </c:pt>
                <c:pt idx="8">
                  <c:v>529</c:v>
                </c:pt>
                <c:pt idx="9">
                  <c:v>10408</c:v>
                </c:pt>
                <c:pt idx="10">
                  <c:v>10970</c:v>
                </c:pt>
                <c:pt idx="12">
                  <c:v>5023</c:v>
                </c:pt>
                <c:pt idx="13">
                  <c:v>4348</c:v>
                </c:pt>
                <c:pt idx="14">
                  <c:v>11066</c:v>
                </c:pt>
                <c:pt idx="15">
                  <c:v>43719</c:v>
                </c:pt>
                <c:pt idx="19">
                  <c:v>378448</c:v>
                </c:pt>
                <c:pt idx="20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D-4B83-9BEC-B99A8CA03C3B}"/>
            </c:ext>
          </c:extLst>
        </c:ser>
        <c:ser>
          <c:idx val="1"/>
          <c:order val="1"/>
          <c:tx>
            <c:v>계획</c:v>
          </c:tx>
          <c:cat>
            <c:strRef>
              <c:f>'03'!$D$6:$D$29</c:f>
              <c:strCache>
                <c:ptCount val="23"/>
                <c:pt idx="0">
                  <c:v>BASE</c:v>
                </c:pt>
                <c:pt idx="1">
                  <c:v>F/A</c:v>
                </c:pt>
                <c:pt idx="2">
                  <c:v>790 B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LEAD GUIDE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COVER</c:v>
                </c:pt>
                <c:pt idx="21">
                  <c:v>BASE</c:v>
                </c:pt>
                <c:pt idx="22">
                  <c:v>COVER</c:v>
                </c:pt>
              </c:strCache>
            </c:strRef>
          </c:cat>
          <c:val>
            <c:numRef>
              <c:f>'03'!$J$6:$J$29</c:f>
              <c:numCache>
                <c:formatCode>_(* #,##0_);_(* \(#,##0\);_(* "-"_);_(@_)</c:formatCode>
                <c:ptCount val="24"/>
                <c:pt idx="0">
                  <c:v>2171</c:v>
                </c:pt>
                <c:pt idx="1">
                  <c:v>5825</c:v>
                </c:pt>
                <c:pt idx="2">
                  <c:v>4333</c:v>
                </c:pt>
                <c:pt idx="3">
                  <c:v>5301</c:v>
                </c:pt>
                <c:pt idx="4">
                  <c:v>5779</c:v>
                </c:pt>
                <c:pt idx="5">
                  <c:v>24084</c:v>
                </c:pt>
                <c:pt idx="6">
                  <c:v>5044</c:v>
                </c:pt>
                <c:pt idx="7">
                  <c:v>2807</c:v>
                </c:pt>
                <c:pt idx="8">
                  <c:v>529</c:v>
                </c:pt>
                <c:pt idx="9">
                  <c:v>10408</c:v>
                </c:pt>
                <c:pt idx="10">
                  <c:v>10970</c:v>
                </c:pt>
                <c:pt idx="11">
                  <c:v>18304</c:v>
                </c:pt>
                <c:pt idx="12">
                  <c:v>5023</c:v>
                </c:pt>
                <c:pt idx="13">
                  <c:v>4348</c:v>
                </c:pt>
                <c:pt idx="14">
                  <c:v>11066</c:v>
                </c:pt>
                <c:pt idx="15">
                  <c:v>43719</c:v>
                </c:pt>
                <c:pt idx="16">
                  <c:v>0</c:v>
                </c:pt>
                <c:pt idx="17">
                  <c:v>7513</c:v>
                </c:pt>
                <c:pt idx="18">
                  <c:v>22300</c:v>
                </c:pt>
                <c:pt idx="19">
                  <c:v>378448</c:v>
                </c:pt>
                <c:pt idx="20">
                  <c:v>963</c:v>
                </c:pt>
                <c:pt idx="21">
                  <c:v>8984</c:v>
                </c:pt>
                <c:pt idx="22">
                  <c:v>26944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D-4B83-9BEC-B99A8CA0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959-4FA9-8D7A-9C4EE2CB44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FA9-8D7A-9C4EE2CB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2.5622939056245648E-2"/>
                  <c:y val="-0.3900797052655309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959-4FA9-8D7A-9C4EE2CB44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9-4FA9-8D7A-9C4EE2CB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11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320477502295683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11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총괄!$A$3:$A$26</c:f>
              <c:strCache>
                <c:ptCount val="24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  <c:pt idx="15">
                  <c:v>16호기</c:v>
                </c:pt>
                <c:pt idx="16">
                  <c:v>17호기</c:v>
                </c:pt>
                <c:pt idx="17">
                  <c:v>18호기</c:v>
                </c:pt>
                <c:pt idx="18">
                  <c:v>31호기</c:v>
                </c:pt>
                <c:pt idx="19">
                  <c:v>32호기</c:v>
                </c:pt>
                <c:pt idx="20">
                  <c:v>33호기</c:v>
                </c:pt>
                <c:pt idx="21">
                  <c:v>34호기</c:v>
                </c:pt>
                <c:pt idx="22">
                  <c:v>35호기</c:v>
                </c:pt>
                <c:pt idx="23">
                  <c:v>36호기</c:v>
                </c:pt>
              </c:strCache>
            </c:strRef>
          </c:cat>
          <c:val>
            <c:numRef>
              <c:f>총괄!$AG$3:$AG$26</c:f>
              <c:numCache>
                <c:formatCode>0%</c:formatCode>
                <c:ptCount val="24"/>
                <c:pt idx="0">
                  <c:v>0.54120604943958239</c:v>
                </c:pt>
                <c:pt idx="1">
                  <c:v>0.36249999999999999</c:v>
                </c:pt>
                <c:pt idx="2">
                  <c:v>0.37361111111111106</c:v>
                </c:pt>
                <c:pt idx="3">
                  <c:v>0.56944444444444453</c:v>
                </c:pt>
                <c:pt idx="4">
                  <c:v>0.52977411985315481</c:v>
                </c:pt>
                <c:pt idx="5">
                  <c:v>0.52222222222222237</c:v>
                </c:pt>
                <c:pt idx="6">
                  <c:v>0.69583333333333341</c:v>
                </c:pt>
                <c:pt idx="7">
                  <c:v>0.60277777777777786</c:v>
                </c:pt>
                <c:pt idx="8">
                  <c:v>0.15</c:v>
                </c:pt>
                <c:pt idx="9">
                  <c:v>0.5902777777777779</c:v>
                </c:pt>
                <c:pt idx="10">
                  <c:v>0.70277777777777783</c:v>
                </c:pt>
                <c:pt idx="11">
                  <c:v>0.17083333333333334</c:v>
                </c:pt>
                <c:pt idx="12">
                  <c:v>0.66527777777777775</c:v>
                </c:pt>
                <c:pt idx="13">
                  <c:v>0.59550045913682281</c:v>
                </c:pt>
                <c:pt idx="14">
                  <c:v>0.68611111111111112</c:v>
                </c:pt>
                <c:pt idx="15">
                  <c:v>0.6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0</c:v>
                </c:pt>
                <c:pt idx="19">
                  <c:v>0.31111111111111112</c:v>
                </c:pt>
                <c:pt idx="20">
                  <c:v>0.26944444444444449</c:v>
                </c:pt>
                <c:pt idx="21">
                  <c:v>0.18055555555555552</c:v>
                </c:pt>
                <c:pt idx="22">
                  <c:v>0.24166666666666667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'03'!$AD$6:$AD$29</c:f>
              <c:strCache>
                <c:ptCount val="24"/>
                <c:pt idx="0">
                  <c:v>42%</c:v>
                </c:pt>
                <c:pt idx="1">
                  <c:v>100%</c:v>
                </c:pt>
                <c:pt idx="2">
                  <c:v>79%</c:v>
                </c:pt>
                <c:pt idx="3">
                  <c:v>100%</c:v>
                </c:pt>
                <c:pt idx="4">
                  <c:v>96%</c:v>
                </c:pt>
                <c:pt idx="5">
                  <c:v>88%</c:v>
                </c:pt>
                <c:pt idx="6">
                  <c:v>100%</c:v>
                </c:pt>
                <c:pt idx="7">
                  <c:v>71%</c:v>
                </c:pt>
                <c:pt idx="8">
                  <c:v>33%</c:v>
                </c:pt>
                <c:pt idx="9">
                  <c:v>92%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88%</c:v>
                </c:pt>
                <c:pt idx="14">
                  <c:v>100%</c:v>
                </c:pt>
                <c:pt idx="15">
                  <c:v>92%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100%</c:v>
                </c:pt>
                <c:pt idx="20">
                  <c:v>21%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'03'!$D$6:$D$29</c:f>
              <c:strCache>
                <c:ptCount val="23"/>
                <c:pt idx="0">
                  <c:v>BASE</c:v>
                </c:pt>
                <c:pt idx="1">
                  <c:v>F/A</c:v>
                </c:pt>
                <c:pt idx="2">
                  <c:v>790 B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LEAD GUIDE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COVER</c:v>
                </c:pt>
                <c:pt idx="21">
                  <c:v>BASE</c:v>
                </c:pt>
                <c:pt idx="22">
                  <c:v>COVER</c:v>
                </c:pt>
              </c:strCache>
            </c:strRef>
          </c:cat>
          <c:val>
            <c:numRef>
              <c:f>'03'!$AD$6:$AD$29</c:f>
              <c:numCache>
                <c:formatCode>0%</c:formatCode>
                <c:ptCount val="24"/>
                <c:pt idx="0">
                  <c:v>0.41666666666666669</c:v>
                </c:pt>
                <c:pt idx="1">
                  <c:v>1</c:v>
                </c:pt>
                <c:pt idx="2">
                  <c:v>0.79166666666666663</c:v>
                </c:pt>
                <c:pt idx="3">
                  <c:v>1</c:v>
                </c:pt>
                <c:pt idx="4">
                  <c:v>0.95833333333333337</c:v>
                </c:pt>
                <c:pt idx="5">
                  <c:v>0.875</c:v>
                </c:pt>
                <c:pt idx="6">
                  <c:v>1</c:v>
                </c:pt>
                <c:pt idx="7">
                  <c:v>0.70833333333333337</c:v>
                </c:pt>
                <c:pt idx="8">
                  <c:v>0.33333333333333331</c:v>
                </c:pt>
                <c:pt idx="9">
                  <c:v>0.91666666666666663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0.875</c:v>
                </c:pt>
                <c:pt idx="14">
                  <c:v>1</c:v>
                </c:pt>
                <c:pt idx="15">
                  <c:v>0.91666666666666663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0.20833333333333334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2-4C29-875C-DA44256EED8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92-4C29-875C-DA44256EED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'03'!$D$6:$D$29</c:f>
              <c:strCache>
                <c:ptCount val="23"/>
                <c:pt idx="0">
                  <c:v>BASE</c:v>
                </c:pt>
                <c:pt idx="1">
                  <c:v>F/A</c:v>
                </c:pt>
                <c:pt idx="2">
                  <c:v>790 B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LEAD GUIDE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COVER</c:v>
                </c:pt>
                <c:pt idx="21">
                  <c:v>BASE</c:v>
                </c:pt>
                <c:pt idx="22">
                  <c:v>COVER</c:v>
                </c:pt>
              </c:strCache>
            </c:strRef>
          </c:cat>
          <c:val>
            <c:numRef>
              <c:f>'03'!$AE$6:$AE$29</c:f>
              <c:numCache>
                <c:formatCode>0%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2-4C29-875C-DA44256E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'03'!$D$6:$D$29</c:f>
              <c:strCache>
                <c:ptCount val="23"/>
                <c:pt idx="0">
                  <c:v>BASE</c:v>
                </c:pt>
                <c:pt idx="1">
                  <c:v>F/A</c:v>
                </c:pt>
                <c:pt idx="2">
                  <c:v>790 B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LEAD GUIDE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COVER</c:v>
                </c:pt>
                <c:pt idx="21">
                  <c:v>BASE</c:v>
                </c:pt>
                <c:pt idx="22">
                  <c:v>COVER</c:v>
                </c:pt>
              </c:strCache>
            </c:strRef>
          </c:cat>
          <c:val>
            <c:numRef>
              <c:f>'03'!$L$6:$L$29</c:f>
              <c:numCache>
                <c:formatCode>_(* #,##0_);_(* \(#,##0\);_(* "-"_);_(@_)</c:formatCode>
                <c:ptCount val="24"/>
                <c:pt idx="0">
                  <c:v>2171</c:v>
                </c:pt>
                <c:pt idx="1">
                  <c:v>5825</c:v>
                </c:pt>
                <c:pt idx="2">
                  <c:v>4333</c:v>
                </c:pt>
                <c:pt idx="3">
                  <c:v>5301</c:v>
                </c:pt>
                <c:pt idx="4">
                  <c:v>5779</c:v>
                </c:pt>
                <c:pt idx="5">
                  <c:v>24084</c:v>
                </c:pt>
                <c:pt idx="6">
                  <c:v>5044</c:v>
                </c:pt>
                <c:pt idx="7">
                  <c:v>2807</c:v>
                </c:pt>
                <c:pt idx="8">
                  <c:v>529</c:v>
                </c:pt>
                <c:pt idx="9">
                  <c:v>10408</c:v>
                </c:pt>
                <c:pt idx="10">
                  <c:v>10970</c:v>
                </c:pt>
                <c:pt idx="12">
                  <c:v>5023</c:v>
                </c:pt>
                <c:pt idx="13">
                  <c:v>4348</c:v>
                </c:pt>
                <c:pt idx="14">
                  <c:v>11066</c:v>
                </c:pt>
                <c:pt idx="15">
                  <c:v>43719</c:v>
                </c:pt>
                <c:pt idx="19">
                  <c:v>378448</c:v>
                </c:pt>
                <c:pt idx="20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D-4105-984E-3503B9C4CD75}"/>
            </c:ext>
          </c:extLst>
        </c:ser>
        <c:ser>
          <c:idx val="1"/>
          <c:order val="1"/>
          <c:tx>
            <c:v>계획</c:v>
          </c:tx>
          <c:cat>
            <c:strRef>
              <c:f>'03'!$D$6:$D$29</c:f>
              <c:strCache>
                <c:ptCount val="23"/>
                <c:pt idx="0">
                  <c:v>BASE</c:v>
                </c:pt>
                <c:pt idx="1">
                  <c:v>F/A</c:v>
                </c:pt>
                <c:pt idx="2">
                  <c:v>790 B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LEAD GUIDE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COVER</c:v>
                </c:pt>
                <c:pt idx="21">
                  <c:v>BASE</c:v>
                </c:pt>
                <c:pt idx="22">
                  <c:v>COVER</c:v>
                </c:pt>
              </c:strCache>
            </c:strRef>
          </c:cat>
          <c:val>
            <c:numRef>
              <c:f>'03'!$J$6:$J$29</c:f>
              <c:numCache>
                <c:formatCode>_(* #,##0_);_(* \(#,##0\);_(* "-"_);_(@_)</c:formatCode>
                <c:ptCount val="24"/>
                <c:pt idx="0">
                  <c:v>2171</c:v>
                </c:pt>
                <c:pt idx="1">
                  <c:v>5825</c:v>
                </c:pt>
                <c:pt idx="2">
                  <c:v>4333</c:v>
                </c:pt>
                <c:pt idx="3">
                  <c:v>5301</c:v>
                </c:pt>
                <c:pt idx="4">
                  <c:v>5779</c:v>
                </c:pt>
                <c:pt idx="5">
                  <c:v>24084</c:v>
                </c:pt>
                <c:pt idx="6">
                  <c:v>5044</c:v>
                </c:pt>
                <c:pt idx="7">
                  <c:v>2807</c:v>
                </c:pt>
                <c:pt idx="8">
                  <c:v>529</c:v>
                </c:pt>
                <c:pt idx="9">
                  <c:v>10408</c:v>
                </c:pt>
                <c:pt idx="10">
                  <c:v>10970</c:v>
                </c:pt>
                <c:pt idx="11">
                  <c:v>18304</c:v>
                </c:pt>
                <c:pt idx="12">
                  <c:v>5023</c:v>
                </c:pt>
                <c:pt idx="13">
                  <c:v>4348</c:v>
                </c:pt>
                <c:pt idx="14">
                  <c:v>11066</c:v>
                </c:pt>
                <c:pt idx="15">
                  <c:v>43719</c:v>
                </c:pt>
                <c:pt idx="16">
                  <c:v>0</c:v>
                </c:pt>
                <c:pt idx="17">
                  <c:v>7513</c:v>
                </c:pt>
                <c:pt idx="18">
                  <c:v>22300</c:v>
                </c:pt>
                <c:pt idx="19">
                  <c:v>378448</c:v>
                </c:pt>
                <c:pt idx="20">
                  <c:v>963</c:v>
                </c:pt>
                <c:pt idx="21">
                  <c:v>8984</c:v>
                </c:pt>
                <c:pt idx="22">
                  <c:v>26944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D-4105-984E-3503B9C4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'03'!$AD$6:$AD$29</c:f>
              <c:strCache>
                <c:ptCount val="24"/>
                <c:pt idx="0">
                  <c:v>42%</c:v>
                </c:pt>
                <c:pt idx="1">
                  <c:v>100%</c:v>
                </c:pt>
                <c:pt idx="2">
                  <c:v>79%</c:v>
                </c:pt>
                <c:pt idx="3">
                  <c:v>100%</c:v>
                </c:pt>
                <c:pt idx="4">
                  <c:v>96%</c:v>
                </c:pt>
                <c:pt idx="5">
                  <c:v>88%</c:v>
                </c:pt>
                <c:pt idx="6">
                  <c:v>100%</c:v>
                </c:pt>
                <c:pt idx="7">
                  <c:v>71%</c:v>
                </c:pt>
                <c:pt idx="8">
                  <c:v>33%</c:v>
                </c:pt>
                <c:pt idx="9">
                  <c:v>92%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88%</c:v>
                </c:pt>
                <c:pt idx="14">
                  <c:v>100%</c:v>
                </c:pt>
                <c:pt idx="15">
                  <c:v>92%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100%</c:v>
                </c:pt>
                <c:pt idx="20">
                  <c:v>21%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'03'!$D$6:$D$29</c:f>
              <c:strCache>
                <c:ptCount val="23"/>
                <c:pt idx="0">
                  <c:v>BASE</c:v>
                </c:pt>
                <c:pt idx="1">
                  <c:v>F/A</c:v>
                </c:pt>
                <c:pt idx="2">
                  <c:v>790 B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LEAD GUIDE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COVER</c:v>
                </c:pt>
                <c:pt idx="21">
                  <c:v>BASE</c:v>
                </c:pt>
                <c:pt idx="22">
                  <c:v>COVER</c:v>
                </c:pt>
              </c:strCache>
            </c:strRef>
          </c:cat>
          <c:val>
            <c:numRef>
              <c:f>'03'!$AD$6:$AD$29</c:f>
              <c:numCache>
                <c:formatCode>0%</c:formatCode>
                <c:ptCount val="24"/>
                <c:pt idx="0">
                  <c:v>0.41666666666666669</c:v>
                </c:pt>
                <c:pt idx="1">
                  <c:v>1</c:v>
                </c:pt>
                <c:pt idx="2">
                  <c:v>0.79166666666666663</c:v>
                </c:pt>
                <c:pt idx="3">
                  <c:v>1</c:v>
                </c:pt>
                <c:pt idx="4">
                  <c:v>0.95833333333333337</c:v>
                </c:pt>
                <c:pt idx="5">
                  <c:v>0.875</c:v>
                </c:pt>
                <c:pt idx="6">
                  <c:v>1</c:v>
                </c:pt>
                <c:pt idx="7">
                  <c:v>0.70833333333333337</c:v>
                </c:pt>
                <c:pt idx="8">
                  <c:v>0.33333333333333331</c:v>
                </c:pt>
                <c:pt idx="9">
                  <c:v>0.91666666666666663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0.875</c:v>
                </c:pt>
                <c:pt idx="14">
                  <c:v>1</c:v>
                </c:pt>
                <c:pt idx="15">
                  <c:v>0.91666666666666663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0.20833333333333334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6-4CF4-AA88-DF91CC7CEBD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76-4CF4-AA88-DF91CC7CEB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'03'!$D$6:$D$29</c:f>
              <c:strCache>
                <c:ptCount val="23"/>
                <c:pt idx="0">
                  <c:v>BASE</c:v>
                </c:pt>
                <c:pt idx="1">
                  <c:v>F/A</c:v>
                </c:pt>
                <c:pt idx="2">
                  <c:v>790 B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LEAD GUIDE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COVER</c:v>
                </c:pt>
                <c:pt idx="21">
                  <c:v>BASE</c:v>
                </c:pt>
                <c:pt idx="22">
                  <c:v>COVER</c:v>
                </c:pt>
              </c:strCache>
            </c:strRef>
          </c:cat>
          <c:val>
            <c:numRef>
              <c:f>'03'!$AE$6:$AE$29</c:f>
              <c:numCache>
                <c:formatCode>0%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6-4CF4-AA88-DF91CC7C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ABA-4667-A25E-946115EB1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A-4667-A25E-946115EB1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ABA-4667-A25E-946115EB18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A-4667-A25E-946115EB1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COVER</c:v>
                </c:pt>
                <c:pt idx="12">
                  <c:v>SLIDER</c:v>
                </c:pt>
                <c:pt idx="13">
                  <c:v>LEAD GUIDE</c:v>
                </c:pt>
                <c:pt idx="14">
                  <c:v>LATCH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'04'!$L$6:$L$30</c:f>
              <c:numCache>
                <c:formatCode>_(* #,##0_);_(* \(#,##0\);_(* "-"_);_(@_)</c:formatCode>
                <c:ptCount val="25"/>
                <c:pt idx="0">
                  <c:v>9270</c:v>
                </c:pt>
                <c:pt idx="1">
                  <c:v>5743</c:v>
                </c:pt>
                <c:pt idx="2">
                  <c:v>437</c:v>
                </c:pt>
                <c:pt idx="3">
                  <c:v>4969</c:v>
                </c:pt>
                <c:pt idx="4">
                  <c:v>5358</c:v>
                </c:pt>
                <c:pt idx="5">
                  <c:v>26172</c:v>
                </c:pt>
                <c:pt idx="6">
                  <c:v>5157</c:v>
                </c:pt>
                <c:pt idx="7">
                  <c:v>4941</c:v>
                </c:pt>
                <c:pt idx="8">
                  <c:v>223</c:v>
                </c:pt>
                <c:pt idx="9">
                  <c:v>11812</c:v>
                </c:pt>
                <c:pt idx="10">
                  <c:v>10826</c:v>
                </c:pt>
                <c:pt idx="11">
                  <c:v>3216</c:v>
                </c:pt>
                <c:pt idx="12">
                  <c:v>2073</c:v>
                </c:pt>
                <c:pt idx="13">
                  <c:v>2038</c:v>
                </c:pt>
                <c:pt idx="14">
                  <c:v>4168</c:v>
                </c:pt>
                <c:pt idx="15">
                  <c:v>10928</c:v>
                </c:pt>
                <c:pt idx="16">
                  <c:v>48186</c:v>
                </c:pt>
                <c:pt idx="20">
                  <c:v>329924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5-4C8F-B954-AF68E341E517}"/>
            </c:ext>
          </c:extLst>
        </c:ser>
        <c:ser>
          <c:idx val="1"/>
          <c:order val="1"/>
          <c:tx>
            <c:v>계획</c:v>
          </c:tx>
          <c:cat>
            <c:strRef>
              <c:f>'04'!$D$6:$D$30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COVER</c:v>
                </c:pt>
                <c:pt idx="12">
                  <c:v>SLIDER</c:v>
                </c:pt>
                <c:pt idx="13">
                  <c:v>LEAD GUIDE</c:v>
                </c:pt>
                <c:pt idx="14">
                  <c:v>LATCH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'04'!$J$6:$J$30</c:f>
              <c:numCache>
                <c:formatCode>_(* #,##0_);_(* \(#,##0\);_(* "-"_);_(@_)</c:formatCode>
                <c:ptCount val="25"/>
                <c:pt idx="0">
                  <c:v>2171</c:v>
                </c:pt>
                <c:pt idx="1">
                  <c:v>5743</c:v>
                </c:pt>
                <c:pt idx="2">
                  <c:v>437</c:v>
                </c:pt>
                <c:pt idx="3">
                  <c:v>4969</c:v>
                </c:pt>
                <c:pt idx="4">
                  <c:v>5358</c:v>
                </c:pt>
                <c:pt idx="5">
                  <c:v>26172</c:v>
                </c:pt>
                <c:pt idx="6">
                  <c:v>5157</c:v>
                </c:pt>
                <c:pt idx="7">
                  <c:v>4941</c:v>
                </c:pt>
                <c:pt idx="8">
                  <c:v>223</c:v>
                </c:pt>
                <c:pt idx="9">
                  <c:v>11812</c:v>
                </c:pt>
                <c:pt idx="10">
                  <c:v>10826</c:v>
                </c:pt>
                <c:pt idx="11">
                  <c:v>3216</c:v>
                </c:pt>
                <c:pt idx="12">
                  <c:v>2073</c:v>
                </c:pt>
                <c:pt idx="13">
                  <c:v>2038</c:v>
                </c:pt>
                <c:pt idx="14">
                  <c:v>4168</c:v>
                </c:pt>
                <c:pt idx="15">
                  <c:v>10928</c:v>
                </c:pt>
                <c:pt idx="16">
                  <c:v>48186</c:v>
                </c:pt>
                <c:pt idx="17">
                  <c:v>0</c:v>
                </c:pt>
                <c:pt idx="18">
                  <c:v>7513</c:v>
                </c:pt>
                <c:pt idx="19">
                  <c:v>22300</c:v>
                </c:pt>
                <c:pt idx="20">
                  <c:v>329924</c:v>
                </c:pt>
                <c:pt idx="21">
                  <c:v>963</c:v>
                </c:pt>
                <c:pt idx="22">
                  <c:v>8984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5-4C8F-B954-AF68E341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'04'!$AD$6:$AD$30</c:f>
              <c:strCache>
                <c:ptCount val="25"/>
                <c:pt idx="0">
                  <c:v>374%</c:v>
                </c:pt>
                <c:pt idx="1">
                  <c:v>100%</c:v>
                </c:pt>
                <c:pt idx="2">
                  <c:v>17%</c:v>
                </c:pt>
                <c:pt idx="3">
                  <c:v>100%</c:v>
                </c:pt>
                <c:pt idx="4">
                  <c:v>96%</c:v>
                </c:pt>
                <c:pt idx="5">
                  <c:v>88%</c:v>
                </c:pt>
                <c:pt idx="6">
                  <c:v>100%</c:v>
                </c:pt>
                <c:pt idx="7">
                  <c:v>83%</c:v>
                </c:pt>
                <c:pt idx="8">
                  <c:v>33%</c:v>
                </c:pt>
                <c:pt idx="9">
                  <c:v>100%</c:v>
                </c:pt>
                <c:pt idx="10">
                  <c:v>100%</c:v>
                </c:pt>
                <c:pt idx="11">
                  <c:v>79%</c:v>
                </c:pt>
                <c:pt idx="12">
                  <c:v>42%</c:v>
                </c:pt>
                <c:pt idx="13">
                  <c:v>38%</c:v>
                </c:pt>
                <c:pt idx="14">
                  <c:v>58%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100%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COVER</c:v>
                </c:pt>
                <c:pt idx="12">
                  <c:v>SLIDER</c:v>
                </c:pt>
                <c:pt idx="13">
                  <c:v>LEAD GUIDE</c:v>
                </c:pt>
                <c:pt idx="14">
                  <c:v>LATCH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'04'!$AD$6:$AD$30</c:f>
              <c:numCache>
                <c:formatCode>0%</c:formatCode>
                <c:ptCount val="25"/>
                <c:pt idx="0">
                  <c:v>3.7361814831874716</c:v>
                </c:pt>
                <c:pt idx="1">
                  <c:v>1</c:v>
                </c:pt>
                <c:pt idx="2">
                  <c:v>0.16666666666666666</c:v>
                </c:pt>
                <c:pt idx="3">
                  <c:v>1</c:v>
                </c:pt>
                <c:pt idx="4">
                  <c:v>0.95833333333333337</c:v>
                </c:pt>
                <c:pt idx="5">
                  <c:v>0.875</c:v>
                </c:pt>
                <c:pt idx="6">
                  <c:v>1</c:v>
                </c:pt>
                <c:pt idx="7">
                  <c:v>0.83333333333333337</c:v>
                </c:pt>
                <c:pt idx="8">
                  <c:v>0.33333333333333331</c:v>
                </c:pt>
                <c:pt idx="9">
                  <c:v>1</c:v>
                </c:pt>
                <c:pt idx="10">
                  <c:v>1</c:v>
                </c:pt>
                <c:pt idx="11">
                  <c:v>0.79166666666666663</c:v>
                </c:pt>
                <c:pt idx="12">
                  <c:v>0.41666666666666669</c:v>
                </c:pt>
                <c:pt idx="13">
                  <c:v>0.375</c:v>
                </c:pt>
                <c:pt idx="14">
                  <c:v>0.58333333333333337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2-416C-9978-4F284EF8782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82-416C-9978-4F284EF878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COVER</c:v>
                </c:pt>
                <c:pt idx="12">
                  <c:v>SLIDER</c:v>
                </c:pt>
                <c:pt idx="13">
                  <c:v>LEAD GUIDE</c:v>
                </c:pt>
                <c:pt idx="14">
                  <c:v>LATCH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'04'!$AE$6:$AE$30</c:f>
              <c:numCache>
                <c:formatCode>0%</c:formatCode>
                <c:ptCount val="25"/>
                <c:pt idx="0">
                  <c:v>0.68278059266083235</c:v>
                </c:pt>
                <c:pt idx="1">
                  <c:v>0.68278059266083235</c:v>
                </c:pt>
                <c:pt idx="2">
                  <c:v>0.68278059266083235</c:v>
                </c:pt>
                <c:pt idx="3">
                  <c:v>0.68278059266083235</c:v>
                </c:pt>
                <c:pt idx="4">
                  <c:v>0.68278059266083235</c:v>
                </c:pt>
                <c:pt idx="5">
                  <c:v>0.68278059266083235</c:v>
                </c:pt>
                <c:pt idx="6">
                  <c:v>0.68278059266083235</c:v>
                </c:pt>
                <c:pt idx="7">
                  <c:v>0.68278059266083235</c:v>
                </c:pt>
                <c:pt idx="8">
                  <c:v>0.68278059266083235</c:v>
                </c:pt>
                <c:pt idx="9">
                  <c:v>0.68278059266083235</c:v>
                </c:pt>
                <c:pt idx="10">
                  <c:v>0.68278059266083235</c:v>
                </c:pt>
                <c:pt idx="11">
                  <c:v>0.68278059266083235</c:v>
                </c:pt>
                <c:pt idx="12">
                  <c:v>0.68278059266083235</c:v>
                </c:pt>
                <c:pt idx="13">
                  <c:v>0.68278059266083235</c:v>
                </c:pt>
                <c:pt idx="14">
                  <c:v>0.68278059266083235</c:v>
                </c:pt>
                <c:pt idx="15">
                  <c:v>0.68278059266083235</c:v>
                </c:pt>
                <c:pt idx="16">
                  <c:v>0.68278059266083235</c:v>
                </c:pt>
                <c:pt idx="17">
                  <c:v>0.68278059266083235</c:v>
                </c:pt>
                <c:pt idx="18">
                  <c:v>0.68278059266083235</c:v>
                </c:pt>
                <c:pt idx="19">
                  <c:v>0.68278059266083235</c:v>
                </c:pt>
                <c:pt idx="20">
                  <c:v>0.68278059266083235</c:v>
                </c:pt>
                <c:pt idx="21">
                  <c:v>0.68278059266083235</c:v>
                </c:pt>
                <c:pt idx="22">
                  <c:v>0.68278059266083235</c:v>
                </c:pt>
                <c:pt idx="23">
                  <c:v>0.68278059266083235</c:v>
                </c:pt>
                <c:pt idx="24">
                  <c:v>0.68278059266083235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2-416C-9978-4F284EF8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COVER</c:v>
                </c:pt>
                <c:pt idx="12">
                  <c:v>SLIDER</c:v>
                </c:pt>
                <c:pt idx="13">
                  <c:v>LEAD GUIDE</c:v>
                </c:pt>
                <c:pt idx="14">
                  <c:v>LATCH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'04'!$L$6:$L$30</c:f>
              <c:numCache>
                <c:formatCode>_(* #,##0_);_(* \(#,##0\);_(* "-"_);_(@_)</c:formatCode>
                <c:ptCount val="25"/>
                <c:pt idx="0">
                  <c:v>9270</c:v>
                </c:pt>
                <c:pt idx="1">
                  <c:v>5743</c:v>
                </c:pt>
                <c:pt idx="2">
                  <c:v>437</c:v>
                </c:pt>
                <c:pt idx="3">
                  <c:v>4969</c:v>
                </c:pt>
                <c:pt idx="4">
                  <c:v>5358</c:v>
                </c:pt>
                <c:pt idx="5">
                  <c:v>26172</c:v>
                </c:pt>
                <c:pt idx="6">
                  <c:v>5157</c:v>
                </c:pt>
                <c:pt idx="7">
                  <c:v>4941</c:v>
                </c:pt>
                <c:pt idx="8">
                  <c:v>223</c:v>
                </c:pt>
                <c:pt idx="9">
                  <c:v>11812</c:v>
                </c:pt>
                <c:pt idx="10">
                  <c:v>10826</c:v>
                </c:pt>
                <c:pt idx="11">
                  <c:v>3216</c:v>
                </c:pt>
                <c:pt idx="12">
                  <c:v>2073</c:v>
                </c:pt>
                <c:pt idx="13">
                  <c:v>2038</c:v>
                </c:pt>
                <c:pt idx="14">
                  <c:v>4168</c:v>
                </c:pt>
                <c:pt idx="15">
                  <c:v>10928</c:v>
                </c:pt>
                <c:pt idx="16">
                  <c:v>48186</c:v>
                </c:pt>
                <c:pt idx="20">
                  <c:v>329924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3-46EA-974F-2440142A9DB3}"/>
            </c:ext>
          </c:extLst>
        </c:ser>
        <c:ser>
          <c:idx val="1"/>
          <c:order val="1"/>
          <c:tx>
            <c:v>계획</c:v>
          </c:tx>
          <c:cat>
            <c:strRef>
              <c:f>'04'!$D$6:$D$30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COVER</c:v>
                </c:pt>
                <c:pt idx="12">
                  <c:v>SLIDER</c:v>
                </c:pt>
                <c:pt idx="13">
                  <c:v>LEAD GUIDE</c:v>
                </c:pt>
                <c:pt idx="14">
                  <c:v>LATCH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'04'!$J$6:$J$30</c:f>
              <c:numCache>
                <c:formatCode>_(* #,##0_);_(* \(#,##0\);_(* "-"_);_(@_)</c:formatCode>
                <c:ptCount val="25"/>
                <c:pt idx="0">
                  <c:v>2171</c:v>
                </c:pt>
                <c:pt idx="1">
                  <c:v>5743</c:v>
                </c:pt>
                <c:pt idx="2">
                  <c:v>437</c:v>
                </c:pt>
                <c:pt idx="3">
                  <c:v>4969</c:v>
                </c:pt>
                <c:pt idx="4">
                  <c:v>5358</c:v>
                </c:pt>
                <c:pt idx="5">
                  <c:v>26172</c:v>
                </c:pt>
                <c:pt idx="6">
                  <c:v>5157</c:v>
                </c:pt>
                <c:pt idx="7">
                  <c:v>4941</c:v>
                </c:pt>
                <c:pt idx="8">
                  <c:v>223</c:v>
                </c:pt>
                <c:pt idx="9">
                  <c:v>11812</c:v>
                </c:pt>
                <c:pt idx="10">
                  <c:v>10826</c:v>
                </c:pt>
                <c:pt idx="11">
                  <c:v>3216</c:v>
                </c:pt>
                <c:pt idx="12">
                  <c:v>2073</c:v>
                </c:pt>
                <c:pt idx="13">
                  <c:v>2038</c:v>
                </c:pt>
                <c:pt idx="14">
                  <c:v>4168</c:v>
                </c:pt>
                <c:pt idx="15">
                  <c:v>10928</c:v>
                </c:pt>
                <c:pt idx="16">
                  <c:v>48186</c:v>
                </c:pt>
                <c:pt idx="17">
                  <c:v>0</c:v>
                </c:pt>
                <c:pt idx="18">
                  <c:v>7513</c:v>
                </c:pt>
                <c:pt idx="19">
                  <c:v>22300</c:v>
                </c:pt>
                <c:pt idx="20">
                  <c:v>329924</c:v>
                </c:pt>
                <c:pt idx="21">
                  <c:v>963</c:v>
                </c:pt>
                <c:pt idx="22">
                  <c:v>8984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3-46EA-974F-2440142A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'04'!$AD$6:$AD$30</c:f>
              <c:strCache>
                <c:ptCount val="25"/>
                <c:pt idx="0">
                  <c:v>374%</c:v>
                </c:pt>
                <c:pt idx="1">
                  <c:v>100%</c:v>
                </c:pt>
                <c:pt idx="2">
                  <c:v>17%</c:v>
                </c:pt>
                <c:pt idx="3">
                  <c:v>100%</c:v>
                </c:pt>
                <c:pt idx="4">
                  <c:v>96%</c:v>
                </c:pt>
                <c:pt idx="5">
                  <c:v>88%</c:v>
                </c:pt>
                <c:pt idx="6">
                  <c:v>100%</c:v>
                </c:pt>
                <c:pt idx="7">
                  <c:v>83%</c:v>
                </c:pt>
                <c:pt idx="8">
                  <c:v>33%</c:v>
                </c:pt>
                <c:pt idx="9">
                  <c:v>100%</c:v>
                </c:pt>
                <c:pt idx="10">
                  <c:v>100%</c:v>
                </c:pt>
                <c:pt idx="11">
                  <c:v>79%</c:v>
                </c:pt>
                <c:pt idx="12">
                  <c:v>42%</c:v>
                </c:pt>
                <c:pt idx="13">
                  <c:v>38%</c:v>
                </c:pt>
                <c:pt idx="14">
                  <c:v>58%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100%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COVER</c:v>
                </c:pt>
                <c:pt idx="12">
                  <c:v>SLIDER</c:v>
                </c:pt>
                <c:pt idx="13">
                  <c:v>LEAD GUIDE</c:v>
                </c:pt>
                <c:pt idx="14">
                  <c:v>LATCH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'04'!$AD$6:$AD$30</c:f>
              <c:numCache>
                <c:formatCode>0%</c:formatCode>
                <c:ptCount val="25"/>
                <c:pt idx="0">
                  <c:v>3.7361814831874716</c:v>
                </c:pt>
                <c:pt idx="1">
                  <c:v>1</c:v>
                </c:pt>
                <c:pt idx="2">
                  <c:v>0.16666666666666666</c:v>
                </c:pt>
                <c:pt idx="3">
                  <c:v>1</c:v>
                </c:pt>
                <c:pt idx="4">
                  <c:v>0.95833333333333337</c:v>
                </c:pt>
                <c:pt idx="5">
                  <c:v>0.875</c:v>
                </c:pt>
                <c:pt idx="6">
                  <c:v>1</c:v>
                </c:pt>
                <c:pt idx="7">
                  <c:v>0.83333333333333337</c:v>
                </c:pt>
                <c:pt idx="8">
                  <c:v>0.33333333333333331</c:v>
                </c:pt>
                <c:pt idx="9">
                  <c:v>1</c:v>
                </c:pt>
                <c:pt idx="10">
                  <c:v>1</c:v>
                </c:pt>
                <c:pt idx="11">
                  <c:v>0.79166666666666663</c:v>
                </c:pt>
                <c:pt idx="12">
                  <c:v>0.41666666666666669</c:v>
                </c:pt>
                <c:pt idx="13">
                  <c:v>0.375</c:v>
                </c:pt>
                <c:pt idx="14">
                  <c:v>0.58333333333333337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5-4484-985D-96F34CEAF6A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5-4484-985D-96F34CEAF6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22P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COVER</c:v>
                </c:pt>
                <c:pt idx="12">
                  <c:v>SLIDER</c:v>
                </c:pt>
                <c:pt idx="13">
                  <c:v>LEAD GUIDE</c:v>
                </c:pt>
                <c:pt idx="14">
                  <c:v>LATCH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'04'!$AE$6:$AE$30</c:f>
              <c:numCache>
                <c:formatCode>0%</c:formatCode>
                <c:ptCount val="25"/>
                <c:pt idx="0">
                  <c:v>0.68278059266083235</c:v>
                </c:pt>
                <c:pt idx="1">
                  <c:v>0.68278059266083235</c:v>
                </c:pt>
                <c:pt idx="2">
                  <c:v>0.68278059266083235</c:v>
                </c:pt>
                <c:pt idx="3">
                  <c:v>0.68278059266083235</c:v>
                </c:pt>
                <c:pt idx="4">
                  <c:v>0.68278059266083235</c:v>
                </c:pt>
                <c:pt idx="5">
                  <c:v>0.68278059266083235</c:v>
                </c:pt>
                <c:pt idx="6">
                  <c:v>0.68278059266083235</c:v>
                </c:pt>
                <c:pt idx="7">
                  <c:v>0.68278059266083235</c:v>
                </c:pt>
                <c:pt idx="8">
                  <c:v>0.68278059266083235</c:v>
                </c:pt>
                <c:pt idx="9">
                  <c:v>0.68278059266083235</c:v>
                </c:pt>
                <c:pt idx="10">
                  <c:v>0.68278059266083235</c:v>
                </c:pt>
                <c:pt idx="11">
                  <c:v>0.68278059266083235</c:v>
                </c:pt>
                <c:pt idx="12">
                  <c:v>0.68278059266083235</c:v>
                </c:pt>
                <c:pt idx="13">
                  <c:v>0.68278059266083235</c:v>
                </c:pt>
                <c:pt idx="14">
                  <c:v>0.68278059266083235</c:v>
                </c:pt>
                <c:pt idx="15">
                  <c:v>0.68278059266083235</c:v>
                </c:pt>
                <c:pt idx="16">
                  <c:v>0.68278059266083235</c:v>
                </c:pt>
                <c:pt idx="17">
                  <c:v>0.68278059266083235</c:v>
                </c:pt>
                <c:pt idx="18">
                  <c:v>0.68278059266083235</c:v>
                </c:pt>
                <c:pt idx="19">
                  <c:v>0.68278059266083235</c:v>
                </c:pt>
                <c:pt idx="20">
                  <c:v>0.68278059266083235</c:v>
                </c:pt>
                <c:pt idx="21">
                  <c:v>0.68278059266083235</c:v>
                </c:pt>
                <c:pt idx="22">
                  <c:v>0.68278059266083235</c:v>
                </c:pt>
                <c:pt idx="23">
                  <c:v>0.68278059266083235</c:v>
                </c:pt>
                <c:pt idx="24">
                  <c:v>0.68278059266083235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5-4484-985D-96F34CEAF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'01'!$AD$6:$AD$30</c:f>
              <c:strCache>
                <c:ptCount val="25"/>
                <c:pt idx="0">
                  <c:v>88%</c:v>
                </c:pt>
                <c:pt idx="1">
                  <c:v>0%</c:v>
                </c:pt>
                <c:pt idx="2">
                  <c:v>63%</c:v>
                </c:pt>
                <c:pt idx="3">
                  <c:v>96%</c:v>
                </c:pt>
                <c:pt idx="4">
                  <c:v>71%</c:v>
                </c:pt>
                <c:pt idx="5">
                  <c:v>17%</c:v>
                </c:pt>
                <c:pt idx="6">
                  <c:v>100%</c:v>
                </c:pt>
                <c:pt idx="7">
                  <c:v>42%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92%</c:v>
                </c:pt>
                <c:pt idx="12">
                  <c:v>96%</c:v>
                </c:pt>
                <c:pt idx="13">
                  <c:v>17%</c:v>
                </c:pt>
                <c:pt idx="14">
                  <c:v>20%</c:v>
                </c:pt>
                <c:pt idx="15">
                  <c:v>75%</c:v>
                </c:pt>
                <c:pt idx="16">
                  <c:v>92%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54%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BODY/LID</c:v>
                </c:pt>
                <c:pt idx="8">
                  <c:v>COVER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'01'!$AD$6:$AD$30</c:f>
              <c:numCache>
                <c:formatCode>0%</c:formatCode>
                <c:ptCount val="25"/>
                <c:pt idx="0">
                  <c:v>0.875</c:v>
                </c:pt>
                <c:pt idx="1">
                  <c:v>0</c:v>
                </c:pt>
                <c:pt idx="2">
                  <c:v>0.625</c:v>
                </c:pt>
                <c:pt idx="3">
                  <c:v>0.95833333333333337</c:v>
                </c:pt>
                <c:pt idx="4">
                  <c:v>0.70833333333333337</c:v>
                </c:pt>
                <c:pt idx="5">
                  <c:v>0.16666666666666666</c:v>
                </c:pt>
                <c:pt idx="6">
                  <c:v>1</c:v>
                </c:pt>
                <c:pt idx="7">
                  <c:v>0.41666666666666669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0.91666666666666663</c:v>
                </c:pt>
                <c:pt idx="12">
                  <c:v>0.95833333333333337</c:v>
                </c:pt>
                <c:pt idx="13">
                  <c:v>0.16666666666666666</c:v>
                </c:pt>
                <c:pt idx="14">
                  <c:v>0.19834710743801653</c:v>
                </c:pt>
                <c:pt idx="15">
                  <c:v>0.75</c:v>
                </c:pt>
                <c:pt idx="16">
                  <c:v>0.91666666666666663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0.54166666666666663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B-4D7C-9A8C-0A60ED0F223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0B-4D7C-9A8C-0A60ED0F22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BODY/LID</c:v>
                </c:pt>
                <c:pt idx="8">
                  <c:v>COVER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'01'!$AE$6:$AE$30</c:f>
              <c:numCache>
                <c:formatCode>0%</c:formatCode>
                <c:ptCount val="25"/>
                <c:pt idx="0">
                  <c:v>0.44793388429752062</c:v>
                </c:pt>
                <c:pt idx="1">
                  <c:v>0.44793388429752062</c:v>
                </c:pt>
                <c:pt idx="2">
                  <c:v>0.44793388429752062</c:v>
                </c:pt>
                <c:pt idx="3">
                  <c:v>0.44793388429752062</c:v>
                </c:pt>
                <c:pt idx="4">
                  <c:v>0.44793388429752062</c:v>
                </c:pt>
                <c:pt idx="5">
                  <c:v>0.44793388429752062</c:v>
                </c:pt>
                <c:pt idx="6">
                  <c:v>0.44793388429752062</c:v>
                </c:pt>
                <c:pt idx="7">
                  <c:v>0.44793388429752062</c:v>
                </c:pt>
                <c:pt idx="8">
                  <c:v>0.44793388429752062</c:v>
                </c:pt>
                <c:pt idx="9">
                  <c:v>0.44793388429752062</c:v>
                </c:pt>
                <c:pt idx="10">
                  <c:v>0.44793388429752062</c:v>
                </c:pt>
                <c:pt idx="11">
                  <c:v>0.44793388429752062</c:v>
                </c:pt>
                <c:pt idx="12">
                  <c:v>0.44793388429752062</c:v>
                </c:pt>
                <c:pt idx="13">
                  <c:v>0.44793388429752062</c:v>
                </c:pt>
                <c:pt idx="14">
                  <c:v>0.44793388429752062</c:v>
                </c:pt>
                <c:pt idx="15">
                  <c:v>0.44793388429752062</c:v>
                </c:pt>
                <c:pt idx="16">
                  <c:v>0.44793388429752062</c:v>
                </c:pt>
                <c:pt idx="17">
                  <c:v>0.44793388429752062</c:v>
                </c:pt>
                <c:pt idx="18">
                  <c:v>0.44793388429752062</c:v>
                </c:pt>
                <c:pt idx="19">
                  <c:v>0.44793388429752062</c:v>
                </c:pt>
                <c:pt idx="20">
                  <c:v>0.44793388429752062</c:v>
                </c:pt>
                <c:pt idx="21">
                  <c:v>0.44793388429752062</c:v>
                </c:pt>
                <c:pt idx="22">
                  <c:v>0.44793388429752062</c:v>
                </c:pt>
                <c:pt idx="23">
                  <c:v>0.44793388429752062</c:v>
                </c:pt>
                <c:pt idx="24">
                  <c:v>0.44793388429752062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B-4D7C-9A8C-0A60ED0F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7B8-4D3A-8A12-B360183F11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8-4D3A-8A12-B360183F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7B8-4D3A-8A12-B360183F11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D3A-8A12-B360183F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FLOATING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'05'!$L$6:$L$30</c:f>
              <c:numCache>
                <c:formatCode>_(* #,##0_);_(* \(#,##0\);_(* "-"_);_(@_)</c:formatCode>
                <c:ptCount val="25"/>
                <c:pt idx="0">
                  <c:v>3974</c:v>
                </c:pt>
                <c:pt idx="1">
                  <c:v>5027</c:v>
                </c:pt>
                <c:pt idx="3">
                  <c:v>4269</c:v>
                </c:pt>
                <c:pt idx="4">
                  <c:v>4818</c:v>
                </c:pt>
                <c:pt idx="5">
                  <c:v>11038</c:v>
                </c:pt>
                <c:pt idx="6">
                  <c:v>4963</c:v>
                </c:pt>
                <c:pt idx="7">
                  <c:v>5660</c:v>
                </c:pt>
                <c:pt idx="8">
                  <c:v>398</c:v>
                </c:pt>
                <c:pt idx="9">
                  <c:v>4322</c:v>
                </c:pt>
                <c:pt idx="10">
                  <c:v>9006</c:v>
                </c:pt>
                <c:pt idx="11">
                  <c:v>1630</c:v>
                </c:pt>
                <c:pt idx="12">
                  <c:v>2036</c:v>
                </c:pt>
                <c:pt idx="13">
                  <c:v>3055</c:v>
                </c:pt>
                <c:pt idx="14">
                  <c:v>10356</c:v>
                </c:pt>
                <c:pt idx="15">
                  <c:v>10740</c:v>
                </c:pt>
                <c:pt idx="16">
                  <c:v>43956</c:v>
                </c:pt>
                <c:pt idx="18">
                  <c:v>14040</c:v>
                </c:pt>
                <c:pt idx="20">
                  <c:v>248192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1-4513-BFA9-7EFA20A2152A}"/>
            </c:ext>
          </c:extLst>
        </c:ser>
        <c:ser>
          <c:idx val="1"/>
          <c:order val="1"/>
          <c:tx>
            <c:v>계획</c:v>
          </c:tx>
          <c:cat>
            <c:strRef>
              <c:f>'05'!$D$6:$D$30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FLOATING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'05'!$J$6:$J$30</c:f>
              <c:numCache>
                <c:formatCode>_(* #,##0_);_(* \(#,##0\);_(* "-"_);_(@_)</c:formatCode>
                <c:ptCount val="25"/>
                <c:pt idx="0">
                  <c:v>3974</c:v>
                </c:pt>
                <c:pt idx="1">
                  <c:v>5027</c:v>
                </c:pt>
                <c:pt idx="2">
                  <c:v>437</c:v>
                </c:pt>
                <c:pt idx="3">
                  <c:v>4269</c:v>
                </c:pt>
                <c:pt idx="4">
                  <c:v>4818</c:v>
                </c:pt>
                <c:pt idx="5">
                  <c:v>11038</c:v>
                </c:pt>
                <c:pt idx="6">
                  <c:v>4963</c:v>
                </c:pt>
                <c:pt idx="7">
                  <c:v>5660</c:v>
                </c:pt>
                <c:pt idx="8">
                  <c:v>398</c:v>
                </c:pt>
                <c:pt idx="9">
                  <c:v>4322</c:v>
                </c:pt>
                <c:pt idx="10">
                  <c:v>9006</c:v>
                </c:pt>
                <c:pt idx="11">
                  <c:v>1630</c:v>
                </c:pt>
                <c:pt idx="12">
                  <c:v>2036</c:v>
                </c:pt>
                <c:pt idx="13">
                  <c:v>3055</c:v>
                </c:pt>
                <c:pt idx="14">
                  <c:v>10356</c:v>
                </c:pt>
                <c:pt idx="15">
                  <c:v>10740</c:v>
                </c:pt>
                <c:pt idx="16">
                  <c:v>43956</c:v>
                </c:pt>
                <c:pt idx="17">
                  <c:v>0</c:v>
                </c:pt>
                <c:pt idx="18">
                  <c:v>14040</c:v>
                </c:pt>
                <c:pt idx="19">
                  <c:v>22300</c:v>
                </c:pt>
                <c:pt idx="20">
                  <c:v>248192</c:v>
                </c:pt>
                <c:pt idx="21">
                  <c:v>963</c:v>
                </c:pt>
                <c:pt idx="22">
                  <c:v>8984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1-4513-BFA9-7EFA20A2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'05'!$AD$6:$AD$30</c:f>
              <c:strCache>
                <c:ptCount val="25"/>
                <c:pt idx="0">
                  <c:v>42%</c:v>
                </c:pt>
                <c:pt idx="1">
                  <c:v>100%</c:v>
                </c:pt>
                <c:pt idx="2">
                  <c:v>0%</c:v>
                </c:pt>
                <c:pt idx="3">
                  <c:v>88%</c:v>
                </c:pt>
                <c:pt idx="4">
                  <c:v>100%</c:v>
                </c:pt>
                <c:pt idx="5">
                  <c:v>92%</c:v>
                </c:pt>
                <c:pt idx="6">
                  <c:v>100%</c:v>
                </c:pt>
                <c:pt idx="7">
                  <c:v>100%</c:v>
                </c:pt>
                <c:pt idx="8">
                  <c:v>33%</c:v>
                </c:pt>
                <c:pt idx="9">
                  <c:v>33%</c:v>
                </c:pt>
                <c:pt idx="10">
                  <c:v>88%</c:v>
                </c:pt>
                <c:pt idx="11">
                  <c:v>38%</c:v>
                </c:pt>
                <c:pt idx="12">
                  <c:v>42%</c:v>
                </c:pt>
                <c:pt idx="13">
                  <c:v>63%</c:v>
                </c:pt>
                <c:pt idx="14">
                  <c:v>100%</c:v>
                </c:pt>
                <c:pt idx="15">
                  <c:v>21%</c:v>
                </c:pt>
                <c:pt idx="16">
                  <c:v>75%</c:v>
                </c:pt>
                <c:pt idx="17">
                  <c:v>0%</c:v>
                </c:pt>
                <c:pt idx="18">
                  <c:v>50%</c:v>
                </c:pt>
                <c:pt idx="19">
                  <c:v>0%</c:v>
                </c:pt>
                <c:pt idx="20">
                  <c:v>75%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FLOATING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'05'!$AD$6:$AD$30</c:f>
              <c:numCache>
                <c:formatCode>0%</c:formatCode>
                <c:ptCount val="25"/>
                <c:pt idx="0">
                  <c:v>0.41666666666666669</c:v>
                </c:pt>
                <c:pt idx="1">
                  <c:v>1</c:v>
                </c:pt>
                <c:pt idx="2">
                  <c:v>0</c:v>
                </c:pt>
                <c:pt idx="3">
                  <c:v>0.875</c:v>
                </c:pt>
                <c:pt idx="4">
                  <c:v>1</c:v>
                </c:pt>
                <c:pt idx="5">
                  <c:v>0.91666666666666663</c:v>
                </c:pt>
                <c:pt idx="6">
                  <c:v>1</c:v>
                </c:pt>
                <c:pt idx="7">
                  <c:v>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0.875</c:v>
                </c:pt>
                <c:pt idx="11">
                  <c:v>0.375</c:v>
                </c:pt>
                <c:pt idx="12">
                  <c:v>0.41666666666666669</c:v>
                </c:pt>
                <c:pt idx="13">
                  <c:v>0.625</c:v>
                </c:pt>
                <c:pt idx="14">
                  <c:v>1</c:v>
                </c:pt>
                <c:pt idx="15">
                  <c:v>0.20833333333333334</c:v>
                </c:pt>
                <c:pt idx="16">
                  <c:v>0.75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C-4CDC-BF40-9FF51DEB110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9C-4CDC-BF40-9FF51DEB110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FLOATING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'05'!$AE$6:$AE$30</c:f>
              <c:numCache>
                <c:formatCode>0%</c:formatCode>
                <c:ptCount val="25"/>
                <c:pt idx="0">
                  <c:v>0.495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  <c:pt idx="4">
                  <c:v>0.495</c:v>
                </c:pt>
                <c:pt idx="5">
                  <c:v>0.495</c:v>
                </c:pt>
                <c:pt idx="6">
                  <c:v>0.495</c:v>
                </c:pt>
                <c:pt idx="7">
                  <c:v>0.495</c:v>
                </c:pt>
                <c:pt idx="8">
                  <c:v>0.495</c:v>
                </c:pt>
                <c:pt idx="9">
                  <c:v>0.495</c:v>
                </c:pt>
                <c:pt idx="10">
                  <c:v>0.495</c:v>
                </c:pt>
                <c:pt idx="11">
                  <c:v>0.495</c:v>
                </c:pt>
                <c:pt idx="12">
                  <c:v>0.495</c:v>
                </c:pt>
                <c:pt idx="13">
                  <c:v>0.495</c:v>
                </c:pt>
                <c:pt idx="14">
                  <c:v>0.495</c:v>
                </c:pt>
                <c:pt idx="15">
                  <c:v>0.495</c:v>
                </c:pt>
                <c:pt idx="16">
                  <c:v>0.495</c:v>
                </c:pt>
                <c:pt idx="17">
                  <c:v>0.495</c:v>
                </c:pt>
                <c:pt idx="18">
                  <c:v>0.495</c:v>
                </c:pt>
                <c:pt idx="19">
                  <c:v>0.495</c:v>
                </c:pt>
                <c:pt idx="20">
                  <c:v>0.495</c:v>
                </c:pt>
                <c:pt idx="21">
                  <c:v>0.495</c:v>
                </c:pt>
                <c:pt idx="22">
                  <c:v>0.495</c:v>
                </c:pt>
                <c:pt idx="23">
                  <c:v>0.495</c:v>
                </c:pt>
                <c:pt idx="24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C-4CDC-BF40-9FF51DEB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FLOATING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'05'!$L$6:$L$30</c:f>
              <c:numCache>
                <c:formatCode>_(* #,##0_);_(* \(#,##0\);_(* "-"_);_(@_)</c:formatCode>
                <c:ptCount val="25"/>
                <c:pt idx="0">
                  <c:v>3974</c:v>
                </c:pt>
                <c:pt idx="1">
                  <c:v>5027</c:v>
                </c:pt>
                <c:pt idx="3">
                  <c:v>4269</c:v>
                </c:pt>
                <c:pt idx="4">
                  <c:v>4818</c:v>
                </c:pt>
                <c:pt idx="5">
                  <c:v>11038</c:v>
                </c:pt>
                <c:pt idx="6">
                  <c:v>4963</c:v>
                </c:pt>
                <c:pt idx="7">
                  <c:v>5660</c:v>
                </c:pt>
                <c:pt idx="8">
                  <c:v>398</c:v>
                </c:pt>
                <c:pt idx="9">
                  <c:v>4322</c:v>
                </c:pt>
                <c:pt idx="10">
                  <c:v>9006</c:v>
                </c:pt>
                <c:pt idx="11">
                  <c:v>1630</c:v>
                </c:pt>
                <c:pt idx="12">
                  <c:v>2036</c:v>
                </c:pt>
                <c:pt idx="13">
                  <c:v>3055</c:v>
                </c:pt>
                <c:pt idx="14">
                  <c:v>10356</c:v>
                </c:pt>
                <c:pt idx="15">
                  <c:v>10740</c:v>
                </c:pt>
                <c:pt idx="16">
                  <c:v>43956</c:v>
                </c:pt>
                <c:pt idx="18">
                  <c:v>14040</c:v>
                </c:pt>
                <c:pt idx="20">
                  <c:v>248192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C-4456-A062-82D94D0CDEEF}"/>
            </c:ext>
          </c:extLst>
        </c:ser>
        <c:ser>
          <c:idx val="1"/>
          <c:order val="1"/>
          <c:tx>
            <c:v>계획</c:v>
          </c:tx>
          <c:cat>
            <c:strRef>
              <c:f>'05'!$D$6:$D$30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FLOATING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'05'!$J$6:$J$30</c:f>
              <c:numCache>
                <c:formatCode>_(* #,##0_);_(* \(#,##0\);_(* "-"_);_(@_)</c:formatCode>
                <c:ptCount val="25"/>
                <c:pt idx="0">
                  <c:v>3974</c:v>
                </c:pt>
                <c:pt idx="1">
                  <c:v>5027</c:v>
                </c:pt>
                <c:pt idx="2">
                  <c:v>437</c:v>
                </c:pt>
                <c:pt idx="3">
                  <c:v>4269</c:v>
                </c:pt>
                <c:pt idx="4">
                  <c:v>4818</c:v>
                </c:pt>
                <c:pt idx="5">
                  <c:v>11038</c:v>
                </c:pt>
                <c:pt idx="6">
                  <c:v>4963</c:v>
                </c:pt>
                <c:pt idx="7">
                  <c:v>5660</c:v>
                </c:pt>
                <c:pt idx="8">
                  <c:v>398</c:v>
                </c:pt>
                <c:pt idx="9">
                  <c:v>4322</c:v>
                </c:pt>
                <c:pt idx="10">
                  <c:v>9006</c:v>
                </c:pt>
                <c:pt idx="11">
                  <c:v>1630</c:v>
                </c:pt>
                <c:pt idx="12">
                  <c:v>2036</c:v>
                </c:pt>
                <c:pt idx="13">
                  <c:v>3055</c:v>
                </c:pt>
                <c:pt idx="14">
                  <c:v>10356</c:v>
                </c:pt>
                <c:pt idx="15">
                  <c:v>10740</c:v>
                </c:pt>
                <c:pt idx="16">
                  <c:v>43956</c:v>
                </c:pt>
                <c:pt idx="17">
                  <c:v>0</c:v>
                </c:pt>
                <c:pt idx="18">
                  <c:v>14040</c:v>
                </c:pt>
                <c:pt idx="19">
                  <c:v>22300</c:v>
                </c:pt>
                <c:pt idx="20">
                  <c:v>248192</c:v>
                </c:pt>
                <c:pt idx="21">
                  <c:v>963</c:v>
                </c:pt>
                <c:pt idx="22">
                  <c:v>8984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C-4456-A062-82D94D0C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'05'!$AD$6:$AD$30</c:f>
              <c:strCache>
                <c:ptCount val="25"/>
                <c:pt idx="0">
                  <c:v>42%</c:v>
                </c:pt>
                <c:pt idx="1">
                  <c:v>100%</c:v>
                </c:pt>
                <c:pt idx="2">
                  <c:v>0%</c:v>
                </c:pt>
                <c:pt idx="3">
                  <c:v>88%</c:v>
                </c:pt>
                <c:pt idx="4">
                  <c:v>100%</c:v>
                </c:pt>
                <c:pt idx="5">
                  <c:v>92%</c:v>
                </c:pt>
                <c:pt idx="6">
                  <c:v>100%</c:v>
                </c:pt>
                <c:pt idx="7">
                  <c:v>100%</c:v>
                </c:pt>
                <c:pt idx="8">
                  <c:v>33%</c:v>
                </c:pt>
                <c:pt idx="9">
                  <c:v>33%</c:v>
                </c:pt>
                <c:pt idx="10">
                  <c:v>88%</c:v>
                </c:pt>
                <c:pt idx="11">
                  <c:v>38%</c:v>
                </c:pt>
                <c:pt idx="12">
                  <c:v>42%</c:v>
                </c:pt>
                <c:pt idx="13">
                  <c:v>63%</c:v>
                </c:pt>
                <c:pt idx="14">
                  <c:v>100%</c:v>
                </c:pt>
                <c:pt idx="15">
                  <c:v>21%</c:v>
                </c:pt>
                <c:pt idx="16">
                  <c:v>75%</c:v>
                </c:pt>
                <c:pt idx="17">
                  <c:v>0%</c:v>
                </c:pt>
                <c:pt idx="18">
                  <c:v>50%</c:v>
                </c:pt>
                <c:pt idx="19">
                  <c:v>0%</c:v>
                </c:pt>
                <c:pt idx="20">
                  <c:v>75%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FLOATING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'05'!$AD$6:$AD$30</c:f>
              <c:numCache>
                <c:formatCode>0%</c:formatCode>
                <c:ptCount val="25"/>
                <c:pt idx="0">
                  <c:v>0.41666666666666669</c:v>
                </c:pt>
                <c:pt idx="1">
                  <c:v>1</c:v>
                </c:pt>
                <c:pt idx="2">
                  <c:v>0</c:v>
                </c:pt>
                <c:pt idx="3">
                  <c:v>0.875</c:v>
                </c:pt>
                <c:pt idx="4">
                  <c:v>1</c:v>
                </c:pt>
                <c:pt idx="5">
                  <c:v>0.91666666666666663</c:v>
                </c:pt>
                <c:pt idx="6">
                  <c:v>1</c:v>
                </c:pt>
                <c:pt idx="7">
                  <c:v>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0.875</c:v>
                </c:pt>
                <c:pt idx="11">
                  <c:v>0.375</c:v>
                </c:pt>
                <c:pt idx="12">
                  <c:v>0.41666666666666669</c:v>
                </c:pt>
                <c:pt idx="13">
                  <c:v>0.625</c:v>
                </c:pt>
                <c:pt idx="14">
                  <c:v>1</c:v>
                </c:pt>
                <c:pt idx="15">
                  <c:v>0.20833333333333334</c:v>
                </c:pt>
                <c:pt idx="16">
                  <c:v>0.75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C-4EFD-8EC6-C870D04B5D0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7C-4EFD-8EC6-C870D04B5D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'05'!$D$6:$D$30</c:f>
              <c:strCache>
                <c:ptCount val="24"/>
                <c:pt idx="0">
                  <c:v>BASE</c:v>
                </c:pt>
                <c:pt idx="1">
                  <c:v>F/A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ACTUATOR</c:v>
                </c:pt>
                <c:pt idx="11">
                  <c:v>FLOATING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'05'!$AE$6:$AE$30</c:f>
              <c:numCache>
                <c:formatCode>0%</c:formatCode>
                <c:ptCount val="25"/>
                <c:pt idx="0">
                  <c:v>0.495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  <c:pt idx="4">
                  <c:v>0.495</c:v>
                </c:pt>
                <c:pt idx="5">
                  <c:v>0.495</c:v>
                </c:pt>
                <c:pt idx="6">
                  <c:v>0.495</c:v>
                </c:pt>
                <c:pt idx="7">
                  <c:v>0.495</c:v>
                </c:pt>
                <c:pt idx="8">
                  <c:v>0.495</c:v>
                </c:pt>
                <c:pt idx="9">
                  <c:v>0.495</c:v>
                </c:pt>
                <c:pt idx="10">
                  <c:v>0.495</c:v>
                </c:pt>
                <c:pt idx="11">
                  <c:v>0.495</c:v>
                </c:pt>
                <c:pt idx="12">
                  <c:v>0.495</c:v>
                </c:pt>
                <c:pt idx="13">
                  <c:v>0.495</c:v>
                </c:pt>
                <c:pt idx="14">
                  <c:v>0.495</c:v>
                </c:pt>
                <c:pt idx="15">
                  <c:v>0.495</c:v>
                </c:pt>
                <c:pt idx="16">
                  <c:v>0.495</c:v>
                </c:pt>
                <c:pt idx="17">
                  <c:v>0.495</c:v>
                </c:pt>
                <c:pt idx="18">
                  <c:v>0.495</c:v>
                </c:pt>
                <c:pt idx="19">
                  <c:v>0.495</c:v>
                </c:pt>
                <c:pt idx="20">
                  <c:v>0.495</c:v>
                </c:pt>
                <c:pt idx="21">
                  <c:v>0.495</c:v>
                </c:pt>
                <c:pt idx="22">
                  <c:v>0.495</c:v>
                </c:pt>
                <c:pt idx="23">
                  <c:v>0.495</c:v>
                </c:pt>
                <c:pt idx="24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C-4EFD-8EC6-C870D04B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D0C-4BFE-9410-A6F2B05446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C-4BFE-9410-A6F2B054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D0C-4BFE-9410-A6F2B05446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C-4BFE-9410-A6F2B054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'08'!$D$6:$D$31</c:f>
              <c:strCache>
                <c:ptCount val="25"/>
                <c:pt idx="0">
                  <c:v>BASE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STOPPER</c:v>
                </c:pt>
                <c:pt idx="6">
                  <c:v>COVER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BASE</c:v>
                </c:pt>
                <c:pt idx="12">
                  <c:v>SLIDER</c:v>
                </c:pt>
                <c:pt idx="13">
                  <c:v>FLOATING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9">
                  <c:v>SEPARATOR</c:v>
                </c:pt>
                <c:pt idx="20">
                  <c:v>BASE</c:v>
                </c:pt>
                <c:pt idx="22">
                  <c:v>COVER</c:v>
                </c:pt>
                <c:pt idx="23">
                  <c:v>BASE</c:v>
                </c:pt>
                <c:pt idx="24">
                  <c:v>COVER</c:v>
                </c:pt>
              </c:strCache>
            </c:strRef>
          </c:cat>
          <c:val>
            <c:numRef>
              <c:f>'08'!$L$6:$L$31</c:f>
              <c:numCache>
                <c:formatCode>_(* #,##0_);_(* \(#,##0\);_(* "-"_);_(@_)</c:formatCode>
                <c:ptCount val="26"/>
                <c:pt idx="0">
                  <c:v>9476</c:v>
                </c:pt>
                <c:pt idx="1">
                  <c:v>5417</c:v>
                </c:pt>
                <c:pt idx="2">
                  <c:v>150</c:v>
                </c:pt>
                <c:pt idx="3">
                  <c:v>150</c:v>
                </c:pt>
                <c:pt idx="4">
                  <c:v>587</c:v>
                </c:pt>
                <c:pt idx="5">
                  <c:v>5331</c:v>
                </c:pt>
                <c:pt idx="7">
                  <c:v>9906</c:v>
                </c:pt>
                <c:pt idx="8">
                  <c:v>4296</c:v>
                </c:pt>
                <c:pt idx="9">
                  <c:v>5559</c:v>
                </c:pt>
                <c:pt idx="11">
                  <c:v>138</c:v>
                </c:pt>
                <c:pt idx="12">
                  <c:v>9350</c:v>
                </c:pt>
                <c:pt idx="13">
                  <c:v>3665</c:v>
                </c:pt>
                <c:pt idx="14">
                  <c:v>10480</c:v>
                </c:pt>
                <c:pt idx="15">
                  <c:v>360</c:v>
                </c:pt>
                <c:pt idx="16">
                  <c:v>10230</c:v>
                </c:pt>
                <c:pt idx="17">
                  <c:v>57712</c:v>
                </c:pt>
                <c:pt idx="19">
                  <c:v>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4-4155-BA7E-8773F95CFC99}"/>
            </c:ext>
          </c:extLst>
        </c:ser>
        <c:ser>
          <c:idx val="1"/>
          <c:order val="1"/>
          <c:tx>
            <c:v>계획</c:v>
          </c:tx>
          <c:cat>
            <c:strRef>
              <c:f>'08'!$D$6:$D$31</c:f>
              <c:strCache>
                <c:ptCount val="25"/>
                <c:pt idx="0">
                  <c:v>BASE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STOPPER</c:v>
                </c:pt>
                <c:pt idx="6">
                  <c:v>COVER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BASE</c:v>
                </c:pt>
                <c:pt idx="12">
                  <c:v>SLIDER</c:v>
                </c:pt>
                <c:pt idx="13">
                  <c:v>FLOATING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9">
                  <c:v>SEPARATOR</c:v>
                </c:pt>
                <c:pt idx="20">
                  <c:v>BASE</c:v>
                </c:pt>
                <c:pt idx="22">
                  <c:v>COVER</c:v>
                </c:pt>
                <c:pt idx="23">
                  <c:v>BASE</c:v>
                </c:pt>
                <c:pt idx="24">
                  <c:v>COVER</c:v>
                </c:pt>
              </c:strCache>
            </c:strRef>
          </c:cat>
          <c:val>
            <c:numRef>
              <c:f>'08'!$J$6:$J$31</c:f>
              <c:numCache>
                <c:formatCode>_(* #,##0_);_(* \(#,##0\);_(* "-"_);_(@_)</c:formatCode>
                <c:ptCount val="26"/>
                <c:pt idx="0">
                  <c:v>9476</c:v>
                </c:pt>
                <c:pt idx="1">
                  <c:v>5417</c:v>
                </c:pt>
                <c:pt idx="2">
                  <c:v>150</c:v>
                </c:pt>
                <c:pt idx="3">
                  <c:v>150</c:v>
                </c:pt>
                <c:pt idx="4">
                  <c:v>587</c:v>
                </c:pt>
                <c:pt idx="5">
                  <c:v>5331</c:v>
                </c:pt>
                <c:pt idx="6">
                  <c:v>4818</c:v>
                </c:pt>
                <c:pt idx="7">
                  <c:v>9906</c:v>
                </c:pt>
                <c:pt idx="8">
                  <c:v>4296</c:v>
                </c:pt>
                <c:pt idx="9">
                  <c:v>5559</c:v>
                </c:pt>
                <c:pt idx="10">
                  <c:v>398</c:v>
                </c:pt>
                <c:pt idx="11">
                  <c:v>138</c:v>
                </c:pt>
                <c:pt idx="12">
                  <c:v>9350</c:v>
                </c:pt>
                <c:pt idx="13">
                  <c:v>3665</c:v>
                </c:pt>
                <c:pt idx="14">
                  <c:v>10480</c:v>
                </c:pt>
                <c:pt idx="15">
                  <c:v>360</c:v>
                </c:pt>
                <c:pt idx="16">
                  <c:v>10230</c:v>
                </c:pt>
                <c:pt idx="17">
                  <c:v>57712</c:v>
                </c:pt>
                <c:pt idx="18">
                  <c:v>0</c:v>
                </c:pt>
                <c:pt idx="19">
                  <c:v>7084</c:v>
                </c:pt>
                <c:pt idx="20">
                  <c:v>22300</c:v>
                </c:pt>
                <c:pt idx="21">
                  <c:v>248192</c:v>
                </c:pt>
                <c:pt idx="22">
                  <c:v>963</c:v>
                </c:pt>
                <c:pt idx="23">
                  <c:v>8984</c:v>
                </c:pt>
                <c:pt idx="24">
                  <c:v>26944</c:v>
                </c:pt>
                <c:pt idx="25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4-4155-BA7E-8773F95C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'08'!$AD$6:$AD$31</c:f>
              <c:strCache>
                <c:ptCount val="26"/>
                <c:pt idx="0">
                  <c:v>100%</c:v>
                </c:pt>
                <c:pt idx="1">
                  <c:v>100%</c:v>
                </c:pt>
                <c:pt idx="2">
                  <c:v>17%</c:v>
                </c:pt>
                <c:pt idx="3">
                  <c:v>17%</c:v>
                </c:pt>
                <c:pt idx="4">
                  <c:v>29%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88%</c:v>
                </c:pt>
                <c:pt idx="9">
                  <c:v>100%</c:v>
                </c:pt>
                <c:pt idx="10">
                  <c:v>0%</c:v>
                </c:pt>
                <c:pt idx="11">
                  <c:v>17%</c:v>
                </c:pt>
                <c:pt idx="12">
                  <c:v>88%</c:v>
                </c:pt>
                <c:pt idx="13">
                  <c:v>83%</c:v>
                </c:pt>
                <c:pt idx="14">
                  <c:v>100%</c:v>
                </c:pt>
                <c:pt idx="15">
                  <c:v>29%</c:v>
                </c:pt>
                <c:pt idx="16">
                  <c:v>100%</c:v>
                </c:pt>
                <c:pt idx="17">
                  <c:v>92%</c:v>
                </c:pt>
                <c:pt idx="18">
                  <c:v>0%</c:v>
                </c:pt>
                <c:pt idx="19">
                  <c:v>33%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'08'!$D$6:$D$31</c:f>
              <c:strCache>
                <c:ptCount val="25"/>
                <c:pt idx="0">
                  <c:v>BASE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STOPPER</c:v>
                </c:pt>
                <c:pt idx="6">
                  <c:v>COVER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BASE</c:v>
                </c:pt>
                <c:pt idx="12">
                  <c:v>SLIDER</c:v>
                </c:pt>
                <c:pt idx="13">
                  <c:v>FLOATING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9">
                  <c:v>SEPARATOR</c:v>
                </c:pt>
                <c:pt idx="20">
                  <c:v>BASE</c:v>
                </c:pt>
                <c:pt idx="22">
                  <c:v>COVER</c:v>
                </c:pt>
                <c:pt idx="23">
                  <c:v>BASE</c:v>
                </c:pt>
                <c:pt idx="24">
                  <c:v>COVER</c:v>
                </c:pt>
              </c:strCache>
            </c:strRef>
          </c:cat>
          <c:val>
            <c:numRef>
              <c:f>'08'!$AD$6:$AD$31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0.29166666666666669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0.875</c:v>
                </c:pt>
                <c:pt idx="9">
                  <c:v>1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0.875</c:v>
                </c:pt>
                <c:pt idx="13">
                  <c:v>0.83333333333333337</c:v>
                </c:pt>
                <c:pt idx="14">
                  <c:v>1</c:v>
                </c:pt>
                <c:pt idx="15">
                  <c:v>0.29166666666666669</c:v>
                </c:pt>
                <c:pt idx="16">
                  <c:v>1</c:v>
                </c:pt>
                <c:pt idx="17">
                  <c:v>0.91666666666666663</c:v>
                </c:pt>
                <c:pt idx="18">
                  <c:v>0</c:v>
                </c:pt>
                <c:pt idx="19">
                  <c:v>0.33333333333333331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354-82AA-14D86AF18F2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1E-4354-82AA-14D86AF18F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'08'!$D$6:$D$31</c:f>
              <c:strCache>
                <c:ptCount val="25"/>
                <c:pt idx="0">
                  <c:v>BASE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STOPPER</c:v>
                </c:pt>
                <c:pt idx="6">
                  <c:v>COVER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BASE</c:v>
                </c:pt>
                <c:pt idx="12">
                  <c:v>SLIDER</c:v>
                </c:pt>
                <c:pt idx="13">
                  <c:v>FLOATING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9">
                  <c:v>SEPARATOR</c:v>
                </c:pt>
                <c:pt idx="20">
                  <c:v>BASE</c:v>
                </c:pt>
                <c:pt idx="22">
                  <c:v>COVER</c:v>
                </c:pt>
                <c:pt idx="23">
                  <c:v>BASE</c:v>
                </c:pt>
                <c:pt idx="24">
                  <c:v>COVER</c:v>
                </c:pt>
              </c:strCache>
            </c:strRef>
          </c:cat>
          <c:val>
            <c:numRef>
              <c:f>'08'!$AE$6:$AE$31</c:f>
              <c:numCache>
                <c:formatCode>0%</c:formatCode>
                <c:ptCount val="26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0.45833333333333331</c:v>
                </c:pt>
                <c:pt idx="19">
                  <c:v>0.45833333333333331</c:v>
                </c:pt>
                <c:pt idx="20">
                  <c:v>0.45833333333333331</c:v>
                </c:pt>
                <c:pt idx="21">
                  <c:v>0.45833333333333331</c:v>
                </c:pt>
                <c:pt idx="22">
                  <c:v>0.45833333333333331</c:v>
                </c:pt>
                <c:pt idx="23">
                  <c:v>0.45833333333333331</c:v>
                </c:pt>
                <c:pt idx="24">
                  <c:v>0.45833333333333331</c:v>
                </c:pt>
                <c:pt idx="2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E-4354-82AA-14D86AF1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'08'!$D$6:$D$31</c:f>
              <c:strCache>
                <c:ptCount val="25"/>
                <c:pt idx="0">
                  <c:v>BASE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STOPPER</c:v>
                </c:pt>
                <c:pt idx="6">
                  <c:v>COVER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BASE</c:v>
                </c:pt>
                <c:pt idx="12">
                  <c:v>SLIDER</c:v>
                </c:pt>
                <c:pt idx="13">
                  <c:v>FLOATING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9">
                  <c:v>SEPARATOR</c:v>
                </c:pt>
                <c:pt idx="20">
                  <c:v>BASE</c:v>
                </c:pt>
                <c:pt idx="22">
                  <c:v>COVER</c:v>
                </c:pt>
                <c:pt idx="23">
                  <c:v>BASE</c:v>
                </c:pt>
                <c:pt idx="24">
                  <c:v>COVER</c:v>
                </c:pt>
              </c:strCache>
            </c:strRef>
          </c:cat>
          <c:val>
            <c:numRef>
              <c:f>'08'!$L$6:$L$31</c:f>
              <c:numCache>
                <c:formatCode>_(* #,##0_);_(* \(#,##0\);_(* "-"_);_(@_)</c:formatCode>
                <c:ptCount val="26"/>
                <c:pt idx="0">
                  <c:v>9476</c:v>
                </c:pt>
                <c:pt idx="1">
                  <c:v>5417</c:v>
                </c:pt>
                <c:pt idx="2">
                  <c:v>150</c:v>
                </c:pt>
                <c:pt idx="3">
                  <c:v>150</c:v>
                </c:pt>
                <c:pt idx="4">
                  <c:v>587</c:v>
                </c:pt>
                <c:pt idx="5">
                  <c:v>5331</c:v>
                </c:pt>
                <c:pt idx="7">
                  <c:v>9906</c:v>
                </c:pt>
                <c:pt idx="8">
                  <c:v>4296</c:v>
                </c:pt>
                <c:pt idx="9">
                  <c:v>5559</c:v>
                </c:pt>
                <c:pt idx="11">
                  <c:v>138</c:v>
                </c:pt>
                <c:pt idx="12">
                  <c:v>9350</c:v>
                </c:pt>
                <c:pt idx="13">
                  <c:v>3665</c:v>
                </c:pt>
                <c:pt idx="14">
                  <c:v>10480</c:v>
                </c:pt>
                <c:pt idx="15">
                  <c:v>360</c:v>
                </c:pt>
                <c:pt idx="16">
                  <c:v>10230</c:v>
                </c:pt>
                <c:pt idx="17">
                  <c:v>57712</c:v>
                </c:pt>
                <c:pt idx="19">
                  <c:v>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0-4059-8FCA-D3EA290F08DD}"/>
            </c:ext>
          </c:extLst>
        </c:ser>
        <c:ser>
          <c:idx val="1"/>
          <c:order val="1"/>
          <c:tx>
            <c:v>계획</c:v>
          </c:tx>
          <c:cat>
            <c:strRef>
              <c:f>'08'!$D$6:$D$31</c:f>
              <c:strCache>
                <c:ptCount val="25"/>
                <c:pt idx="0">
                  <c:v>BASE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STOPPER</c:v>
                </c:pt>
                <c:pt idx="6">
                  <c:v>COVER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BASE</c:v>
                </c:pt>
                <c:pt idx="12">
                  <c:v>SLIDER</c:v>
                </c:pt>
                <c:pt idx="13">
                  <c:v>FLOATING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9">
                  <c:v>SEPARATOR</c:v>
                </c:pt>
                <c:pt idx="20">
                  <c:v>BASE</c:v>
                </c:pt>
                <c:pt idx="22">
                  <c:v>COVER</c:v>
                </c:pt>
                <c:pt idx="23">
                  <c:v>BASE</c:v>
                </c:pt>
                <c:pt idx="24">
                  <c:v>COVER</c:v>
                </c:pt>
              </c:strCache>
            </c:strRef>
          </c:cat>
          <c:val>
            <c:numRef>
              <c:f>'08'!$J$6:$J$31</c:f>
              <c:numCache>
                <c:formatCode>_(* #,##0_);_(* \(#,##0\);_(* "-"_);_(@_)</c:formatCode>
                <c:ptCount val="26"/>
                <c:pt idx="0">
                  <c:v>9476</c:v>
                </c:pt>
                <c:pt idx="1">
                  <c:v>5417</c:v>
                </c:pt>
                <c:pt idx="2">
                  <c:v>150</c:v>
                </c:pt>
                <c:pt idx="3">
                  <c:v>150</c:v>
                </c:pt>
                <c:pt idx="4">
                  <c:v>587</c:v>
                </c:pt>
                <c:pt idx="5">
                  <c:v>5331</c:v>
                </c:pt>
                <c:pt idx="6">
                  <c:v>4818</c:v>
                </c:pt>
                <c:pt idx="7">
                  <c:v>9906</c:v>
                </c:pt>
                <c:pt idx="8">
                  <c:v>4296</c:v>
                </c:pt>
                <c:pt idx="9">
                  <c:v>5559</c:v>
                </c:pt>
                <c:pt idx="10">
                  <c:v>398</c:v>
                </c:pt>
                <c:pt idx="11">
                  <c:v>138</c:v>
                </c:pt>
                <c:pt idx="12">
                  <c:v>9350</c:v>
                </c:pt>
                <c:pt idx="13">
                  <c:v>3665</c:v>
                </c:pt>
                <c:pt idx="14">
                  <c:v>10480</c:v>
                </c:pt>
                <c:pt idx="15">
                  <c:v>360</c:v>
                </c:pt>
                <c:pt idx="16">
                  <c:v>10230</c:v>
                </c:pt>
                <c:pt idx="17">
                  <c:v>57712</c:v>
                </c:pt>
                <c:pt idx="18">
                  <c:v>0</c:v>
                </c:pt>
                <c:pt idx="19">
                  <c:v>7084</c:v>
                </c:pt>
                <c:pt idx="20">
                  <c:v>22300</c:v>
                </c:pt>
                <c:pt idx="21">
                  <c:v>248192</c:v>
                </c:pt>
                <c:pt idx="22">
                  <c:v>963</c:v>
                </c:pt>
                <c:pt idx="23">
                  <c:v>8984</c:v>
                </c:pt>
                <c:pt idx="24">
                  <c:v>26944</c:v>
                </c:pt>
                <c:pt idx="25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0-4059-8FCA-D3EA290F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'08'!$AD$6:$AD$31</c:f>
              <c:strCache>
                <c:ptCount val="26"/>
                <c:pt idx="0">
                  <c:v>100%</c:v>
                </c:pt>
                <c:pt idx="1">
                  <c:v>100%</c:v>
                </c:pt>
                <c:pt idx="2">
                  <c:v>17%</c:v>
                </c:pt>
                <c:pt idx="3">
                  <c:v>17%</c:v>
                </c:pt>
                <c:pt idx="4">
                  <c:v>29%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88%</c:v>
                </c:pt>
                <c:pt idx="9">
                  <c:v>100%</c:v>
                </c:pt>
                <c:pt idx="10">
                  <c:v>0%</c:v>
                </c:pt>
                <c:pt idx="11">
                  <c:v>17%</c:v>
                </c:pt>
                <c:pt idx="12">
                  <c:v>88%</c:v>
                </c:pt>
                <c:pt idx="13">
                  <c:v>83%</c:v>
                </c:pt>
                <c:pt idx="14">
                  <c:v>100%</c:v>
                </c:pt>
                <c:pt idx="15">
                  <c:v>29%</c:v>
                </c:pt>
                <c:pt idx="16">
                  <c:v>100%</c:v>
                </c:pt>
                <c:pt idx="17">
                  <c:v>92%</c:v>
                </c:pt>
                <c:pt idx="18">
                  <c:v>0%</c:v>
                </c:pt>
                <c:pt idx="19">
                  <c:v>33%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'08'!$D$6:$D$31</c:f>
              <c:strCache>
                <c:ptCount val="25"/>
                <c:pt idx="0">
                  <c:v>BASE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STOPPER</c:v>
                </c:pt>
                <c:pt idx="6">
                  <c:v>COVER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BASE</c:v>
                </c:pt>
                <c:pt idx="12">
                  <c:v>SLIDER</c:v>
                </c:pt>
                <c:pt idx="13">
                  <c:v>FLOATING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9">
                  <c:v>SEPARATOR</c:v>
                </c:pt>
                <c:pt idx="20">
                  <c:v>BASE</c:v>
                </c:pt>
                <c:pt idx="22">
                  <c:v>COVER</c:v>
                </c:pt>
                <c:pt idx="23">
                  <c:v>BASE</c:v>
                </c:pt>
                <c:pt idx="24">
                  <c:v>COVER</c:v>
                </c:pt>
              </c:strCache>
            </c:strRef>
          </c:cat>
          <c:val>
            <c:numRef>
              <c:f>'08'!$AD$6:$AD$31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0.29166666666666669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0.875</c:v>
                </c:pt>
                <c:pt idx="9">
                  <c:v>1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0.875</c:v>
                </c:pt>
                <c:pt idx="13">
                  <c:v>0.83333333333333337</c:v>
                </c:pt>
                <c:pt idx="14">
                  <c:v>1</c:v>
                </c:pt>
                <c:pt idx="15">
                  <c:v>0.29166666666666669</c:v>
                </c:pt>
                <c:pt idx="16">
                  <c:v>1</c:v>
                </c:pt>
                <c:pt idx="17">
                  <c:v>0.91666666666666663</c:v>
                </c:pt>
                <c:pt idx="18">
                  <c:v>0</c:v>
                </c:pt>
                <c:pt idx="19">
                  <c:v>0.33333333333333331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1-4BAF-B978-4024CAACBEA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91-4BAF-B978-4024CAACBE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'08'!$D$6:$D$31</c:f>
              <c:strCache>
                <c:ptCount val="25"/>
                <c:pt idx="0">
                  <c:v>BASE</c:v>
                </c:pt>
                <c:pt idx="1">
                  <c:v>ADAPTER</c:v>
                </c:pt>
                <c:pt idx="2">
                  <c:v>BASE</c:v>
                </c:pt>
                <c:pt idx="3">
                  <c:v>BASE</c:v>
                </c:pt>
                <c:pt idx="4">
                  <c:v>BASE</c:v>
                </c:pt>
                <c:pt idx="5">
                  <c:v>STOPPER</c:v>
                </c:pt>
                <c:pt idx="6">
                  <c:v>COVER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BASE</c:v>
                </c:pt>
                <c:pt idx="12">
                  <c:v>SLIDER</c:v>
                </c:pt>
                <c:pt idx="13">
                  <c:v>FLOATING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9">
                  <c:v>SEPARATOR</c:v>
                </c:pt>
                <c:pt idx="20">
                  <c:v>BASE</c:v>
                </c:pt>
                <c:pt idx="22">
                  <c:v>COVER</c:v>
                </c:pt>
                <c:pt idx="23">
                  <c:v>BASE</c:v>
                </c:pt>
                <c:pt idx="24">
                  <c:v>COVER</c:v>
                </c:pt>
              </c:strCache>
            </c:strRef>
          </c:cat>
          <c:val>
            <c:numRef>
              <c:f>'08'!$AE$6:$AE$31</c:f>
              <c:numCache>
                <c:formatCode>0%</c:formatCode>
                <c:ptCount val="26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0.45833333333333331</c:v>
                </c:pt>
                <c:pt idx="19">
                  <c:v>0.45833333333333331</c:v>
                </c:pt>
                <c:pt idx="20">
                  <c:v>0.45833333333333331</c:v>
                </c:pt>
                <c:pt idx="21">
                  <c:v>0.45833333333333331</c:v>
                </c:pt>
                <c:pt idx="22">
                  <c:v>0.45833333333333331</c:v>
                </c:pt>
                <c:pt idx="23">
                  <c:v>0.45833333333333331</c:v>
                </c:pt>
                <c:pt idx="24">
                  <c:v>0.45833333333333331</c:v>
                </c:pt>
                <c:pt idx="2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1-4BAF-B978-4024CAACB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BODY/LID</c:v>
                </c:pt>
                <c:pt idx="8">
                  <c:v>COVER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'01'!$L$6:$L$30</c:f>
              <c:numCache>
                <c:formatCode>_(* #,##0_);_(* \(#,##0\);_(* "-"_);_(@_)</c:formatCode>
                <c:ptCount val="25"/>
                <c:pt idx="0">
                  <c:v>8904</c:v>
                </c:pt>
                <c:pt idx="2">
                  <c:v>835</c:v>
                </c:pt>
                <c:pt idx="3">
                  <c:v>4988</c:v>
                </c:pt>
                <c:pt idx="4">
                  <c:v>3392</c:v>
                </c:pt>
                <c:pt idx="5">
                  <c:v>428</c:v>
                </c:pt>
                <c:pt idx="6">
                  <c:v>5031</c:v>
                </c:pt>
                <c:pt idx="7">
                  <c:v>1084</c:v>
                </c:pt>
                <c:pt idx="9">
                  <c:v>11258</c:v>
                </c:pt>
                <c:pt idx="10">
                  <c:v>8950</c:v>
                </c:pt>
                <c:pt idx="11">
                  <c:v>14416</c:v>
                </c:pt>
                <c:pt idx="12">
                  <c:v>5152</c:v>
                </c:pt>
                <c:pt idx="13">
                  <c:v>363</c:v>
                </c:pt>
                <c:pt idx="14">
                  <c:v>432</c:v>
                </c:pt>
                <c:pt idx="15">
                  <c:v>8040</c:v>
                </c:pt>
                <c:pt idx="16">
                  <c:v>50936</c:v>
                </c:pt>
                <c:pt idx="20">
                  <c:v>155736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8-4ECB-8847-17215DCEC541}"/>
            </c:ext>
          </c:extLst>
        </c:ser>
        <c:ser>
          <c:idx val="1"/>
          <c:order val="1"/>
          <c:tx>
            <c:v>계획</c:v>
          </c:tx>
          <c:cat>
            <c:strRef>
              <c:f>'01'!$D$6:$D$30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BODY/LID</c:v>
                </c:pt>
                <c:pt idx="8">
                  <c:v>COVER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'01'!$J$6:$J$30</c:f>
              <c:numCache>
                <c:formatCode>_(* #,##0_);_(* \(#,##0\);_(* "-"_);_(@_)</c:formatCode>
                <c:ptCount val="25"/>
                <c:pt idx="0">
                  <c:v>8904</c:v>
                </c:pt>
                <c:pt idx="1">
                  <c:v>200</c:v>
                </c:pt>
                <c:pt idx="2">
                  <c:v>835</c:v>
                </c:pt>
                <c:pt idx="3">
                  <c:v>4988</c:v>
                </c:pt>
                <c:pt idx="4">
                  <c:v>3392</c:v>
                </c:pt>
                <c:pt idx="5">
                  <c:v>428</c:v>
                </c:pt>
                <c:pt idx="6">
                  <c:v>5031</c:v>
                </c:pt>
                <c:pt idx="7">
                  <c:v>1084</c:v>
                </c:pt>
                <c:pt idx="8">
                  <c:v>211</c:v>
                </c:pt>
                <c:pt idx="9">
                  <c:v>11258</c:v>
                </c:pt>
                <c:pt idx="10">
                  <c:v>8950</c:v>
                </c:pt>
                <c:pt idx="11">
                  <c:v>14416</c:v>
                </c:pt>
                <c:pt idx="12">
                  <c:v>5152</c:v>
                </c:pt>
                <c:pt idx="13">
                  <c:v>363</c:v>
                </c:pt>
                <c:pt idx="14">
                  <c:v>363</c:v>
                </c:pt>
                <c:pt idx="15">
                  <c:v>8040</c:v>
                </c:pt>
                <c:pt idx="16">
                  <c:v>50936</c:v>
                </c:pt>
                <c:pt idx="17">
                  <c:v>0</c:v>
                </c:pt>
                <c:pt idx="18">
                  <c:v>7513</c:v>
                </c:pt>
                <c:pt idx="19">
                  <c:v>22300</c:v>
                </c:pt>
                <c:pt idx="20">
                  <c:v>155736</c:v>
                </c:pt>
                <c:pt idx="21">
                  <c:v>13428</c:v>
                </c:pt>
                <c:pt idx="22">
                  <c:v>8984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8-4ECB-8847-17215DC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078-43A8-B010-ADE4873162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8-43A8-B010-ADE48731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078-43A8-B010-ADE4873162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8-43A8-B010-ADE48731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1">
                  <c:v>SLIDER</c:v>
                </c:pt>
                <c:pt idx="12">
                  <c:v>FLOATING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'09'!$L$6:$L$30</c:f>
              <c:numCache>
                <c:formatCode>_(* #,##0_);_(* \(#,##0\);_(* "-"_);_(@_)</c:formatCode>
                <c:ptCount val="25"/>
                <c:pt idx="0">
                  <c:v>9700</c:v>
                </c:pt>
                <c:pt idx="1">
                  <c:v>5577</c:v>
                </c:pt>
                <c:pt idx="2">
                  <c:v>104</c:v>
                </c:pt>
                <c:pt idx="3">
                  <c:v>5350</c:v>
                </c:pt>
                <c:pt idx="5">
                  <c:v>1633</c:v>
                </c:pt>
                <c:pt idx="6">
                  <c:v>1575</c:v>
                </c:pt>
                <c:pt idx="7">
                  <c:v>5172</c:v>
                </c:pt>
                <c:pt idx="8">
                  <c:v>5974</c:v>
                </c:pt>
                <c:pt idx="10">
                  <c:v>22472</c:v>
                </c:pt>
                <c:pt idx="11">
                  <c:v>9873</c:v>
                </c:pt>
                <c:pt idx="13">
                  <c:v>11444</c:v>
                </c:pt>
                <c:pt idx="14">
                  <c:v>4820</c:v>
                </c:pt>
                <c:pt idx="15">
                  <c:v>10310</c:v>
                </c:pt>
                <c:pt idx="16">
                  <c:v>63776</c:v>
                </c:pt>
                <c:pt idx="18">
                  <c:v>2888</c:v>
                </c:pt>
                <c:pt idx="20">
                  <c:v>30240</c:v>
                </c:pt>
                <c:pt idx="21">
                  <c:v>15220</c:v>
                </c:pt>
                <c:pt idx="22">
                  <c:v>15632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A-487A-AECD-386851773ACC}"/>
            </c:ext>
          </c:extLst>
        </c:ser>
        <c:ser>
          <c:idx val="1"/>
          <c:order val="1"/>
          <c:tx>
            <c:v>계획</c:v>
          </c:tx>
          <c:cat>
            <c:strRef>
              <c:f>'09'!$D$6:$D$30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1">
                  <c:v>SLIDER</c:v>
                </c:pt>
                <c:pt idx="12">
                  <c:v>FLOATING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'09'!$J$6:$J$30</c:f>
              <c:numCache>
                <c:formatCode>_(* #,##0_);_(* \(#,##0\);_(* "-"_);_(@_)</c:formatCode>
                <c:ptCount val="25"/>
                <c:pt idx="0">
                  <c:v>9700</c:v>
                </c:pt>
                <c:pt idx="1">
                  <c:v>5577</c:v>
                </c:pt>
                <c:pt idx="2">
                  <c:v>104</c:v>
                </c:pt>
                <c:pt idx="3">
                  <c:v>5350</c:v>
                </c:pt>
                <c:pt idx="4">
                  <c:v>4818</c:v>
                </c:pt>
                <c:pt idx="5">
                  <c:v>1633</c:v>
                </c:pt>
                <c:pt idx="6">
                  <c:v>1575</c:v>
                </c:pt>
                <c:pt idx="7">
                  <c:v>5172</c:v>
                </c:pt>
                <c:pt idx="8">
                  <c:v>5974</c:v>
                </c:pt>
                <c:pt idx="9">
                  <c:v>398</c:v>
                </c:pt>
                <c:pt idx="10">
                  <c:v>22472</c:v>
                </c:pt>
                <c:pt idx="11">
                  <c:v>9873</c:v>
                </c:pt>
                <c:pt idx="12">
                  <c:v>3665</c:v>
                </c:pt>
                <c:pt idx="13">
                  <c:v>11444</c:v>
                </c:pt>
                <c:pt idx="14">
                  <c:v>4820</c:v>
                </c:pt>
                <c:pt idx="15">
                  <c:v>10310</c:v>
                </c:pt>
                <c:pt idx="16">
                  <c:v>63776</c:v>
                </c:pt>
                <c:pt idx="17">
                  <c:v>0</c:v>
                </c:pt>
                <c:pt idx="18">
                  <c:v>2888</c:v>
                </c:pt>
                <c:pt idx="19">
                  <c:v>22300</c:v>
                </c:pt>
                <c:pt idx="20">
                  <c:v>30240</c:v>
                </c:pt>
                <c:pt idx="21">
                  <c:v>15220</c:v>
                </c:pt>
                <c:pt idx="22">
                  <c:v>15632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A-487A-AECD-38685177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'09'!$AD$6:$AD$30</c:f>
              <c:strCache>
                <c:ptCount val="25"/>
                <c:pt idx="0">
                  <c:v>92%</c:v>
                </c:pt>
                <c:pt idx="1">
                  <c:v>100%</c:v>
                </c:pt>
                <c:pt idx="2">
                  <c:v>17%</c:v>
                </c:pt>
                <c:pt idx="3">
                  <c:v>100%</c:v>
                </c:pt>
                <c:pt idx="4">
                  <c:v>0%</c:v>
                </c:pt>
                <c:pt idx="5">
                  <c:v>33%</c:v>
                </c:pt>
                <c:pt idx="6">
                  <c:v>38%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83%</c:v>
                </c:pt>
                <c:pt idx="11">
                  <c:v>92%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17%</c:v>
                </c:pt>
                <c:pt idx="19">
                  <c:v>0%</c:v>
                </c:pt>
                <c:pt idx="20">
                  <c:v>96%</c:v>
                </c:pt>
                <c:pt idx="21">
                  <c:v>67%</c:v>
                </c:pt>
                <c:pt idx="22">
                  <c:v>67%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1">
                  <c:v>SLIDER</c:v>
                </c:pt>
                <c:pt idx="12">
                  <c:v>FLOATING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'09'!$AD$6:$AD$30</c:f>
              <c:numCache>
                <c:formatCode>0%</c:formatCode>
                <c:ptCount val="25"/>
                <c:pt idx="0">
                  <c:v>0.91666666666666663</c:v>
                </c:pt>
                <c:pt idx="1">
                  <c:v>1</c:v>
                </c:pt>
                <c:pt idx="2">
                  <c:v>0.16666666666666666</c:v>
                </c:pt>
                <c:pt idx="3">
                  <c:v>1</c:v>
                </c:pt>
                <c:pt idx="4">
                  <c:v>0</c:v>
                </c:pt>
                <c:pt idx="5">
                  <c:v>0.33333333333333331</c:v>
                </c:pt>
                <c:pt idx="6">
                  <c:v>0.375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0.16666666666666666</c:v>
                </c:pt>
                <c:pt idx="19">
                  <c:v>0</c:v>
                </c:pt>
                <c:pt idx="20">
                  <c:v>0.95833333333333337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C-4B7B-8719-3E28000B08B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FC-4B7B-8719-3E28000B08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1">
                  <c:v>SLIDER</c:v>
                </c:pt>
                <c:pt idx="12">
                  <c:v>FLOATING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'09'!$AE$6:$AE$30</c:f>
              <c:numCache>
                <c:formatCode>0%</c:formatCode>
                <c:ptCount val="25"/>
                <c:pt idx="0">
                  <c:v>0.55999999999999994</c:v>
                </c:pt>
                <c:pt idx="1">
                  <c:v>0.55999999999999994</c:v>
                </c:pt>
                <c:pt idx="2">
                  <c:v>0.55999999999999994</c:v>
                </c:pt>
                <c:pt idx="3">
                  <c:v>0.55999999999999994</c:v>
                </c:pt>
                <c:pt idx="4">
                  <c:v>0.55999999999999994</c:v>
                </c:pt>
                <c:pt idx="5">
                  <c:v>0.55999999999999994</c:v>
                </c:pt>
                <c:pt idx="6">
                  <c:v>0.55999999999999994</c:v>
                </c:pt>
                <c:pt idx="7">
                  <c:v>0.55999999999999994</c:v>
                </c:pt>
                <c:pt idx="8">
                  <c:v>0.55999999999999994</c:v>
                </c:pt>
                <c:pt idx="9">
                  <c:v>0.55999999999999994</c:v>
                </c:pt>
                <c:pt idx="10">
                  <c:v>0.55999999999999994</c:v>
                </c:pt>
                <c:pt idx="11">
                  <c:v>0.55999999999999994</c:v>
                </c:pt>
                <c:pt idx="12">
                  <c:v>0.55999999999999994</c:v>
                </c:pt>
                <c:pt idx="13">
                  <c:v>0.55999999999999994</c:v>
                </c:pt>
                <c:pt idx="14">
                  <c:v>0.55999999999999994</c:v>
                </c:pt>
                <c:pt idx="15">
                  <c:v>0.55999999999999994</c:v>
                </c:pt>
                <c:pt idx="16">
                  <c:v>0.55999999999999994</c:v>
                </c:pt>
                <c:pt idx="17">
                  <c:v>0.55999999999999994</c:v>
                </c:pt>
                <c:pt idx="18">
                  <c:v>0.55999999999999994</c:v>
                </c:pt>
                <c:pt idx="19">
                  <c:v>0.55999999999999994</c:v>
                </c:pt>
                <c:pt idx="20">
                  <c:v>0.55999999999999994</c:v>
                </c:pt>
                <c:pt idx="21">
                  <c:v>0.55999999999999994</c:v>
                </c:pt>
                <c:pt idx="22">
                  <c:v>0.55999999999999994</c:v>
                </c:pt>
                <c:pt idx="23">
                  <c:v>0.55999999999999994</c:v>
                </c:pt>
                <c:pt idx="24">
                  <c:v>0.55999999999999994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C-4B7B-8719-3E28000B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1">
                  <c:v>SLIDER</c:v>
                </c:pt>
                <c:pt idx="12">
                  <c:v>FLOATING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'09'!$L$6:$L$30</c:f>
              <c:numCache>
                <c:formatCode>_(* #,##0_);_(* \(#,##0\);_(* "-"_);_(@_)</c:formatCode>
                <c:ptCount val="25"/>
                <c:pt idx="0">
                  <c:v>9700</c:v>
                </c:pt>
                <c:pt idx="1">
                  <c:v>5577</c:v>
                </c:pt>
                <c:pt idx="2">
                  <c:v>104</c:v>
                </c:pt>
                <c:pt idx="3">
                  <c:v>5350</c:v>
                </c:pt>
                <c:pt idx="5">
                  <c:v>1633</c:v>
                </c:pt>
                <c:pt idx="6">
                  <c:v>1575</c:v>
                </c:pt>
                <c:pt idx="7">
                  <c:v>5172</c:v>
                </c:pt>
                <c:pt idx="8">
                  <c:v>5974</c:v>
                </c:pt>
                <c:pt idx="10">
                  <c:v>22472</c:v>
                </c:pt>
                <c:pt idx="11">
                  <c:v>9873</c:v>
                </c:pt>
                <c:pt idx="13">
                  <c:v>11444</c:v>
                </c:pt>
                <c:pt idx="14">
                  <c:v>4820</c:v>
                </c:pt>
                <c:pt idx="15">
                  <c:v>10310</c:v>
                </c:pt>
                <c:pt idx="16">
                  <c:v>63776</c:v>
                </c:pt>
                <c:pt idx="18">
                  <c:v>2888</c:v>
                </c:pt>
                <c:pt idx="20">
                  <c:v>30240</c:v>
                </c:pt>
                <c:pt idx="21">
                  <c:v>15220</c:v>
                </c:pt>
                <c:pt idx="22">
                  <c:v>15632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C-4352-8800-93362A71C81C}"/>
            </c:ext>
          </c:extLst>
        </c:ser>
        <c:ser>
          <c:idx val="1"/>
          <c:order val="1"/>
          <c:tx>
            <c:v>계획</c:v>
          </c:tx>
          <c:cat>
            <c:strRef>
              <c:f>'09'!$D$6:$D$30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1">
                  <c:v>SLIDER</c:v>
                </c:pt>
                <c:pt idx="12">
                  <c:v>FLOATING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'09'!$J$6:$J$30</c:f>
              <c:numCache>
                <c:formatCode>_(* #,##0_);_(* \(#,##0\);_(* "-"_);_(@_)</c:formatCode>
                <c:ptCount val="25"/>
                <c:pt idx="0">
                  <c:v>9700</c:v>
                </c:pt>
                <c:pt idx="1">
                  <c:v>5577</c:v>
                </c:pt>
                <c:pt idx="2">
                  <c:v>104</c:v>
                </c:pt>
                <c:pt idx="3">
                  <c:v>5350</c:v>
                </c:pt>
                <c:pt idx="4">
                  <c:v>4818</c:v>
                </c:pt>
                <c:pt idx="5">
                  <c:v>1633</c:v>
                </c:pt>
                <c:pt idx="6">
                  <c:v>1575</c:v>
                </c:pt>
                <c:pt idx="7">
                  <c:v>5172</c:v>
                </c:pt>
                <c:pt idx="8">
                  <c:v>5974</c:v>
                </c:pt>
                <c:pt idx="9">
                  <c:v>398</c:v>
                </c:pt>
                <c:pt idx="10">
                  <c:v>22472</c:v>
                </c:pt>
                <c:pt idx="11">
                  <c:v>9873</c:v>
                </c:pt>
                <c:pt idx="12">
                  <c:v>3665</c:v>
                </c:pt>
                <c:pt idx="13">
                  <c:v>11444</c:v>
                </c:pt>
                <c:pt idx="14">
                  <c:v>4820</c:v>
                </c:pt>
                <c:pt idx="15">
                  <c:v>10310</c:v>
                </c:pt>
                <c:pt idx="16">
                  <c:v>63776</c:v>
                </c:pt>
                <c:pt idx="17">
                  <c:v>0</c:v>
                </c:pt>
                <c:pt idx="18">
                  <c:v>2888</c:v>
                </c:pt>
                <c:pt idx="19">
                  <c:v>22300</c:v>
                </c:pt>
                <c:pt idx="20">
                  <c:v>30240</c:v>
                </c:pt>
                <c:pt idx="21">
                  <c:v>15220</c:v>
                </c:pt>
                <c:pt idx="22">
                  <c:v>15632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C-4352-8800-93362A71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'09'!$AD$6:$AD$30</c:f>
              <c:strCache>
                <c:ptCount val="25"/>
                <c:pt idx="0">
                  <c:v>92%</c:v>
                </c:pt>
                <c:pt idx="1">
                  <c:v>100%</c:v>
                </c:pt>
                <c:pt idx="2">
                  <c:v>17%</c:v>
                </c:pt>
                <c:pt idx="3">
                  <c:v>100%</c:v>
                </c:pt>
                <c:pt idx="4">
                  <c:v>0%</c:v>
                </c:pt>
                <c:pt idx="5">
                  <c:v>33%</c:v>
                </c:pt>
                <c:pt idx="6">
                  <c:v>38%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83%</c:v>
                </c:pt>
                <c:pt idx="11">
                  <c:v>92%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17%</c:v>
                </c:pt>
                <c:pt idx="19">
                  <c:v>0%</c:v>
                </c:pt>
                <c:pt idx="20">
                  <c:v>96%</c:v>
                </c:pt>
                <c:pt idx="21">
                  <c:v>67%</c:v>
                </c:pt>
                <c:pt idx="22">
                  <c:v>67%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1">
                  <c:v>SLIDER</c:v>
                </c:pt>
                <c:pt idx="12">
                  <c:v>FLOATING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'09'!$AD$6:$AD$30</c:f>
              <c:numCache>
                <c:formatCode>0%</c:formatCode>
                <c:ptCount val="25"/>
                <c:pt idx="0">
                  <c:v>0.91666666666666663</c:v>
                </c:pt>
                <c:pt idx="1">
                  <c:v>1</c:v>
                </c:pt>
                <c:pt idx="2">
                  <c:v>0.16666666666666666</c:v>
                </c:pt>
                <c:pt idx="3">
                  <c:v>1</c:v>
                </c:pt>
                <c:pt idx="4">
                  <c:v>0</c:v>
                </c:pt>
                <c:pt idx="5">
                  <c:v>0.33333333333333331</c:v>
                </c:pt>
                <c:pt idx="6">
                  <c:v>0.375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0.16666666666666666</c:v>
                </c:pt>
                <c:pt idx="19">
                  <c:v>0</c:v>
                </c:pt>
                <c:pt idx="20">
                  <c:v>0.95833333333333337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F7D-AF6E-5425B277B0A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B5-4F7D-AF6E-5425B277B0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1">
                  <c:v>SLIDER</c:v>
                </c:pt>
                <c:pt idx="12">
                  <c:v>FLOATING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'09'!$AE$6:$AE$30</c:f>
              <c:numCache>
                <c:formatCode>0%</c:formatCode>
                <c:ptCount val="25"/>
                <c:pt idx="0">
                  <c:v>0.55999999999999994</c:v>
                </c:pt>
                <c:pt idx="1">
                  <c:v>0.55999999999999994</c:v>
                </c:pt>
                <c:pt idx="2">
                  <c:v>0.55999999999999994</c:v>
                </c:pt>
                <c:pt idx="3">
                  <c:v>0.55999999999999994</c:v>
                </c:pt>
                <c:pt idx="4">
                  <c:v>0.55999999999999994</c:v>
                </c:pt>
                <c:pt idx="5">
                  <c:v>0.55999999999999994</c:v>
                </c:pt>
                <c:pt idx="6">
                  <c:v>0.55999999999999994</c:v>
                </c:pt>
                <c:pt idx="7">
                  <c:v>0.55999999999999994</c:v>
                </c:pt>
                <c:pt idx="8">
                  <c:v>0.55999999999999994</c:v>
                </c:pt>
                <c:pt idx="9">
                  <c:v>0.55999999999999994</c:v>
                </c:pt>
                <c:pt idx="10">
                  <c:v>0.55999999999999994</c:v>
                </c:pt>
                <c:pt idx="11">
                  <c:v>0.55999999999999994</c:v>
                </c:pt>
                <c:pt idx="12">
                  <c:v>0.55999999999999994</c:v>
                </c:pt>
                <c:pt idx="13">
                  <c:v>0.55999999999999994</c:v>
                </c:pt>
                <c:pt idx="14">
                  <c:v>0.55999999999999994</c:v>
                </c:pt>
                <c:pt idx="15">
                  <c:v>0.55999999999999994</c:v>
                </c:pt>
                <c:pt idx="16">
                  <c:v>0.55999999999999994</c:v>
                </c:pt>
                <c:pt idx="17">
                  <c:v>0.55999999999999994</c:v>
                </c:pt>
                <c:pt idx="18">
                  <c:v>0.55999999999999994</c:v>
                </c:pt>
                <c:pt idx="19">
                  <c:v>0.55999999999999994</c:v>
                </c:pt>
                <c:pt idx="20">
                  <c:v>0.55999999999999994</c:v>
                </c:pt>
                <c:pt idx="21">
                  <c:v>0.55999999999999994</c:v>
                </c:pt>
                <c:pt idx="22">
                  <c:v>0.55999999999999994</c:v>
                </c:pt>
                <c:pt idx="23">
                  <c:v>0.55999999999999994</c:v>
                </c:pt>
                <c:pt idx="24">
                  <c:v>0.55999999999999994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F7D-AF6E-5425B277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77A-49B6-B511-8B4A4B108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A-49B6-B511-8B4A4B10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77A-49B6-B511-8B4A4B108E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A-49B6-B511-8B4A4B10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'10'!$D$6:$D$29</c:f>
              <c:strCache>
                <c:ptCount val="23"/>
                <c:pt idx="0">
                  <c:v>SLIDER</c:v>
                </c:pt>
                <c:pt idx="1">
                  <c:v>LID</c:v>
                </c:pt>
                <c:pt idx="2">
                  <c:v>BASE</c:v>
                </c:pt>
                <c:pt idx="3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'10'!$L$6:$L$29</c:f>
              <c:numCache>
                <c:formatCode>_(* #,##0_);_(* \(#,##0\);_(* "-"_);_(@_)</c:formatCode>
                <c:ptCount val="24"/>
                <c:pt idx="1">
                  <c:v>14072</c:v>
                </c:pt>
                <c:pt idx="2">
                  <c:v>747</c:v>
                </c:pt>
                <c:pt idx="3">
                  <c:v>4338</c:v>
                </c:pt>
                <c:pt idx="4">
                  <c:v>4147</c:v>
                </c:pt>
                <c:pt idx="6">
                  <c:v>5278</c:v>
                </c:pt>
                <c:pt idx="7">
                  <c:v>5731</c:v>
                </c:pt>
                <c:pt idx="8">
                  <c:v>421</c:v>
                </c:pt>
                <c:pt idx="9">
                  <c:v>34740</c:v>
                </c:pt>
                <c:pt idx="10">
                  <c:v>10572</c:v>
                </c:pt>
                <c:pt idx="12">
                  <c:v>11648</c:v>
                </c:pt>
                <c:pt idx="13">
                  <c:v>4931</c:v>
                </c:pt>
                <c:pt idx="14">
                  <c:v>11068</c:v>
                </c:pt>
                <c:pt idx="15">
                  <c:v>65248</c:v>
                </c:pt>
                <c:pt idx="20">
                  <c:v>23840</c:v>
                </c:pt>
                <c:pt idx="21">
                  <c:v>12648</c:v>
                </c:pt>
                <c:pt idx="22">
                  <c:v>27916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E-4591-8B92-4F00C0F935F7}"/>
            </c:ext>
          </c:extLst>
        </c:ser>
        <c:ser>
          <c:idx val="1"/>
          <c:order val="1"/>
          <c:tx>
            <c:v>계획</c:v>
          </c:tx>
          <c:cat>
            <c:strRef>
              <c:f>'10'!$D$6:$D$29</c:f>
              <c:strCache>
                <c:ptCount val="23"/>
                <c:pt idx="0">
                  <c:v>SLIDER</c:v>
                </c:pt>
                <c:pt idx="1">
                  <c:v>LID</c:v>
                </c:pt>
                <c:pt idx="2">
                  <c:v>BASE</c:v>
                </c:pt>
                <c:pt idx="3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'10'!$J$6:$J$29</c:f>
              <c:numCache>
                <c:formatCode>_(* #,##0_);_(* \(#,##0\);_(* "-"_);_(@_)</c:formatCode>
                <c:ptCount val="24"/>
                <c:pt idx="0">
                  <c:v>9700</c:v>
                </c:pt>
                <c:pt idx="1">
                  <c:v>14072</c:v>
                </c:pt>
                <c:pt idx="2">
                  <c:v>747</c:v>
                </c:pt>
                <c:pt idx="3">
                  <c:v>4338</c:v>
                </c:pt>
                <c:pt idx="4">
                  <c:v>4147</c:v>
                </c:pt>
                <c:pt idx="5">
                  <c:v>1575</c:v>
                </c:pt>
                <c:pt idx="6">
                  <c:v>5278</c:v>
                </c:pt>
                <c:pt idx="7">
                  <c:v>5731</c:v>
                </c:pt>
                <c:pt idx="8">
                  <c:v>421</c:v>
                </c:pt>
                <c:pt idx="9">
                  <c:v>34740</c:v>
                </c:pt>
                <c:pt idx="10">
                  <c:v>10572</c:v>
                </c:pt>
                <c:pt idx="11">
                  <c:v>3665</c:v>
                </c:pt>
                <c:pt idx="12">
                  <c:v>11648</c:v>
                </c:pt>
                <c:pt idx="13">
                  <c:v>4931</c:v>
                </c:pt>
                <c:pt idx="14">
                  <c:v>11068</c:v>
                </c:pt>
                <c:pt idx="15">
                  <c:v>65248</c:v>
                </c:pt>
                <c:pt idx="16">
                  <c:v>0</c:v>
                </c:pt>
                <c:pt idx="17">
                  <c:v>2888</c:v>
                </c:pt>
                <c:pt idx="18">
                  <c:v>22300</c:v>
                </c:pt>
                <c:pt idx="19">
                  <c:v>30240</c:v>
                </c:pt>
                <c:pt idx="20">
                  <c:v>23840</c:v>
                </c:pt>
                <c:pt idx="21">
                  <c:v>12648</c:v>
                </c:pt>
                <c:pt idx="22">
                  <c:v>27916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E-4591-8B92-4F00C0F9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'10'!$AD$6:$AD$29</c:f>
              <c:strCache>
                <c:ptCount val="24"/>
                <c:pt idx="0">
                  <c:v>0%</c:v>
                </c:pt>
                <c:pt idx="1">
                  <c:v>63%</c:v>
                </c:pt>
                <c:pt idx="2">
                  <c:v>29%</c:v>
                </c:pt>
                <c:pt idx="3">
                  <c:v>83%</c:v>
                </c:pt>
                <c:pt idx="4">
                  <c:v>88%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54%</c:v>
                </c:pt>
                <c:pt idx="9">
                  <c:v>100%</c:v>
                </c:pt>
                <c:pt idx="10">
                  <c:v>92%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100%</c:v>
                </c:pt>
                <c:pt idx="21">
                  <c:v>88%</c:v>
                </c:pt>
                <c:pt idx="22">
                  <c:v>100%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'10'!$D$6:$D$29</c:f>
              <c:strCache>
                <c:ptCount val="23"/>
                <c:pt idx="0">
                  <c:v>SLIDER</c:v>
                </c:pt>
                <c:pt idx="1">
                  <c:v>LID</c:v>
                </c:pt>
                <c:pt idx="2">
                  <c:v>BASE</c:v>
                </c:pt>
                <c:pt idx="3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'10'!$AD$6:$AD$29</c:f>
              <c:numCache>
                <c:formatCode>0%</c:formatCode>
                <c:ptCount val="24"/>
                <c:pt idx="0">
                  <c:v>0</c:v>
                </c:pt>
                <c:pt idx="1">
                  <c:v>0.625</c:v>
                </c:pt>
                <c:pt idx="2">
                  <c:v>0.29166666666666669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0.54166666666666663</c:v>
                </c:pt>
                <c:pt idx="9">
                  <c:v>1</c:v>
                </c:pt>
                <c:pt idx="10">
                  <c:v>0.91666666666666663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0.875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D-4378-A5F8-24C5C06CB17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8D-4378-A5F8-24C5C06CB1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'10'!$D$6:$D$29</c:f>
              <c:strCache>
                <c:ptCount val="23"/>
                <c:pt idx="0">
                  <c:v>SLIDER</c:v>
                </c:pt>
                <c:pt idx="1">
                  <c:v>LID</c:v>
                </c:pt>
                <c:pt idx="2">
                  <c:v>BASE</c:v>
                </c:pt>
                <c:pt idx="3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'10'!$AE$6:$AE$29</c:f>
              <c:numCache>
                <c:formatCode>0%</c:formatCode>
                <c:ptCount val="24"/>
                <c:pt idx="0">
                  <c:v>0.58159722222222221</c:v>
                </c:pt>
                <c:pt idx="1">
                  <c:v>0.58159722222222221</c:v>
                </c:pt>
                <c:pt idx="2">
                  <c:v>0.58159722222222221</c:v>
                </c:pt>
                <c:pt idx="3">
                  <c:v>0.58159722222222221</c:v>
                </c:pt>
                <c:pt idx="4">
                  <c:v>0.58159722222222221</c:v>
                </c:pt>
                <c:pt idx="5">
                  <c:v>0.58159722222222221</c:v>
                </c:pt>
                <c:pt idx="6">
                  <c:v>0.58159722222222221</c:v>
                </c:pt>
                <c:pt idx="7">
                  <c:v>0.58159722222222221</c:v>
                </c:pt>
                <c:pt idx="8">
                  <c:v>0.58159722222222221</c:v>
                </c:pt>
                <c:pt idx="9">
                  <c:v>0.58159722222222221</c:v>
                </c:pt>
                <c:pt idx="10">
                  <c:v>0.58159722222222221</c:v>
                </c:pt>
                <c:pt idx="11">
                  <c:v>0.58159722222222221</c:v>
                </c:pt>
                <c:pt idx="12">
                  <c:v>0.58159722222222221</c:v>
                </c:pt>
                <c:pt idx="13">
                  <c:v>0.58159722222222221</c:v>
                </c:pt>
                <c:pt idx="14">
                  <c:v>0.58159722222222221</c:v>
                </c:pt>
                <c:pt idx="15">
                  <c:v>0.58159722222222221</c:v>
                </c:pt>
                <c:pt idx="16">
                  <c:v>0.58159722222222221</c:v>
                </c:pt>
                <c:pt idx="17">
                  <c:v>0.58159722222222221</c:v>
                </c:pt>
                <c:pt idx="18">
                  <c:v>0.58159722222222221</c:v>
                </c:pt>
                <c:pt idx="19">
                  <c:v>0.58159722222222221</c:v>
                </c:pt>
                <c:pt idx="20">
                  <c:v>0.58159722222222221</c:v>
                </c:pt>
                <c:pt idx="21">
                  <c:v>0.58159722222222221</c:v>
                </c:pt>
                <c:pt idx="22">
                  <c:v>0.58159722222222221</c:v>
                </c:pt>
                <c:pt idx="23">
                  <c:v>0.58159722222222221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D-4378-A5F8-24C5C06C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'10'!$D$6:$D$29</c:f>
              <c:strCache>
                <c:ptCount val="23"/>
                <c:pt idx="0">
                  <c:v>SLIDER</c:v>
                </c:pt>
                <c:pt idx="1">
                  <c:v>LID</c:v>
                </c:pt>
                <c:pt idx="2">
                  <c:v>BASE</c:v>
                </c:pt>
                <c:pt idx="3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'10'!$L$6:$L$29</c:f>
              <c:numCache>
                <c:formatCode>_(* #,##0_);_(* \(#,##0\);_(* "-"_);_(@_)</c:formatCode>
                <c:ptCount val="24"/>
                <c:pt idx="1">
                  <c:v>14072</c:v>
                </c:pt>
                <c:pt idx="2">
                  <c:v>747</c:v>
                </c:pt>
                <c:pt idx="3">
                  <c:v>4338</c:v>
                </c:pt>
                <c:pt idx="4">
                  <c:v>4147</c:v>
                </c:pt>
                <c:pt idx="6">
                  <c:v>5278</c:v>
                </c:pt>
                <c:pt idx="7">
                  <c:v>5731</c:v>
                </c:pt>
                <c:pt idx="8">
                  <c:v>421</c:v>
                </c:pt>
                <c:pt idx="9">
                  <c:v>34740</c:v>
                </c:pt>
                <c:pt idx="10">
                  <c:v>10572</c:v>
                </c:pt>
                <c:pt idx="12">
                  <c:v>11648</c:v>
                </c:pt>
                <c:pt idx="13">
                  <c:v>4931</c:v>
                </c:pt>
                <c:pt idx="14">
                  <c:v>11068</c:v>
                </c:pt>
                <c:pt idx="15">
                  <c:v>65248</c:v>
                </c:pt>
                <c:pt idx="20">
                  <c:v>23840</c:v>
                </c:pt>
                <c:pt idx="21">
                  <c:v>12648</c:v>
                </c:pt>
                <c:pt idx="22">
                  <c:v>27916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4-4387-B5D9-717D4160648F}"/>
            </c:ext>
          </c:extLst>
        </c:ser>
        <c:ser>
          <c:idx val="1"/>
          <c:order val="1"/>
          <c:tx>
            <c:v>계획</c:v>
          </c:tx>
          <c:cat>
            <c:strRef>
              <c:f>'10'!$D$6:$D$29</c:f>
              <c:strCache>
                <c:ptCount val="23"/>
                <c:pt idx="0">
                  <c:v>SLIDER</c:v>
                </c:pt>
                <c:pt idx="1">
                  <c:v>LID</c:v>
                </c:pt>
                <c:pt idx="2">
                  <c:v>BASE</c:v>
                </c:pt>
                <c:pt idx="3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'10'!$J$6:$J$29</c:f>
              <c:numCache>
                <c:formatCode>_(* #,##0_);_(* \(#,##0\);_(* "-"_);_(@_)</c:formatCode>
                <c:ptCount val="24"/>
                <c:pt idx="0">
                  <c:v>9700</c:v>
                </c:pt>
                <c:pt idx="1">
                  <c:v>14072</c:v>
                </c:pt>
                <c:pt idx="2">
                  <c:v>747</c:v>
                </c:pt>
                <c:pt idx="3">
                  <c:v>4338</c:v>
                </c:pt>
                <c:pt idx="4">
                  <c:v>4147</c:v>
                </c:pt>
                <c:pt idx="5">
                  <c:v>1575</c:v>
                </c:pt>
                <c:pt idx="6">
                  <c:v>5278</c:v>
                </c:pt>
                <c:pt idx="7">
                  <c:v>5731</c:v>
                </c:pt>
                <c:pt idx="8">
                  <c:v>421</c:v>
                </c:pt>
                <c:pt idx="9">
                  <c:v>34740</c:v>
                </c:pt>
                <c:pt idx="10">
                  <c:v>10572</c:v>
                </c:pt>
                <c:pt idx="11">
                  <c:v>3665</c:v>
                </c:pt>
                <c:pt idx="12">
                  <c:v>11648</c:v>
                </c:pt>
                <c:pt idx="13">
                  <c:v>4931</c:v>
                </c:pt>
                <c:pt idx="14">
                  <c:v>11068</c:v>
                </c:pt>
                <c:pt idx="15">
                  <c:v>65248</c:v>
                </c:pt>
                <c:pt idx="16">
                  <c:v>0</c:v>
                </c:pt>
                <c:pt idx="17">
                  <c:v>2888</c:v>
                </c:pt>
                <c:pt idx="18">
                  <c:v>22300</c:v>
                </c:pt>
                <c:pt idx="19">
                  <c:v>30240</c:v>
                </c:pt>
                <c:pt idx="20">
                  <c:v>23840</c:v>
                </c:pt>
                <c:pt idx="21">
                  <c:v>12648</c:v>
                </c:pt>
                <c:pt idx="22">
                  <c:v>27916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4-4387-B5D9-717D41606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'10'!$AD$6:$AD$29</c:f>
              <c:strCache>
                <c:ptCount val="24"/>
                <c:pt idx="0">
                  <c:v>0%</c:v>
                </c:pt>
                <c:pt idx="1">
                  <c:v>63%</c:v>
                </c:pt>
                <c:pt idx="2">
                  <c:v>29%</c:v>
                </c:pt>
                <c:pt idx="3">
                  <c:v>83%</c:v>
                </c:pt>
                <c:pt idx="4">
                  <c:v>88%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54%</c:v>
                </c:pt>
                <c:pt idx="9">
                  <c:v>100%</c:v>
                </c:pt>
                <c:pt idx="10">
                  <c:v>92%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100%</c:v>
                </c:pt>
                <c:pt idx="21">
                  <c:v>88%</c:v>
                </c:pt>
                <c:pt idx="22">
                  <c:v>100%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'10'!$D$6:$D$29</c:f>
              <c:strCache>
                <c:ptCount val="23"/>
                <c:pt idx="0">
                  <c:v>SLIDER</c:v>
                </c:pt>
                <c:pt idx="1">
                  <c:v>LID</c:v>
                </c:pt>
                <c:pt idx="2">
                  <c:v>BASE</c:v>
                </c:pt>
                <c:pt idx="3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'10'!$AD$6:$AD$29</c:f>
              <c:numCache>
                <c:formatCode>0%</c:formatCode>
                <c:ptCount val="24"/>
                <c:pt idx="0">
                  <c:v>0</c:v>
                </c:pt>
                <c:pt idx="1">
                  <c:v>0.625</c:v>
                </c:pt>
                <c:pt idx="2">
                  <c:v>0.29166666666666669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0.54166666666666663</c:v>
                </c:pt>
                <c:pt idx="9">
                  <c:v>1</c:v>
                </c:pt>
                <c:pt idx="10">
                  <c:v>0.91666666666666663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0.875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3-48CA-8C32-4BD1CFB80CB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F3-48CA-8C32-4BD1CFB80C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'10'!$D$6:$D$29</c:f>
              <c:strCache>
                <c:ptCount val="23"/>
                <c:pt idx="0">
                  <c:v>SLIDER</c:v>
                </c:pt>
                <c:pt idx="1">
                  <c:v>LID</c:v>
                </c:pt>
                <c:pt idx="2">
                  <c:v>BASE</c:v>
                </c:pt>
                <c:pt idx="3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'10'!$AE$6:$AE$29</c:f>
              <c:numCache>
                <c:formatCode>0%</c:formatCode>
                <c:ptCount val="24"/>
                <c:pt idx="0">
                  <c:v>0.58159722222222221</c:v>
                </c:pt>
                <c:pt idx="1">
                  <c:v>0.58159722222222221</c:v>
                </c:pt>
                <c:pt idx="2">
                  <c:v>0.58159722222222221</c:v>
                </c:pt>
                <c:pt idx="3">
                  <c:v>0.58159722222222221</c:v>
                </c:pt>
                <c:pt idx="4">
                  <c:v>0.58159722222222221</c:v>
                </c:pt>
                <c:pt idx="5">
                  <c:v>0.58159722222222221</c:v>
                </c:pt>
                <c:pt idx="6">
                  <c:v>0.58159722222222221</c:v>
                </c:pt>
                <c:pt idx="7">
                  <c:v>0.58159722222222221</c:v>
                </c:pt>
                <c:pt idx="8">
                  <c:v>0.58159722222222221</c:v>
                </c:pt>
                <c:pt idx="9">
                  <c:v>0.58159722222222221</c:v>
                </c:pt>
                <c:pt idx="10">
                  <c:v>0.58159722222222221</c:v>
                </c:pt>
                <c:pt idx="11">
                  <c:v>0.58159722222222221</c:v>
                </c:pt>
                <c:pt idx="12">
                  <c:v>0.58159722222222221</c:v>
                </c:pt>
                <c:pt idx="13">
                  <c:v>0.58159722222222221</c:v>
                </c:pt>
                <c:pt idx="14">
                  <c:v>0.58159722222222221</c:v>
                </c:pt>
                <c:pt idx="15">
                  <c:v>0.58159722222222221</c:v>
                </c:pt>
                <c:pt idx="16">
                  <c:v>0.58159722222222221</c:v>
                </c:pt>
                <c:pt idx="17">
                  <c:v>0.58159722222222221</c:v>
                </c:pt>
                <c:pt idx="18">
                  <c:v>0.58159722222222221</c:v>
                </c:pt>
                <c:pt idx="19">
                  <c:v>0.58159722222222221</c:v>
                </c:pt>
                <c:pt idx="20">
                  <c:v>0.58159722222222221</c:v>
                </c:pt>
                <c:pt idx="21">
                  <c:v>0.58159722222222221</c:v>
                </c:pt>
                <c:pt idx="22">
                  <c:v>0.58159722222222221</c:v>
                </c:pt>
                <c:pt idx="23">
                  <c:v>0.58159722222222221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3-48CA-8C32-4BD1CFB8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'01'!$AD$6:$AD$30</c:f>
              <c:strCache>
                <c:ptCount val="25"/>
                <c:pt idx="0">
                  <c:v>88%</c:v>
                </c:pt>
                <c:pt idx="1">
                  <c:v>0%</c:v>
                </c:pt>
                <c:pt idx="2">
                  <c:v>63%</c:v>
                </c:pt>
                <c:pt idx="3">
                  <c:v>96%</c:v>
                </c:pt>
                <c:pt idx="4">
                  <c:v>71%</c:v>
                </c:pt>
                <c:pt idx="5">
                  <c:v>17%</c:v>
                </c:pt>
                <c:pt idx="6">
                  <c:v>100%</c:v>
                </c:pt>
                <c:pt idx="7">
                  <c:v>42%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92%</c:v>
                </c:pt>
                <c:pt idx="12">
                  <c:v>96%</c:v>
                </c:pt>
                <c:pt idx="13">
                  <c:v>17%</c:v>
                </c:pt>
                <c:pt idx="14">
                  <c:v>20%</c:v>
                </c:pt>
                <c:pt idx="15">
                  <c:v>75%</c:v>
                </c:pt>
                <c:pt idx="16">
                  <c:v>92%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54%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BODY/LID</c:v>
                </c:pt>
                <c:pt idx="8">
                  <c:v>COVER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'01'!$AD$6:$AD$30</c:f>
              <c:numCache>
                <c:formatCode>0%</c:formatCode>
                <c:ptCount val="25"/>
                <c:pt idx="0">
                  <c:v>0.875</c:v>
                </c:pt>
                <c:pt idx="1">
                  <c:v>0</c:v>
                </c:pt>
                <c:pt idx="2">
                  <c:v>0.625</c:v>
                </c:pt>
                <c:pt idx="3">
                  <c:v>0.95833333333333337</c:v>
                </c:pt>
                <c:pt idx="4">
                  <c:v>0.70833333333333337</c:v>
                </c:pt>
                <c:pt idx="5">
                  <c:v>0.16666666666666666</c:v>
                </c:pt>
                <c:pt idx="6">
                  <c:v>1</c:v>
                </c:pt>
                <c:pt idx="7">
                  <c:v>0.41666666666666669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0.91666666666666663</c:v>
                </c:pt>
                <c:pt idx="12">
                  <c:v>0.95833333333333337</c:v>
                </c:pt>
                <c:pt idx="13">
                  <c:v>0.16666666666666666</c:v>
                </c:pt>
                <c:pt idx="14">
                  <c:v>0.19834710743801653</c:v>
                </c:pt>
                <c:pt idx="15">
                  <c:v>0.75</c:v>
                </c:pt>
                <c:pt idx="16">
                  <c:v>0.91666666666666663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0.54166666666666663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D79-9301-59C7EE0450B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9A-4D79-9301-59C7EE0450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BASE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BODY/LID</c:v>
                </c:pt>
                <c:pt idx="8">
                  <c:v>COVER</c:v>
                </c:pt>
                <c:pt idx="9">
                  <c:v>ADAPTER</c:v>
                </c:pt>
                <c:pt idx="10">
                  <c:v>ACTUATOR</c:v>
                </c:pt>
                <c:pt idx="11">
                  <c:v>SLIDER</c:v>
                </c:pt>
                <c:pt idx="12">
                  <c:v>BODY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'01'!$AE$6:$AE$30</c:f>
              <c:numCache>
                <c:formatCode>0%</c:formatCode>
                <c:ptCount val="25"/>
                <c:pt idx="0">
                  <c:v>0.44793388429752062</c:v>
                </c:pt>
                <c:pt idx="1">
                  <c:v>0.44793388429752062</c:v>
                </c:pt>
                <c:pt idx="2">
                  <c:v>0.44793388429752062</c:v>
                </c:pt>
                <c:pt idx="3">
                  <c:v>0.44793388429752062</c:v>
                </c:pt>
                <c:pt idx="4">
                  <c:v>0.44793388429752062</c:v>
                </c:pt>
                <c:pt idx="5">
                  <c:v>0.44793388429752062</c:v>
                </c:pt>
                <c:pt idx="6">
                  <c:v>0.44793388429752062</c:v>
                </c:pt>
                <c:pt idx="7">
                  <c:v>0.44793388429752062</c:v>
                </c:pt>
                <c:pt idx="8">
                  <c:v>0.44793388429752062</c:v>
                </c:pt>
                <c:pt idx="9">
                  <c:v>0.44793388429752062</c:v>
                </c:pt>
                <c:pt idx="10">
                  <c:v>0.44793388429752062</c:v>
                </c:pt>
                <c:pt idx="11">
                  <c:v>0.44793388429752062</c:v>
                </c:pt>
                <c:pt idx="12">
                  <c:v>0.44793388429752062</c:v>
                </c:pt>
                <c:pt idx="13">
                  <c:v>0.44793388429752062</c:v>
                </c:pt>
                <c:pt idx="14">
                  <c:v>0.44793388429752062</c:v>
                </c:pt>
                <c:pt idx="15">
                  <c:v>0.44793388429752062</c:v>
                </c:pt>
                <c:pt idx="16">
                  <c:v>0.44793388429752062</c:v>
                </c:pt>
                <c:pt idx="17">
                  <c:v>0.44793388429752062</c:v>
                </c:pt>
                <c:pt idx="18">
                  <c:v>0.44793388429752062</c:v>
                </c:pt>
                <c:pt idx="19">
                  <c:v>0.44793388429752062</c:v>
                </c:pt>
                <c:pt idx="20">
                  <c:v>0.44793388429752062</c:v>
                </c:pt>
                <c:pt idx="21">
                  <c:v>0.44793388429752062</c:v>
                </c:pt>
                <c:pt idx="22">
                  <c:v>0.44793388429752062</c:v>
                </c:pt>
                <c:pt idx="23">
                  <c:v>0.44793388429752062</c:v>
                </c:pt>
                <c:pt idx="24">
                  <c:v>0.44793388429752062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A-4D79-9301-59C7EE045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A56-43A7-8937-C34422D90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6-43A7-8937-C34422D9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A56-43A7-8937-C34422D901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6-43A7-8937-C34422D9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'11'!$L$6:$L$29</c:f>
              <c:numCache>
                <c:formatCode>_(* #,##0_);_(* \(#,##0\);_(* "-"_);_(@_)</c:formatCode>
                <c:ptCount val="24"/>
                <c:pt idx="1">
                  <c:v>221</c:v>
                </c:pt>
                <c:pt idx="2">
                  <c:v>1518</c:v>
                </c:pt>
                <c:pt idx="3">
                  <c:v>5606</c:v>
                </c:pt>
                <c:pt idx="5">
                  <c:v>4759</c:v>
                </c:pt>
                <c:pt idx="6">
                  <c:v>5197</c:v>
                </c:pt>
                <c:pt idx="7">
                  <c:v>3993</c:v>
                </c:pt>
                <c:pt idx="9">
                  <c:v>34160</c:v>
                </c:pt>
                <c:pt idx="10">
                  <c:v>11420</c:v>
                </c:pt>
                <c:pt idx="11">
                  <c:v>852</c:v>
                </c:pt>
                <c:pt idx="12">
                  <c:v>11082</c:v>
                </c:pt>
                <c:pt idx="13">
                  <c:v>5078</c:v>
                </c:pt>
                <c:pt idx="14">
                  <c:v>10430</c:v>
                </c:pt>
                <c:pt idx="15">
                  <c:v>68392</c:v>
                </c:pt>
                <c:pt idx="17">
                  <c:v>25304</c:v>
                </c:pt>
                <c:pt idx="20">
                  <c:v>22923</c:v>
                </c:pt>
                <c:pt idx="21">
                  <c:v>1958</c:v>
                </c:pt>
                <c:pt idx="22">
                  <c:v>29980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5-4700-949D-FA92F3EFF5A9}"/>
            </c:ext>
          </c:extLst>
        </c:ser>
        <c:ser>
          <c:idx val="1"/>
          <c:order val="1"/>
          <c:tx>
            <c:v>계획</c:v>
          </c:tx>
          <c:cat>
            <c:strRef>
              <c:f>'11'!$D$6:$D$29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'11'!$J$6:$J$29</c:f>
              <c:numCache>
                <c:formatCode>_(* #,##0_);_(* \(#,##0\);_(* "-"_);_(@_)</c:formatCode>
                <c:ptCount val="24"/>
                <c:pt idx="0">
                  <c:v>9700</c:v>
                </c:pt>
                <c:pt idx="1">
                  <c:v>221</c:v>
                </c:pt>
                <c:pt idx="2">
                  <c:v>1518</c:v>
                </c:pt>
                <c:pt idx="3">
                  <c:v>5606</c:v>
                </c:pt>
                <c:pt idx="4">
                  <c:v>4147</c:v>
                </c:pt>
                <c:pt idx="5">
                  <c:v>4759</c:v>
                </c:pt>
                <c:pt idx="6">
                  <c:v>5197</c:v>
                </c:pt>
                <c:pt idx="7">
                  <c:v>3993</c:v>
                </c:pt>
                <c:pt idx="8">
                  <c:v>421</c:v>
                </c:pt>
                <c:pt idx="9">
                  <c:v>34160</c:v>
                </c:pt>
                <c:pt idx="10">
                  <c:v>11420</c:v>
                </c:pt>
                <c:pt idx="11">
                  <c:v>852</c:v>
                </c:pt>
                <c:pt idx="12">
                  <c:v>11082</c:v>
                </c:pt>
                <c:pt idx="13">
                  <c:v>5078</c:v>
                </c:pt>
                <c:pt idx="14">
                  <c:v>10430</c:v>
                </c:pt>
                <c:pt idx="15">
                  <c:v>68392</c:v>
                </c:pt>
                <c:pt idx="16">
                  <c:v>0</c:v>
                </c:pt>
                <c:pt idx="17">
                  <c:v>25304</c:v>
                </c:pt>
                <c:pt idx="18">
                  <c:v>22300</c:v>
                </c:pt>
                <c:pt idx="19">
                  <c:v>30240</c:v>
                </c:pt>
                <c:pt idx="20">
                  <c:v>22923</c:v>
                </c:pt>
                <c:pt idx="21">
                  <c:v>1958</c:v>
                </c:pt>
                <c:pt idx="22">
                  <c:v>29980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5-4700-949D-FA92F3EF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'11'!$AD$6:$AD$29</c:f>
              <c:strCache>
                <c:ptCount val="24"/>
                <c:pt idx="0">
                  <c:v>0%</c:v>
                </c:pt>
                <c:pt idx="1">
                  <c:v>17%</c:v>
                </c:pt>
                <c:pt idx="2">
                  <c:v>42%</c:v>
                </c:pt>
                <c:pt idx="3">
                  <c:v>100%</c:v>
                </c:pt>
                <c:pt idx="4">
                  <c:v>0%</c:v>
                </c:pt>
                <c:pt idx="5">
                  <c:v>92%</c:v>
                </c:pt>
                <c:pt idx="6">
                  <c:v>100%</c:v>
                </c:pt>
                <c:pt idx="7">
                  <c:v>75%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21%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58%</c:v>
                </c:pt>
                <c:pt idx="18">
                  <c:v>0%</c:v>
                </c:pt>
                <c:pt idx="19">
                  <c:v>0%</c:v>
                </c:pt>
                <c:pt idx="20">
                  <c:v>96%</c:v>
                </c:pt>
                <c:pt idx="21">
                  <c:v>21%</c:v>
                </c:pt>
                <c:pt idx="22">
                  <c:v>100%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'11'!$AD$6:$AD$29</c:f>
              <c:numCache>
                <c:formatCode>0%</c:formatCode>
                <c:ptCount val="24"/>
                <c:pt idx="0">
                  <c:v>0</c:v>
                </c:pt>
                <c:pt idx="1">
                  <c:v>0.16666666666666666</c:v>
                </c:pt>
                <c:pt idx="2">
                  <c:v>0.41666666666666669</c:v>
                </c:pt>
                <c:pt idx="3">
                  <c:v>1</c:v>
                </c:pt>
                <c:pt idx="4">
                  <c:v>0</c:v>
                </c:pt>
                <c:pt idx="5">
                  <c:v>0.91666666666666663</c:v>
                </c:pt>
                <c:pt idx="6">
                  <c:v>1</c:v>
                </c:pt>
                <c:pt idx="7">
                  <c:v>0.75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0.20833333333333334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0.58333333333333337</c:v>
                </c:pt>
                <c:pt idx="18">
                  <c:v>0</c:v>
                </c:pt>
                <c:pt idx="19">
                  <c:v>0</c:v>
                </c:pt>
                <c:pt idx="20">
                  <c:v>0.95833333333333337</c:v>
                </c:pt>
                <c:pt idx="21">
                  <c:v>0.20833333333333334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F1-BCD0-B31E01C08EC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B7-48F1-BCD0-B31E01C08E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'11'!$AE$6:$AE$29</c:f>
              <c:numCache>
                <c:formatCode>0%</c:formatCode>
                <c:ptCount val="24"/>
                <c:pt idx="0">
                  <c:v>0.55034722222222221</c:v>
                </c:pt>
                <c:pt idx="1">
                  <c:v>0.55034722222222221</c:v>
                </c:pt>
                <c:pt idx="2">
                  <c:v>0.55034722222222221</c:v>
                </c:pt>
                <c:pt idx="3">
                  <c:v>0.55034722222222221</c:v>
                </c:pt>
                <c:pt idx="4">
                  <c:v>0.55034722222222221</c:v>
                </c:pt>
                <c:pt idx="5">
                  <c:v>0.55034722222222221</c:v>
                </c:pt>
                <c:pt idx="6">
                  <c:v>0.55034722222222221</c:v>
                </c:pt>
                <c:pt idx="7">
                  <c:v>0.55034722222222221</c:v>
                </c:pt>
                <c:pt idx="8">
                  <c:v>0.55034722222222221</c:v>
                </c:pt>
                <c:pt idx="9">
                  <c:v>0.55034722222222221</c:v>
                </c:pt>
                <c:pt idx="10">
                  <c:v>0.55034722222222221</c:v>
                </c:pt>
                <c:pt idx="11">
                  <c:v>0.55034722222222221</c:v>
                </c:pt>
                <c:pt idx="12">
                  <c:v>0.55034722222222221</c:v>
                </c:pt>
                <c:pt idx="13">
                  <c:v>0.55034722222222221</c:v>
                </c:pt>
                <c:pt idx="14">
                  <c:v>0.55034722222222221</c:v>
                </c:pt>
                <c:pt idx="15">
                  <c:v>0.55034722222222221</c:v>
                </c:pt>
                <c:pt idx="16">
                  <c:v>0.55034722222222221</c:v>
                </c:pt>
                <c:pt idx="17">
                  <c:v>0.55034722222222221</c:v>
                </c:pt>
                <c:pt idx="18">
                  <c:v>0.55034722222222221</c:v>
                </c:pt>
                <c:pt idx="19">
                  <c:v>0.55034722222222221</c:v>
                </c:pt>
                <c:pt idx="20">
                  <c:v>0.55034722222222221</c:v>
                </c:pt>
                <c:pt idx="21">
                  <c:v>0.55034722222222221</c:v>
                </c:pt>
                <c:pt idx="22">
                  <c:v>0.55034722222222221</c:v>
                </c:pt>
                <c:pt idx="23">
                  <c:v>0.55034722222222221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7-48F1-BCD0-B31E01C0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'11'!$L$6:$L$29</c:f>
              <c:numCache>
                <c:formatCode>_(* #,##0_);_(* \(#,##0\);_(* "-"_);_(@_)</c:formatCode>
                <c:ptCount val="24"/>
                <c:pt idx="1">
                  <c:v>221</c:v>
                </c:pt>
                <c:pt idx="2">
                  <c:v>1518</c:v>
                </c:pt>
                <c:pt idx="3">
                  <c:v>5606</c:v>
                </c:pt>
                <c:pt idx="5">
                  <c:v>4759</c:v>
                </c:pt>
                <c:pt idx="6">
                  <c:v>5197</c:v>
                </c:pt>
                <c:pt idx="7">
                  <c:v>3993</c:v>
                </c:pt>
                <c:pt idx="9">
                  <c:v>34160</c:v>
                </c:pt>
                <c:pt idx="10">
                  <c:v>11420</c:v>
                </c:pt>
                <c:pt idx="11">
                  <c:v>852</c:v>
                </c:pt>
                <c:pt idx="12">
                  <c:v>11082</c:v>
                </c:pt>
                <c:pt idx="13">
                  <c:v>5078</c:v>
                </c:pt>
                <c:pt idx="14">
                  <c:v>10430</c:v>
                </c:pt>
                <c:pt idx="15">
                  <c:v>68392</c:v>
                </c:pt>
                <c:pt idx="17">
                  <c:v>25304</c:v>
                </c:pt>
                <c:pt idx="20">
                  <c:v>22923</c:v>
                </c:pt>
                <c:pt idx="21">
                  <c:v>1958</c:v>
                </c:pt>
                <c:pt idx="22">
                  <c:v>29980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8-47F4-8C87-6DE8354FADED}"/>
            </c:ext>
          </c:extLst>
        </c:ser>
        <c:ser>
          <c:idx val="1"/>
          <c:order val="1"/>
          <c:tx>
            <c:v>계획</c:v>
          </c:tx>
          <c:cat>
            <c:strRef>
              <c:f>'11'!$D$6:$D$29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'11'!$J$6:$J$29</c:f>
              <c:numCache>
                <c:formatCode>_(* #,##0_);_(* \(#,##0\);_(* "-"_);_(@_)</c:formatCode>
                <c:ptCount val="24"/>
                <c:pt idx="0">
                  <c:v>9700</c:v>
                </c:pt>
                <c:pt idx="1">
                  <c:v>221</c:v>
                </c:pt>
                <c:pt idx="2">
                  <c:v>1518</c:v>
                </c:pt>
                <c:pt idx="3">
                  <c:v>5606</c:v>
                </c:pt>
                <c:pt idx="4">
                  <c:v>4147</c:v>
                </c:pt>
                <c:pt idx="5">
                  <c:v>4759</c:v>
                </c:pt>
                <c:pt idx="6">
                  <c:v>5197</c:v>
                </c:pt>
                <c:pt idx="7">
                  <c:v>3993</c:v>
                </c:pt>
                <c:pt idx="8">
                  <c:v>421</c:v>
                </c:pt>
                <c:pt idx="9">
                  <c:v>34160</c:v>
                </c:pt>
                <c:pt idx="10">
                  <c:v>11420</c:v>
                </c:pt>
                <c:pt idx="11">
                  <c:v>852</c:v>
                </c:pt>
                <c:pt idx="12">
                  <c:v>11082</c:v>
                </c:pt>
                <c:pt idx="13">
                  <c:v>5078</c:v>
                </c:pt>
                <c:pt idx="14">
                  <c:v>10430</c:v>
                </c:pt>
                <c:pt idx="15">
                  <c:v>68392</c:v>
                </c:pt>
                <c:pt idx="16">
                  <c:v>0</c:v>
                </c:pt>
                <c:pt idx="17">
                  <c:v>25304</c:v>
                </c:pt>
                <c:pt idx="18">
                  <c:v>22300</c:v>
                </c:pt>
                <c:pt idx="19">
                  <c:v>30240</c:v>
                </c:pt>
                <c:pt idx="20">
                  <c:v>22923</c:v>
                </c:pt>
                <c:pt idx="21">
                  <c:v>1958</c:v>
                </c:pt>
                <c:pt idx="22">
                  <c:v>29980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7F4-8C87-6DE8354F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'11'!$AD$6:$AD$29</c:f>
              <c:strCache>
                <c:ptCount val="24"/>
                <c:pt idx="0">
                  <c:v>0%</c:v>
                </c:pt>
                <c:pt idx="1">
                  <c:v>17%</c:v>
                </c:pt>
                <c:pt idx="2">
                  <c:v>42%</c:v>
                </c:pt>
                <c:pt idx="3">
                  <c:v>100%</c:v>
                </c:pt>
                <c:pt idx="4">
                  <c:v>0%</c:v>
                </c:pt>
                <c:pt idx="5">
                  <c:v>92%</c:v>
                </c:pt>
                <c:pt idx="6">
                  <c:v>100%</c:v>
                </c:pt>
                <c:pt idx="7">
                  <c:v>75%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21%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58%</c:v>
                </c:pt>
                <c:pt idx="18">
                  <c:v>0%</c:v>
                </c:pt>
                <c:pt idx="19">
                  <c:v>0%</c:v>
                </c:pt>
                <c:pt idx="20">
                  <c:v>96%</c:v>
                </c:pt>
                <c:pt idx="21">
                  <c:v>21%</c:v>
                </c:pt>
                <c:pt idx="22">
                  <c:v>100%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'11'!$AD$6:$AD$29</c:f>
              <c:numCache>
                <c:formatCode>0%</c:formatCode>
                <c:ptCount val="24"/>
                <c:pt idx="0">
                  <c:v>0</c:v>
                </c:pt>
                <c:pt idx="1">
                  <c:v>0.16666666666666666</c:v>
                </c:pt>
                <c:pt idx="2">
                  <c:v>0.41666666666666669</c:v>
                </c:pt>
                <c:pt idx="3">
                  <c:v>1</c:v>
                </c:pt>
                <c:pt idx="4">
                  <c:v>0</c:v>
                </c:pt>
                <c:pt idx="5">
                  <c:v>0.91666666666666663</c:v>
                </c:pt>
                <c:pt idx="6">
                  <c:v>1</c:v>
                </c:pt>
                <c:pt idx="7">
                  <c:v>0.75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0.20833333333333334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0.58333333333333337</c:v>
                </c:pt>
                <c:pt idx="18">
                  <c:v>0</c:v>
                </c:pt>
                <c:pt idx="19">
                  <c:v>0</c:v>
                </c:pt>
                <c:pt idx="20">
                  <c:v>0.95833333333333337</c:v>
                </c:pt>
                <c:pt idx="21">
                  <c:v>0.20833333333333334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0-41D1-913B-44C4D728843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0-41D1-913B-44C4D72884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'11'!$AE$6:$AE$29</c:f>
              <c:numCache>
                <c:formatCode>0%</c:formatCode>
                <c:ptCount val="24"/>
                <c:pt idx="0">
                  <c:v>0.55034722222222221</c:v>
                </c:pt>
                <c:pt idx="1">
                  <c:v>0.55034722222222221</c:v>
                </c:pt>
                <c:pt idx="2">
                  <c:v>0.55034722222222221</c:v>
                </c:pt>
                <c:pt idx="3">
                  <c:v>0.55034722222222221</c:v>
                </c:pt>
                <c:pt idx="4">
                  <c:v>0.55034722222222221</c:v>
                </c:pt>
                <c:pt idx="5">
                  <c:v>0.55034722222222221</c:v>
                </c:pt>
                <c:pt idx="6">
                  <c:v>0.55034722222222221</c:v>
                </c:pt>
                <c:pt idx="7">
                  <c:v>0.55034722222222221</c:v>
                </c:pt>
                <c:pt idx="8">
                  <c:v>0.55034722222222221</c:v>
                </c:pt>
                <c:pt idx="9">
                  <c:v>0.55034722222222221</c:v>
                </c:pt>
                <c:pt idx="10">
                  <c:v>0.55034722222222221</c:v>
                </c:pt>
                <c:pt idx="11">
                  <c:v>0.55034722222222221</c:v>
                </c:pt>
                <c:pt idx="12">
                  <c:v>0.55034722222222221</c:v>
                </c:pt>
                <c:pt idx="13">
                  <c:v>0.55034722222222221</c:v>
                </c:pt>
                <c:pt idx="14">
                  <c:v>0.55034722222222221</c:v>
                </c:pt>
                <c:pt idx="15">
                  <c:v>0.55034722222222221</c:v>
                </c:pt>
                <c:pt idx="16">
                  <c:v>0.55034722222222221</c:v>
                </c:pt>
                <c:pt idx="17">
                  <c:v>0.55034722222222221</c:v>
                </c:pt>
                <c:pt idx="18">
                  <c:v>0.55034722222222221</c:v>
                </c:pt>
                <c:pt idx="19">
                  <c:v>0.55034722222222221</c:v>
                </c:pt>
                <c:pt idx="20">
                  <c:v>0.55034722222222221</c:v>
                </c:pt>
                <c:pt idx="21">
                  <c:v>0.55034722222222221</c:v>
                </c:pt>
                <c:pt idx="22">
                  <c:v>0.55034722222222221</c:v>
                </c:pt>
                <c:pt idx="23">
                  <c:v>0.55034722222222221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0-41D1-913B-44C4D728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8DE-4B9E-863A-D4104A8BE0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E-4B9E-863A-D4104A8B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8DE-4B9E-863A-D4104A8BE0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DE-4B9E-863A-D4104A8B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JOINT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'12'!$L$6:$L$29</c:f>
              <c:numCache>
                <c:formatCode>_(* #,##0_);_(* \(#,##0\);_(* "-"_);_(@_)</c:formatCode>
                <c:ptCount val="24"/>
                <c:pt idx="2">
                  <c:v>259</c:v>
                </c:pt>
                <c:pt idx="3">
                  <c:v>3735</c:v>
                </c:pt>
                <c:pt idx="4">
                  <c:v>3999</c:v>
                </c:pt>
                <c:pt idx="5">
                  <c:v>4778</c:v>
                </c:pt>
                <c:pt idx="6">
                  <c:v>4806</c:v>
                </c:pt>
                <c:pt idx="7">
                  <c:v>5340</c:v>
                </c:pt>
                <c:pt idx="9">
                  <c:v>31964</c:v>
                </c:pt>
                <c:pt idx="10">
                  <c:v>9694</c:v>
                </c:pt>
                <c:pt idx="12">
                  <c:v>10368</c:v>
                </c:pt>
                <c:pt idx="13">
                  <c:v>5131</c:v>
                </c:pt>
                <c:pt idx="14">
                  <c:v>4978</c:v>
                </c:pt>
                <c:pt idx="15">
                  <c:v>61324</c:v>
                </c:pt>
                <c:pt idx="17">
                  <c:v>4864</c:v>
                </c:pt>
                <c:pt idx="20">
                  <c:v>6507</c:v>
                </c:pt>
                <c:pt idx="22">
                  <c:v>10704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E-4B8A-8BDE-558AF8AABB6A}"/>
            </c:ext>
          </c:extLst>
        </c:ser>
        <c:ser>
          <c:idx val="1"/>
          <c:order val="1"/>
          <c:tx>
            <c:v>계획</c:v>
          </c:tx>
          <c:cat>
            <c:strRef>
              <c:f>'12'!$D$6:$D$29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JOINT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'12'!$J$6:$J$29</c:f>
              <c:numCache>
                <c:formatCode>_(* #,##0_);_(* \(#,##0\);_(* "-"_);_(@_)</c:formatCode>
                <c:ptCount val="24"/>
                <c:pt idx="0">
                  <c:v>9700</c:v>
                </c:pt>
                <c:pt idx="1">
                  <c:v>221</c:v>
                </c:pt>
                <c:pt idx="2">
                  <c:v>259</c:v>
                </c:pt>
                <c:pt idx="3">
                  <c:v>3735</c:v>
                </c:pt>
                <c:pt idx="4">
                  <c:v>3999</c:v>
                </c:pt>
                <c:pt idx="5">
                  <c:v>4778</c:v>
                </c:pt>
                <c:pt idx="6">
                  <c:v>4806</c:v>
                </c:pt>
                <c:pt idx="7">
                  <c:v>5340</c:v>
                </c:pt>
                <c:pt idx="8">
                  <c:v>421</c:v>
                </c:pt>
                <c:pt idx="9">
                  <c:v>31964</c:v>
                </c:pt>
                <c:pt idx="10">
                  <c:v>9694</c:v>
                </c:pt>
                <c:pt idx="11">
                  <c:v>852</c:v>
                </c:pt>
                <c:pt idx="12">
                  <c:v>10368</c:v>
                </c:pt>
                <c:pt idx="13">
                  <c:v>5131</c:v>
                </c:pt>
                <c:pt idx="14">
                  <c:v>4978</c:v>
                </c:pt>
                <c:pt idx="15">
                  <c:v>61324</c:v>
                </c:pt>
                <c:pt idx="16">
                  <c:v>0</c:v>
                </c:pt>
                <c:pt idx="17">
                  <c:v>4864</c:v>
                </c:pt>
                <c:pt idx="18">
                  <c:v>22300</c:v>
                </c:pt>
                <c:pt idx="19">
                  <c:v>30240</c:v>
                </c:pt>
                <c:pt idx="20">
                  <c:v>6507</c:v>
                </c:pt>
                <c:pt idx="21">
                  <c:v>1958</c:v>
                </c:pt>
                <c:pt idx="22">
                  <c:v>10704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E-4B8A-8BDE-558AF8AA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'12'!$AD$6:$AD$29</c:f>
              <c:strCache>
                <c:ptCount val="24"/>
                <c:pt idx="0">
                  <c:v>0%</c:v>
                </c:pt>
                <c:pt idx="1">
                  <c:v>0%</c:v>
                </c:pt>
                <c:pt idx="2">
                  <c:v>17%</c:v>
                </c:pt>
                <c:pt idx="3">
                  <c:v>75%</c:v>
                </c:pt>
                <c:pt idx="4">
                  <c:v>83%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88%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88%</c:v>
                </c:pt>
                <c:pt idx="15">
                  <c:v>100%</c:v>
                </c:pt>
                <c:pt idx="16">
                  <c:v>0%</c:v>
                </c:pt>
                <c:pt idx="17">
                  <c:v>25%</c:v>
                </c:pt>
                <c:pt idx="18">
                  <c:v>0%</c:v>
                </c:pt>
                <c:pt idx="19">
                  <c:v>0%</c:v>
                </c:pt>
                <c:pt idx="20">
                  <c:v>38%</c:v>
                </c:pt>
                <c:pt idx="21">
                  <c:v>0%</c:v>
                </c:pt>
                <c:pt idx="22">
                  <c:v>38%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JOINT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'12'!$AD$6:$AD$29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0.75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0.875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0.875</c:v>
                </c:pt>
                <c:pt idx="15">
                  <c:v>1</c:v>
                </c:pt>
                <c:pt idx="16">
                  <c:v>0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0.375</c:v>
                </c:pt>
                <c:pt idx="21">
                  <c:v>0</c:v>
                </c:pt>
                <c:pt idx="22">
                  <c:v>0.375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4-489A-B822-1ACAE5E24A4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74-489A-B822-1ACAE5E24A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JOINT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'12'!$AE$6:$AE$29</c:f>
              <c:numCache>
                <c:formatCode>0%</c:formatCode>
                <c:ptCount val="24"/>
                <c:pt idx="0">
                  <c:v>0.47916666666666669</c:v>
                </c:pt>
                <c:pt idx="1">
                  <c:v>0.47916666666666669</c:v>
                </c:pt>
                <c:pt idx="2">
                  <c:v>0.47916666666666669</c:v>
                </c:pt>
                <c:pt idx="3">
                  <c:v>0.47916666666666669</c:v>
                </c:pt>
                <c:pt idx="4">
                  <c:v>0.47916666666666669</c:v>
                </c:pt>
                <c:pt idx="5">
                  <c:v>0.47916666666666669</c:v>
                </c:pt>
                <c:pt idx="6">
                  <c:v>0.47916666666666669</c:v>
                </c:pt>
                <c:pt idx="7">
                  <c:v>0.47916666666666669</c:v>
                </c:pt>
                <c:pt idx="8">
                  <c:v>0.47916666666666669</c:v>
                </c:pt>
                <c:pt idx="9">
                  <c:v>0.47916666666666669</c:v>
                </c:pt>
                <c:pt idx="10">
                  <c:v>0.47916666666666669</c:v>
                </c:pt>
                <c:pt idx="11">
                  <c:v>0.47916666666666669</c:v>
                </c:pt>
                <c:pt idx="12">
                  <c:v>0.47916666666666669</c:v>
                </c:pt>
                <c:pt idx="13">
                  <c:v>0.47916666666666669</c:v>
                </c:pt>
                <c:pt idx="14">
                  <c:v>0.47916666666666669</c:v>
                </c:pt>
                <c:pt idx="15">
                  <c:v>0.47916666666666669</c:v>
                </c:pt>
                <c:pt idx="16">
                  <c:v>0.47916666666666669</c:v>
                </c:pt>
                <c:pt idx="17">
                  <c:v>0.47916666666666669</c:v>
                </c:pt>
                <c:pt idx="18">
                  <c:v>0.47916666666666669</c:v>
                </c:pt>
                <c:pt idx="19">
                  <c:v>0.47916666666666669</c:v>
                </c:pt>
                <c:pt idx="20">
                  <c:v>0.47916666666666669</c:v>
                </c:pt>
                <c:pt idx="21">
                  <c:v>0.47916666666666669</c:v>
                </c:pt>
                <c:pt idx="22">
                  <c:v>0.47916666666666669</c:v>
                </c:pt>
                <c:pt idx="23">
                  <c:v>0.47916666666666669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4-489A-B822-1ACAE5E2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JOINT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'12'!$L$6:$L$29</c:f>
              <c:numCache>
                <c:formatCode>_(* #,##0_);_(* \(#,##0\);_(* "-"_);_(@_)</c:formatCode>
                <c:ptCount val="24"/>
                <c:pt idx="2">
                  <c:v>259</c:v>
                </c:pt>
                <c:pt idx="3">
                  <c:v>3735</c:v>
                </c:pt>
                <c:pt idx="4">
                  <c:v>3999</c:v>
                </c:pt>
                <c:pt idx="5">
                  <c:v>4778</c:v>
                </c:pt>
                <c:pt idx="6">
                  <c:v>4806</c:v>
                </c:pt>
                <c:pt idx="7">
                  <c:v>5340</c:v>
                </c:pt>
                <c:pt idx="9">
                  <c:v>31964</c:v>
                </c:pt>
                <c:pt idx="10">
                  <c:v>9694</c:v>
                </c:pt>
                <c:pt idx="12">
                  <c:v>10368</c:v>
                </c:pt>
                <c:pt idx="13">
                  <c:v>5131</c:v>
                </c:pt>
                <c:pt idx="14">
                  <c:v>4978</c:v>
                </c:pt>
                <c:pt idx="15">
                  <c:v>61324</c:v>
                </c:pt>
                <c:pt idx="17">
                  <c:v>4864</c:v>
                </c:pt>
                <c:pt idx="20">
                  <c:v>6507</c:v>
                </c:pt>
                <c:pt idx="22">
                  <c:v>10704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C75-8CBD-66952D08712E}"/>
            </c:ext>
          </c:extLst>
        </c:ser>
        <c:ser>
          <c:idx val="1"/>
          <c:order val="1"/>
          <c:tx>
            <c:v>계획</c:v>
          </c:tx>
          <c:cat>
            <c:strRef>
              <c:f>'12'!$D$6:$D$29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JOINT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'12'!$J$6:$J$29</c:f>
              <c:numCache>
                <c:formatCode>_(* #,##0_);_(* \(#,##0\);_(* "-"_);_(@_)</c:formatCode>
                <c:ptCount val="24"/>
                <c:pt idx="0">
                  <c:v>9700</c:v>
                </c:pt>
                <c:pt idx="1">
                  <c:v>221</c:v>
                </c:pt>
                <c:pt idx="2">
                  <c:v>259</c:v>
                </c:pt>
                <c:pt idx="3">
                  <c:v>3735</c:v>
                </c:pt>
                <c:pt idx="4">
                  <c:v>3999</c:v>
                </c:pt>
                <c:pt idx="5">
                  <c:v>4778</c:v>
                </c:pt>
                <c:pt idx="6">
                  <c:v>4806</c:v>
                </c:pt>
                <c:pt idx="7">
                  <c:v>5340</c:v>
                </c:pt>
                <c:pt idx="8">
                  <c:v>421</c:v>
                </c:pt>
                <c:pt idx="9">
                  <c:v>31964</c:v>
                </c:pt>
                <c:pt idx="10">
                  <c:v>9694</c:v>
                </c:pt>
                <c:pt idx="11">
                  <c:v>852</c:v>
                </c:pt>
                <c:pt idx="12">
                  <c:v>10368</c:v>
                </c:pt>
                <c:pt idx="13">
                  <c:v>5131</c:v>
                </c:pt>
                <c:pt idx="14">
                  <c:v>4978</c:v>
                </c:pt>
                <c:pt idx="15">
                  <c:v>61324</c:v>
                </c:pt>
                <c:pt idx="16">
                  <c:v>0</c:v>
                </c:pt>
                <c:pt idx="17">
                  <c:v>4864</c:v>
                </c:pt>
                <c:pt idx="18">
                  <c:v>22300</c:v>
                </c:pt>
                <c:pt idx="19">
                  <c:v>30240</c:v>
                </c:pt>
                <c:pt idx="20">
                  <c:v>6507</c:v>
                </c:pt>
                <c:pt idx="21">
                  <c:v>1958</c:v>
                </c:pt>
                <c:pt idx="22">
                  <c:v>10704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C75-8CBD-66952D08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'12'!$AD$6:$AD$29</c:f>
              <c:strCache>
                <c:ptCount val="24"/>
                <c:pt idx="0">
                  <c:v>0%</c:v>
                </c:pt>
                <c:pt idx="1">
                  <c:v>0%</c:v>
                </c:pt>
                <c:pt idx="2">
                  <c:v>17%</c:v>
                </c:pt>
                <c:pt idx="3">
                  <c:v>75%</c:v>
                </c:pt>
                <c:pt idx="4">
                  <c:v>83%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88%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88%</c:v>
                </c:pt>
                <c:pt idx="15">
                  <c:v>100%</c:v>
                </c:pt>
                <c:pt idx="16">
                  <c:v>0%</c:v>
                </c:pt>
                <c:pt idx="17">
                  <c:v>25%</c:v>
                </c:pt>
                <c:pt idx="18">
                  <c:v>0%</c:v>
                </c:pt>
                <c:pt idx="19">
                  <c:v>0%</c:v>
                </c:pt>
                <c:pt idx="20">
                  <c:v>38%</c:v>
                </c:pt>
                <c:pt idx="21">
                  <c:v>0%</c:v>
                </c:pt>
                <c:pt idx="22">
                  <c:v>38%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JOINT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'12'!$AD$6:$AD$29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0.75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0.875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0.875</c:v>
                </c:pt>
                <c:pt idx="15">
                  <c:v>1</c:v>
                </c:pt>
                <c:pt idx="16">
                  <c:v>0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0.375</c:v>
                </c:pt>
                <c:pt idx="21">
                  <c:v>0</c:v>
                </c:pt>
                <c:pt idx="22">
                  <c:v>0.375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E-484C-BAEB-B6248F4294F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CE-484C-BAEB-B6248F4294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'12'!$D$6:$D$29</c:f>
              <c:strCache>
                <c:ptCount val="23"/>
                <c:pt idx="0">
                  <c:v>SLIDER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JOINT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'12'!$AE$6:$AE$29</c:f>
              <c:numCache>
                <c:formatCode>0%</c:formatCode>
                <c:ptCount val="24"/>
                <c:pt idx="0">
                  <c:v>0.47916666666666669</c:v>
                </c:pt>
                <c:pt idx="1">
                  <c:v>0.47916666666666669</c:v>
                </c:pt>
                <c:pt idx="2">
                  <c:v>0.47916666666666669</c:v>
                </c:pt>
                <c:pt idx="3">
                  <c:v>0.47916666666666669</c:v>
                </c:pt>
                <c:pt idx="4">
                  <c:v>0.47916666666666669</c:v>
                </c:pt>
                <c:pt idx="5">
                  <c:v>0.47916666666666669</c:v>
                </c:pt>
                <c:pt idx="6">
                  <c:v>0.47916666666666669</c:v>
                </c:pt>
                <c:pt idx="7">
                  <c:v>0.47916666666666669</c:v>
                </c:pt>
                <c:pt idx="8">
                  <c:v>0.47916666666666669</c:v>
                </c:pt>
                <c:pt idx="9">
                  <c:v>0.47916666666666669</c:v>
                </c:pt>
                <c:pt idx="10">
                  <c:v>0.47916666666666669</c:v>
                </c:pt>
                <c:pt idx="11">
                  <c:v>0.47916666666666669</c:v>
                </c:pt>
                <c:pt idx="12">
                  <c:v>0.47916666666666669</c:v>
                </c:pt>
                <c:pt idx="13">
                  <c:v>0.47916666666666669</c:v>
                </c:pt>
                <c:pt idx="14">
                  <c:v>0.47916666666666669</c:v>
                </c:pt>
                <c:pt idx="15">
                  <c:v>0.47916666666666669</c:v>
                </c:pt>
                <c:pt idx="16">
                  <c:v>0.47916666666666669</c:v>
                </c:pt>
                <c:pt idx="17">
                  <c:v>0.47916666666666669</c:v>
                </c:pt>
                <c:pt idx="18">
                  <c:v>0.47916666666666669</c:v>
                </c:pt>
                <c:pt idx="19">
                  <c:v>0.47916666666666669</c:v>
                </c:pt>
                <c:pt idx="20">
                  <c:v>0.47916666666666669</c:v>
                </c:pt>
                <c:pt idx="21">
                  <c:v>0.47916666666666669</c:v>
                </c:pt>
                <c:pt idx="22">
                  <c:v>0.47916666666666669</c:v>
                </c:pt>
                <c:pt idx="23">
                  <c:v>0.47916666666666669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E-484C-BAEB-B6248F42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5D4-46CF-B837-188648B1B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4-46CF-B837-188648B1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5D4-46CF-B837-188648B1BC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4-46CF-B837-188648B1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046-4E0F-B92C-710600729B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6-4E0F-B92C-71060072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046-4E0F-B92C-710600729B4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6-4E0F-B92C-71060072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'15'!$D$6:$D$32</c:f>
              <c:strCache>
                <c:ptCount val="26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LATCH</c:v>
                </c:pt>
                <c:pt idx="6">
                  <c:v>BASE</c:v>
                </c:pt>
                <c:pt idx="7">
                  <c:v>LATCH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SLIDER</c:v>
                </c:pt>
                <c:pt idx="16">
                  <c:v>BASE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'15'!$L$6:$L$32</c:f>
              <c:numCache>
                <c:formatCode>_(* #,##0_);_(* \(#,##0\);_(* "-"_);_(@_)</c:formatCode>
                <c:ptCount val="27"/>
                <c:pt idx="0">
                  <c:v>2658</c:v>
                </c:pt>
                <c:pt idx="2">
                  <c:v>1382</c:v>
                </c:pt>
                <c:pt idx="3">
                  <c:v>4837</c:v>
                </c:pt>
                <c:pt idx="4">
                  <c:v>5155</c:v>
                </c:pt>
                <c:pt idx="5">
                  <c:v>8026</c:v>
                </c:pt>
                <c:pt idx="6">
                  <c:v>5013</c:v>
                </c:pt>
                <c:pt idx="7">
                  <c:v>2402</c:v>
                </c:pt>
                <c:pt idx="8">
                  <c:v>3754</c:v>
                </c:pt>
                <c:pt idx="10">
                  <c:v>32884</c:v>
                </c:pt>
                <c:pt idx="11">
                  <c:v>7670</c:v>
                </c:pt>
                <c:pt idx="12">
                  <c:v>1191</c:v>
                </c:pt>
                <c:pt idx="13">
                  <c:v>10658</c:v>
                </c:pt>
                <c:pt idx="14">
                  <c:v>5231</c:v>
                </c:pt>
                <c:pt idx="15">
                  <c:v>850</c:v>
                </c:pt>
                <c:pt idx="16">
                  <c:v>550</c:v>
                </c:pt>
                <c:pt idx="17">
                  <c:v>5702</c:v>
                </c:pt>
                <c:pt idx="18">
                  <c:v>57148</c:v>
                </c:pt>
                <c:pt idx="20">
                  <c:v>24024</c:v>
                </c:pt>
                <c:pt idx="22">
                  <c:v>322260</c:v>
                </c:pt>
                <c:pt idx="23">
                  <c:v>15501</c:v>
                </c:pt>
                <c:pt idx="25">
                  <c:v>25528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9-4240-9DFF-EDF8EF4C57D5}"/>
            </c:ext>
          </c:extLst>
        </c:ser>
        <c:ser>
          <c:idx val="1"/>
          <c:order val="1"/>
          <c:tx>
            <c:v>계획</c:v>
          </c:tx>
          <c:cat>
            <c:strRef>
              <c:f>'15'!$D$6:$D$32</c:f>
              <c:strCache>
                <c:ptCount val="26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LATCH</c:v>
                </c:pt>
                <c:pt idx="6">
                  <c:v>BASE</c:v>
                </c:pt>
                <c:pt idx="7">
                  <c:v>LATCH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SLIDER</c:v>
                </c:pt>
                <c:pt idx="16">
                  <c:v>BASE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'15'!$J$6:$J$32</c:f>
              <c:numCache>
                <c:formatCode>_(* #,##0_);_(* \(#,##0\);_(* "-"_);_(@_)</c:formatCode>
                <c:ptCount val="27"/>
                <c:pt idx="0">
                  <c:v>2658</c:v>
                </c:pt>
                <c:pt idx="1">
                  <c:v>221</c:v>
                </c:pt>
                <c:pt idx="2">
                  <c:v>1382</c:v>
                </c:pt>
                <c:pt idx="3">
                  <c:v>4837</c:v>
                </c:pt>
                <c:pt idx="4">
                  <c:v>5155</c:v>
                </c:pt>
                <c:pt idx="5">
                  <c:v>8026</c:v>
                </c:pt>
                <c:pt idx="6">
                  <c:v>5013</c:v>
                </c:pt>
                <c:pt idx="7">
                  <c:v>2402</c:v>
                </c:pt>
                <c:pt idx="8">
                  <c:v>3754</c:v>
                </c:pt>
                <c:pt idx="9">
                  <c:v>421</c:v>
                </c:pt>
                <c:pt idx="10">
                  <c:v>32884</c:v>
                </c:pt>
                <c:pt idx="11">
                  <c:v>7670</c:v>
                </c:pt>
                <c:pt idx="12">
                  <c:v>1191</c:v>
                </c:pt>
                <c:pt idx="13">
                  <c:v>10658</c:v>
                </c:pt>
                <c:pt idx="14">
                  <c:v>5231</c:v>
                </c:pt>
                <c:pt idx="15">
                  <c:v>850</c:v>
                </c:pt>
                <c:pt idx="16">
                  <c:v>550</c:v>
                </c:pt>
                <c:pt idx="17">
                  <c:v>5702</c:v>
                </c:pt>
                <c:pt idx="18">
                  <c:v>57148</c:v>
                </c:pt>
                <c:pt idx="19">
                  <c:v>0</c:v>
                </c:pt>
                <c:pt idx="20">
                  <c:v>24024</c:v>
                </c:pt>
                <c:pt idx="21">
                  <c:v>22300</c:v>
                </c:pt>
                <c:pt idx="22">
                  <c:v>322260</c:v>
                </c:pt>
                <c:pt idx="23">
                  <c:v>15501</c:v>
                </c:pt>
                <c:pt idx="24">
                  <c:v>1958</c:v>
                </c:pt>
                <c:pt idx="25">
                  <c:v>25528</c:v>
                </c:pt>
                <c:pt idx="26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9-4240-9DFF-EDF8EF4C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'15'!$AD$6:$AD$32</c:f>
              <c:strCache>
                <c:ptCount val="27"/>
                <c:pt idx="0">
                  <c:v>67%</c:v>
                </c:pt>
                <c:pt idx="1">
                  <c:v>0%</c:v>
                </c:pt>
                <c:pt idx="2">
                  <c:v>42%</c:v>
                </c:pt>
                <c:pt idx="3">
                  <c:v>88%</c:v>
                </c:pt>
                <c:pt idx="4">
                  <c:v>100%</c:v>
                </c:pt>
                <c:pt idx="5">
                  <c:v>88%</c:v>
                </c:pt>
                <c:pt idx="6">
                  <c:v>100%</c:v>
                </c:pt>
                <c:pt idx="7">
                  <c:v>25%</c:v>
                </c:pt>
                <c:pt idx="8">
                  <c:v>67%</c:v>
                </c:pt>
                <c:pt idx="9">
                  <c:v>0%</c:v>
                </c:pt>
                <c:pt idx="10">
                  <c:v>100%</c:v>
                </c:pt>
                <c:pt idx="11">
                  <c:v>83%</c:v>
                </c:pt>
                <c:pt idx="12">
                  <c:v>25%</c:v>
                </c:pt>
                <c:pt idx="13">
                  <c:v>100%</c:v>
                </c:pt>
                <c:pt idx="14">
                  <c:v>100%</c:v>
                </c:pt>
                <c:pt idx="15">
                  <c:v>21%</c:v>
                </c:pt>
                <c:pt idx="16">
                  <c:v>17%</c:v>
                </c:pt>
                <c:pt idx="17">
                  <c:v>58%</c:v>
                </c:pt>
                <c:pt idx="18">
                  <c:v>100%</c:v>
                </c:pt>
                <c:pt idx="19">
                  <c:v>0%</c:v>
                </c:pt>
                <c:pt idx="20">
                  <c:v>67%</c:v>
                </c:pt>
                <c:pt idx="21">
                  <c:v>0%</c:v>
                </c:pt>
                <c:pt idx="22">
                  <c:v>75%</c:v>
                </c:pt>
                <c:pt idx="23">
                  <c:v>100%</c:v>
                </c:pt>
                <c:pt idx="24">
                  <c:v>0%</c:v>
                </c:pt>
                <c:pt idx="25">
                  <c:v>100%</c:v>
                </c:pt>
                <c:pt idx="2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'15'!$D$6:$D$32</c:f>
              <c:strCache>
                <c:ptCount val="26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LATCH</c:v>
                </c:pt>
                <c:pt idx="6">
                  <c:v>BASE</c:v>
                </c:pt>
                <c:pt idx="7">
                  <c:v>LATCH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SLIDER</c:v>
                </c:pt>
                <c:pt idx="16">
                  <c:v>BASE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'15'!$AD$6:$AD$32</c:f>
              <c:numCache>
                <c:formatCode>0%</c:formatCode>
                <c:ptCount val="27"/>
                <c:pt idx="0">
                  <c:v>0.66666666666666663</c:v>
                </c:pt>
                <c:pt idx="1">
                  <c:v>0</c:v>
                </c:pt>
                <c:pt idx="2">
                  <c:v>0.41666666666666669</c:v>
                </c:pt>
                <c:pt idx="3">
                  <c:v>0.875</c:v>
                </c:pt>
                <c:pt idx="4">
                  <c:v>1</c:v>
                </c:pt>
                <c:pt idx="5">
                  <c:v>0.875</c:v>
                </c:pt>
                <c:pt idx="6">
                  <c:v>1</c:v>
                </c:pt>
                <c:pt idx="7">
                  <c:v>0.25</c:v>
                </c:pt>
                <c:pt idx="8">
                  <c:v>0.66666666666666663</c:v>
                </c:pt>
                <c:pt idx="9">
                  <c:v>0</c:v>
                </c:pt>
                <c:pt idx="10">
                  <c:v>1</c:v>
                </c:pt>
                <c:pt idx="11">
                  <c:v>0.83333333333333337</c:v>
                </c:pt>
                <c:pt idx="12">
                  <c:v>0.25</c:v>
                </c:pt>
                <c:pt idx="13">
                  <c:v>1</c:v>
                </c:pt>
                <c:pt idx="14">
                  <c:v>1</c:v>
                </c:pt>
                <c:pt idx="15">
                  <c:v>0.20833333333333334</c:v>
                </c:pt>
                <c:pt idx="16">
                  <c:v>0.16666666666666666</c:v>
                </c:pt>
                <c:pt idx="17">
                  <c:v>0.58333333333333337</c:v>
                </c:pt>
                <c:pt idx="18">
                  <c:v>1</c:v>
                </c:pt>
                <c:pt idx="19">
                  <c:v>0</c:v>
                </c:pt>
                <c:pt idx="20">
                  <c:v>0.66666666666666663</c:v>
                </c:pt>
                <c:pt idx="21">
                  <c:v>0</c:v>
                </c:pt>
                <c:pt idx="22">
                  <c:v>0.75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4-4CE1-A82B-FFEB092EE4B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74-4CE1-A82B-FFEB092EE4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'15'!$D$6:$D$32</c:f>
              <c:strCache>
                <c:ptCount val="26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LATCH</c:v>
                </c:pt>
                <c:pt idx="6">
                  <c:v>BASE</c:v>
                </c:pt>
                <c:pt idx="7">
                  <c:v>LATCH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SLIDER</c:v>
                </c:pt>
                <c:pt idx="16">
                  <c:v>BASE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'15'!$AE$6:$AE$32</c:f>
              <c:numCache>
                <c:formatCode>0%</c:formatCode>
                <c:ptCount val="27"/>
                <c:pt idx="0">
                  <c:v>0.56327160493827155</c:v>
                </c:pt>
                <c:pt idx="1">
                  <c:v>0.56327160493827155</c:v>
                </c:pt>
                <c:pt idx="2">
                  <c:v>0.56327160493827155</c:v>
                </c:pt>
                <c:pt idx="3">
                  <c:v>0.56327160493827155</c:v>
                </c:pt>
                <c:pt idx="4">
                  <c:v>0.56327160493827155</c:v>
                </c:pt>
                <c:pt idx="5">
                  <c:v>0.56327160493827155</c:v>
                </c:pt>
                <c:pt idx="6">
                  <c:v>0.56327160493827155</c:v>
                </c:pt>
                <c:pt idx="7">
                  <c:v>0.56327160493827155</c:v>
                </c:pt>
                <c:pt idx="8">
                  <c:v>0.56327160493827155</c:v>
                </c:pt>
                <c:pt idx="9">
                  <c:v>0.56327160493827155</c:v>
                </c:pt>
                <c:pt idx="10">
                  <c:v>0.56327160493827155</c:v>
                </c:pt>
                <c:pt idx="11">
                  <c:v>0.56327160493827155</c:v>
                </c:pt>
                <c:pt idx="12">
                  <c:v>0.56327160493827155</c:v>
                </c:pt>
                <c:pt idx="13">
                  <c:v>0.56327160493827155</c:v>
                </c:pt>
                <c:pt idx="14">
                  <c:v>0.56327160493827155</c:v>
                </c:pt>
                <c:pt idx="15">
                  <c:v>0.56327160493827155</c:v>
                </c:pt>
                <c:pt idx="16">
                  <c:v>0.56327160493827155</c:v>
                </c:pt>
                <c:pt idx="17">
                  <c:v>0.56327160493827155</c:v>
                </c:pt>
                <c:pt idx="18">
                  <c:v>0.56327160493827155</c:v>
                </c:pt>
                <c:pt idx="19">
                  <c:v>0.56327160493827155</c:v>
                </c:pt>
                <c:pt idx="20">
                  <c:v>0.56327160493827155</c:v>
                </c:pt>
                <c:pt idx="21">
                  <c:v>0.56327160493827155</c:v>
                </c:pt>
                <c:pt idx="22">
                  <c:v>0.56327160493827155</c:v>
                </c:pt>
                <c:pt idx="23">
                  <c:v>0.56327160493827155</c:v>
                </c:pt>
                <c:pt idx="24">
                  <c:v>0.56327160493827155</c:v>
                </c:pt>
                <c:pt idx="25">
                  <c:v>0.56327160493827155</c:v>
                </c:pt>
                <c:pt idx="26">
                  <c:v>0.56327160493827155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4-4CE1-A82B-FFEB092EE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'15'!$D$6:$D$32</c:f>
              <c:strCache>
                <c:ptCount val="26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LATCH</c:v>
                </c:pt>
                <c:pt idx="6">
                  <c:v>BASE</c:v>
                </c:pt>
                <c:pt idx="7">
                  <c:v>LATCH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SLIDER</c:v>
                </c:pt>
                <c:pt idx="16">
                  <c:v>BASE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'15'!$L$6:$L$32</c:f>
              <c:numCache>
                <c:formatCode>_(* #,##0_);_(* \(#,##0\);_(* "-"_);_(@_)</c:formatCode>
                <c:ptCount val="27"/>
                <c:pt idx="0">
                  <c:v>2658</c:v>
                </c:pt>
                <c:pt idx="2">
                  <c:v>1382</c:v>
                </c:pt>
                <c:pt idx="3">
                  <c:v>4837</c:v>
                </c:pt>
                <c:pt idx="4">
                  <c:v>5155</c:v>
                </c:pt>
                <c:pt idx="5">
                  <c:v>8026</c:v>
                </c:pt>
                <c:pt idx="6">
                  <c:v>5013</c:v>
                </c:pt>
                <c:pt idx="7">
                  <c:v>2402</c:v>
                </c:pt>
                <c:pt idx="8">
                  <c:v>3754</c:v>
                </c:pt>
                <c:pt idx="10">
                  <c:v>32884</c:v>
                </c:pt>
                <c:pt idx="11">
                  <c:v>7670</c:v>
                </c:pt>
                <c:pt idx="12">
                  <c:v>1191</c:v>
                </c:pt>
                <c:pt idx="13">
                  <c:v>10658</c:v>
                </c:pt>
                <c:pt idx="14">
                  <c:v>5231</c:v>
                </c:pt>
                <c:pt idx="15">
                  <c:v>850</c:v>
                </c:pt>
                <c:pt idx="16">
                  <c:v>550</c:v>
                </c:pt>
                <c:pt idx="17">
                  <c:v>5702</c:v>
                </c:pt>
                <c:pt idx="18">
                  <c:v>57148</c:v>
                </c:pt>
                <c:pt idx="20">
                  <c:v>24024</c:v>
                </c:pt>
                <c:pt idx="22">
                  <c:v>322260</c:v>
                </c:pt>
                <c:pt idx="23">
                  <c:v>15501</c:v>
                </c:pt>
                <c:pt idx="25">
                  <c:v>25528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5D8-BC7A-50C0818DF764}"/>
            </c:ext>
          </c:extLst>
        </c:ser>
        <c:ser>
          <c:idx val="1"/>
          <c:order val="1"/>
          <c:tx>
            <c:v>계획</c:v>
          </c:tx>
          <c:cat>
            <c:strRef>
              <c:f>'15'!$D$6:$D$32</c:f>
              <c:strCache>
                <c:ptCount val="26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LATCH</c:v>
                </c:pt>
                <c:pt idx="6">
                  <c:v>BASE</c:v>
                </c:pt>
                <c:pt idx="7">
                  <c:v>LATCH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SLIDER</c:v>
                </c:pt>
                <c:pt idx="16">
                  <c:v>BASE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'15'!$J$6:$J$32</c:f>
              <c:numCache>
                <c:formatCode>_(* #,##0_);_(* \(#,##0\);_(* "-"_);_(@_)</c:formatCode>
                <c:ptCount val="27"/>
                <c:pt idx="0">
                  <c:v>2658</c:v>
                </c:pt>
                <c:pt idx="1">
                  <c:v>221</c:v>
                </c:pt>
                <c:pt idx="2">
                  <c:v>1382</c:v>
                </c:pt>
                <c:pt idx="3">
                  <c:v>4837</c:v>
                </c:pt>
                <c:pt idx="4">
                  <c:v>5155</c:v>
                </c:pt>
                <c:pt idx="5">
                  <c:v>8026</c:v>
                </c:pt>
                <c:pt idx="6">
                  <c:v>5013</c:v>
                </c:pt>
                <c:pt idx="7">
                  <c:v>2402</c:v>
                </c:pt>
                <c:pt idx="8">
                  <c:v>3754</c:v>
                </c:pt>
                <c:pt idx="9">
                  <c:v>421</c:v>
                </c:pt>
                <c:pt idx="10">
                  <c:v>32884</c:v>
                </c:pt>
                <c:pt idx="11">
                  <c:v>7670</c:v>
                </c:pt>
                <c:pt idx="12">
                  <c:v>1191</c:v>
                </c:pt>
                <c:pt idx="13">
                  <c:v>10658</c:v>
                </c:pt>
                <c:pt idx="14">
                  <c:v>5231</c:v>
                </c:pt>
                <c:pt idx="15">
                  <c:v>850</c:v>
                </c:pt>
                <c:pt idx="16">
                  <c:v>550</c:v>
                </c:pt>
                <c:pt idx="17">
                  <c:v>5702</c:v>
                </c:pt>
                <c:pt idx="18">
                  <c:v>57148</c:v>
                </c:pt>
                <c:pt idx="19">
                  <c:v>0</c:v>
                </c:pt>
                <c:pt idx="20">
                  <c:v>24024</c:v>
                </c:pt>
                <c:pt idx="21">
                  <c:v>22300</c:v>
                </c:pt>
                <c:pt idx="22">
                  <c:v>322260</c:v>
                </c:pt>
                <c:pt idx="23">
                  <c:v>15501</c:v>
                </c:pt>
                <c:pt idx="24">
                  <c:v>1958</c:v>
                </c:pt>
                <c:pt idx="25">
                  <c:v>25528</c:v>
                </c:pt>
                <c:pt idx="26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9-45D8-BC7A-50C0818D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'15'!$AD$6:$AD$32</c:f>
              <c:strCache>
                <c:ptCount val="27"/>
                <c:pt idx="0">
                  <c:v>67%</c:v>
                </c:pt>
                <c:pt idx="1">
                  <c:v>0%</c:v>
                </c:pt>
                <c:pt idx="2">
                  <c:v>42%</c:v>
                </c:pt>
                <c:pt idx="3">
                  <c:v>88%</c:v>
                </c:pt>
                <c:pt idx="4">
                  <c:v>100%</c:v>
                </c:pt>
                <c:pt idx="5">
                  <c:v>88%</c:v>
                </c:pt>
                <c:pt idx="6">
                  <c:v>100%</c:v>
                </c:pt>
                <c:pt idx="7">
                  <c:v>25%</c:v>
                </c:pt>
                <c:pt idx="8">
                  <c:v>67%</c:v>
                </c:pt>
                <c:pt idx="9">
                  <c:v>0%</c:v>
                </c:pt>
                <c:pt idx="10">
                  <c:v>100%</c:v>
                </c:pt>
                <c:pt idx="11">
                  <c:v>83%</c:v>
                </c:pt>
                <c:pt idx="12">
                  <c:v>25%</c:v>
                </c:pt>
                <c:pt idx="13">
                  <c:v>100%</c:v>
                </c:pt>
                <c:pt idx="14">
                  <c:v>100%</c:v>
                </c:pt>
                <c:pt idx="15">
                  <c:v>21%</c:v>
                </c:pt>
                <c:pt idx="16">
                  <c:v>17%</c:v>
                </c:pt>
                <c:pt idx="17">
                  <c:v>58%</c:v>
                </c:pt>
                <c:pt idx="18">
                  <c:v>100%</c:v>
                </c:pt>
                <c:pt idx="19">
                  <c:v>0%</c:v>
                </c:pt>
                <c:pt idx="20">
                  <c:v>67%</c:v>
                </c:pt>
                <c:pt idx="21">
                  <c:v>0%</c:v>
                </c:pt>
                <c:pt idx="22">
                  <c:v>75%</c:v>
                </c:pt>
                <c:pt idx="23">
                  <c:v>100%</c:v>
                </c:pt>
                <c:pt idx="24">
                  <c:v>0%</c:v>
                </c:pt>
                <c:pt idx="25">
                  <c:v>100%</c:v>
                </c:pt>
                <c:pt idx="2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'15'!$D$6:$D$32</c:f>
              <c:strCache>
                <c:ptCount val="26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LATCH</c:v>
                </c:pt>
                <c:pt idx="6">
                  <c:v>BASE</c:v>
                </c:pt>
                <c:pt idx="7">
                  <c:v>LATCH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SLIDER</c:v>
                </c:pt>
                <c:pt idx="16">
                  <c:v>BASE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'15'!$AD$6:$AD$32</c:f>
              <c:numCache>
                <c:formatCode>0%</c:formatCode>
                <c:ptCount val="27"/>
                <c:pt idx="0">
                  <c:v>0.66666666666666663</c:v>
                </c:pt>
                <c:pt idx="1">
                  <c:v>0</c:v>
                </c:pt>
                <c:pt idx="2">
                  <c:v>0.41666666666666669</c:v>
                </c:pt>
                <c:pt idx="3">
                  <c:v>0.875</c:v>
                </c:pt>
                <c:pt idx="4">
                  <c:v>1</c:v>
                </c:pt>
                <c:pt idx="5">
                  <c:v>0.875</c:v>
                </c:pt>
                <c:pt idx="6">
                  <c:v>1</c:v>
                </c:pt>
                <c:pt idx="7">
                  <c:v>0.25</c:v>
                </c:pt>
                <c:pt idx="8">
                  <c:v>0.66666666666666663</c:v>
                </c:pt>
                <c:pt idx="9">
                  <c:v>0</c:v>
                </c:pt>
                <c:pt idx="10">
                  <c:v>1</c:v>
                </c:pt>
                <c:pt idx="11">
                  <c:v>0.83333333333333337</c:v>
                </c:pt>
                <c:pt idx="12">
                  <c:v>0.25</c:v>
                </c:pt>
                <c:pt idx="13">
                  <c:v>1</c:v>
                </c:pt>
                <c:pt idx="14">
                  <c:v>1</c:v>
                </c:pt>
                <c:pt idx="15">
                  <c:v>0.20833333333333334</c:v>
                </c:pt>
                <c:pt idx="16">
                  <c:v>0.16666666666666666</c:v>
                </c:pt>
                <c:pt idx="17">
                  <c:v>0.58333333333333337</c:v>
                </c:pt>
                <c:pt idx="18">
                  <c:v>1</c:v>
                </c:pt>
                <c:pt idx="19">
                  <c:v>0</c:v>
                </c:pt>
                <c:pt idx="20">
                  <c:v>0.66666666666666663</c:v>
                </c:pt>
                <c:pt idx="21">
                  <c:v>0</c:v>
                </c:pt>
                <c:pt idx="22">
                  <c:v>0.75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4-465B-806E-E26685930F7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64-465B-806E-E26685930F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'15'!$D$6:$D$32</c:f>
              <c:strCache>
                <c:ptCount val="26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LATCH</c:v>
                </c:pt>
                <c:pt idx="6">
                  <c:v>BASE</c:v>
                </c:pt>
                <c:pt idx="7">
                  <c:v>LATCH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SLIDER</c:v>
                </c:pt>
                <c:pt idx="16">
                  <c:v>BASE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'15'!$AE$6:$AE$32</c:f>
              <c:numCache>
                <c:formatCode>0%</c:formatCode>
                <c:ptCount val="27"/>
                <c:pt idx="0">
                  <c:v>0.56327160493827155</c:v>
                </c:pt>
                <c:pt idx="1">
                  <c:v>0.56327160493827155</c:v>
                </c:pt>
                <c:pt idx="2">
                  <c:v>0.56327160493827155</c:v>
                </c:pt>
                <c:pt idx="3">
                  <c:v>0.56327160493827155</c:v>
                </c:pt>
                <c:pt idx="4">
                  <c:v>0.56327160493827155</c:v>
                </c:pt>
                <c:pt idx="5">
                  <c:v>0.56327160493827155</c:v>
                </c:pt>
                <c:pt idx="6">
                  <c:v>0.56327160493827155</c:v>
                </c:pt>
                <c:pt idx="7">
                  <c:v>0.56327160493827155</c:v>
                </c:pt>
                <c:pt idx="8">
                  <c:v>0.56327160493827155</c:v>
                </c:pt>
                <c:pt idx="9">
                  <c:v>0.56327160493827155</c:v>
                </c:pt>
                <c:pt idx="10">
                  <c:v>0.56327160493827155</c:v>
                </c:pt>
                <c:pt idx="11">
                  <c:v>0.56327160493827155</c:v>
                </c:pt>
                <c:pt idx="12">
                  <c:v>0.56327160493827155</c:v>
                </c:pt>
                <c:pt idx="13">
                  <c:v>0.56327160493827155</c:v>
                </c:pt>
                <c:pt idx="14">
                  <c:v>0.56327160493827155</c:v>
                </c:pt>
                <c:pt idx="15">
                  <c:v>0.56327160493827155</c:v>
                </c:pt>
                <c:pt idx="16">
                  <c:v>0.56327160493827155</c:v>
                </c:pt>
                <c:pt idx="17">
                  <c:v>0.56327160493827155</c:v>
                </c:pt>
                <c:pt idx="18">
                  <c:v>0.56327160493827155</c:v>
                </c:pt>
                <c:pt idx="19">
                  <c:v>0.56327160493827155</c:v>
                </c:pt>
                <c:pt idx="20">
                  <c:v>0.56327160493827155</c:v>
                </c:pt>
                <c:pt idx="21">
                  <c:v>0.56327160493827155</c:v>
                </c:pt>
                <c:pt idx="22">
                  <c:v>0.56327160493827155</c:v>
                </c:pt>
                <c:pt idx="23">
                  <c:v>0.56327160493827155</c:v>
                </c:pt>
                <c:pt idx="24">
                  <c:v>0.56327160493827155</c:v>
                </c:pt>
                <c:pt idx="25">
                  <c:v>0.56327160493827155</c:v>
                </c:pt>
                <c:pt idx="26">
                  <c:v>0.56327160493827155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4-465B-806E-E2668593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BC1-4B4C-ACA6-B23DD8380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1-4B4C-ACA6-B23DD838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BC1-4B4C-ACA6-B23DD83803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1-4B4C-ACA6-B23DD838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'16'!$D$6:$D$31</c:f>
              <c:strCache>
                <c:ptCount val="25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  <c:pt idx="15">
                  <c:v>COVER</c:v>
                </c:pt>
                <c:pt idx="16">
                  <c:v>STOPPER</c:v>
                </c:pt>
                <c:pt idx="19">
                  <c:v>SEPARATOR</c:v>
                </c:pt>
                <c:pt idx="20">
                  <c:v>BASE</c:v>
                </c:pt>
                <c:pt idx="22">
                  <c:v>BASE</c:v>
                </c:pt>
                <c:pt idx="23">
                  <c:v>SLIDER</c:v>
                </c:pt>
                <c:pt idx="24">
                  <c:v>COVER</c:v>
                </c:pt>
              </c:strCache>
            </c:strRef>
          </c:cat>
          <c:val>
            <c:numRef>
              <c:f>'16'!$L$6:$L$31</c:f>
              <c:numCache>
                <c:formatCode>_(* #,##0_);_(* \(#,##0\);_(* "-"_);_(@_)</c:formatCode>
                <c:ptCount val="26"/>
                <c:pt idx="2">
                  <c:v>1821</c:v>
                </c:pt>
                <c:pt idx="3">
                  <c:v>5664</c:v>
                </c:pt>
                <c:pt idx="4">
                  <c:v>5233</c:v>
                </c:pt>
                <c:pt idx="5">
                  <c:v>2643</c:v>
                </c:pt>
                <c:pt idx="6">
                  <c:v>5210</c:v>
                </c:pt>
                <c:pt idx="7">
                  <c:v>5850</c:v>
                </c:pt>
                <c:pt idx="9">
                  <c:v>36796</c:v>
                </c:pt>
                <c:pt idx="10">
                  <c:v>11372</c:v>
                </c:pt>
                <c:pt idx="12">
                  <c:v>11130</c:v>
                </c:pt>
                <c:pt idx="13">
                  <c:v>5577</c:v>
                </c:pt>
                <c:pt idx="14">
                  <c:v>666</c:v>
                </c:pt>
                <c:pt idx="15">
                  <c:v>552</c:v>
                </c:pt>
                <c:pt idx="16">
                  <c:v>2614</c:v>
                </c:pt>
                <c:pt idx="17">
                  <c:v>64424</c:v>
                </c:pt>
                <c:pt idx="21">
                  <c:v>481964</c:v>
                </c:pt>
                <c:pt idx="22">
                  <c:v>18108</c:v>
                </c:pt>
                <c:pt idx="23">
                  <c:v>21292</c:v>
                </c:pt>
                <c:pt idx="24">
                  <c:v>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423-9B82-82301BB79135}"/>
            </c:ext>
          </c:extLst>
        </c:ser>
        <c:ser>
          <c:idx val="1"/>
          <c:order val="1"/>
          <c:tx>
            <c:v>계획</c:v>
          </c:tx>
          <c:cat>
            <c:strRef>
              <c:f>'16'!$D$6:$D$31</c:f>
              <c:strCache>
                <c:ptCount val="25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  <c:pt idx="15">
                  <c:v>COVER</c:v>
                </c:pt>
                <c:pt idx="16">
                  <c:v>STOPPER</c:v>
                </c:pt>
                <c:pt idx="19">
                  <c:v>SEPARATOR</c:v>
                </c:pt>
                <c:pt idx="20">
                  <c:v>BASE</c:v>
                </c:pt>
                <c:pt idx="22">
                  <c:v>BASE</c:v>
                </c:pt>
                <c:pt idx="23">
                  <c:v>SLIDER</c:v>
                </c:pt>
                <c:pt idx="24">
                  <c:v>COVER</c:v>
                </c:pt>
              </c:strCache>
            </c:strRef>
          </c:cat>
          <c:val>
            <c:numRef>
              <c:f>'16'!$J$6:$J$31</c:f>
              <c:numCache>
                <c:formatCode>_(* #,##0_);_(* \(#,##0\);_(* "-"_);_(@_)</c:formatCode>
                <c:ptCount val="26"/>
                <c:pt idx="0">
                  <c:v>2658</c:v>
                </c:pt>
                <c:pt idx="1">
                  <c:v>221</c:v>
                </c:pt>
                <c:pt idx="2">
                  <c:v>1821</c:v>
                </c:pt>
                <c:pt idx="3">
                  <c:v>5664</c:v>
                </c:pt>
                <c:pt idx="4">
                  <c:v>5233</c:v>
                </c:pt>
                <c:pt idx="5">
                  <c:v>2643</c:v>
                </c:pt>
                <c:pt idx="6">
                  <c:v>5210</c:v>
                </c:pt>
                <c:pt idx="7">
                  <c:v>5850</c:v>
                </c:pt>
                <c:pt idx="8">
                  <c:v>421</c:v>
                </c:pt>
                <c:pt idx="9">
                  <c:v>36796</c:v>
                </c:pt>
                <c:pt idx="10">
                  <c:v>11372</c:v>
                </c:pt>
                <c:pt idx="11">
                  <c:v>1191</c:v>
                </c:pt>
                <c:pt idx="12">
                  <c:v>11130</c:v>
                </c:pt>
                <c:pt idx="13">
                  <c:v>5577</c:v>
                </c:pt>
                <c:pt idx="14">
                  <c:v>666</c:v>
                </c:pt>
                <c:pt idx="15">
                  <c:v>552</c:v>
                </c:pt>
                <c:pt idx="16">
                  <c:v>2614</c:v>
                </c:pt>
                <c:pt idx="17">
                  <c:v>64424</c:v>
                </c:pt>
                <c:pt idx="18">
                  <c:v>0</c:v>
                </c:pt>
                <c:pt idx="19">
                  <c:v>24024</c:v>
                </c:pt>
                <c:pt idx="20">
                  <c:v>22300</c:v>
                </c:pt>
                <c:pt idx="21">
                  <c:v>481964</c:v>
                </c:pt>
                <c:pt idx="22">
                  <c:v>18108</c:v>
                </c:pt>
                <c:pt idx="23">
                  <c:v>21292</c:v>
                </c:pt>
                <c:pt idx="24">
                  <c:v>29800</c:v>
                </c:pt>
                <c:pt idx="25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423-9B82-82301BB7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'16'!$AD$6:$AD$31</c:f>
              <c:strCache>
                <c:ptCount val="26"/>
                <c:pt idx="0">
                  <c:v>0%</c:v>
                </c:pt>
                <c:pt idx="1">
                  <c:v>0%</c:v>
                </c:pt>
                <c:pt idx="2">
                  <c:v>96%</c:v>
                </c:pt>
                <c:pt idx="3">
                  <c:v>100%</c:v>
                </c:pt>
                <c:pt idx="4">
                  <c:v>100%</c:v>
                </c:pt>
                <c:pt idx="5">
                  <c:v>58%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17%</c:v>
                </c:pt>
                <c:pt idx="15">
                  <c:v>17%</c:v>
                </c:pt>
                <c:pt idx="16">
                  <c:v>54%</c:v>
                </c:pt>
                <c:pt idx="17">
                  <c:v>100%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100%</c:v>
                </c:pt>
                <c:pt idx="22">
                  <c:v>100%</c:v>
                </c:pt>
                <c:pt idx="23">
                  <c:v>79%</c:v>
                </c:pt>
                <c:pt idx="24">
                  <c:v>100%</c:v>
                </c:pt>
                <c:pt idx="2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'16'!$D$6:$D$31</c:f>
              <c:strCache>
                <c:ptCount val="25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  <c:pt idx="15">
                  <c:v>COVER</c:v>
                </c:pt>
                <c:pt idx="16">
                  <c:v>STOPPER</c:v>
                </c:pt>
                <c:pt idx="19">
                  <c:v>SEPARATOR</c:v>
                </c:pt>
                <c:pt idx="20">
                  <c:v>BASE</c:v>
                </c:pt>
                <c:pt idx="22">
                  <c:v>BASE</c:v>
                </c:pt>
                <c:pt idx="23">
                  <c:v>SLIDER</c:v>
                </c:pt>
                <c:pt idx="24">
                  <c:v>COVER</c:v>
                </c:pt>
              </c:strCache>
            </c:strRef>
          </c:cat>
          <c:val>
            <c:numRef>
              <c:f>'16'!$AD$6:$AD$31</c:f>
              <c:numCache>
                <c:formatCode>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0.95833333333333337</c:v>
                </c:pt>
                <c:pt idx="3">
                  <c:v>1</c:v>
                </c:pt>
                <c:pt idx="4">
                  <c:v>1</c:v>
                </c:pt>
                <c:pt idx="5">
                  <c:v>0.58333333333333337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0.54166666666666663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0.79166666666666663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5-4135-8A90-02CF9FFC35A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5-4135-8A90-02CF9FFC35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'16'!$D$6:$D$31</c:f>
              <c:strCache>
                <c:ptCount val="25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  <c:pt idx="15">
                  <c:v>COVER</c:v>
                </c:pt>
                <c:pt idx="16">
                  <c:v>STOPPER</c:v>
                </c:pt>
                <c:pt idx="19">
                  <c:v>SEPARATOR</c:v>
                </c:pt>
                <c:pt idx="20">
                  <c:v>BASE</c:v>
                </c:pt>
                <c:pt idx="22">
                  <c:v>BASE</c:v>
                </c:pt>
                <c:pt idx="23">
                  <c:v>SLIDER</c:v>
                </c:pt>
                <c:pt idx="24">
                  <c:v>COVER</c:v>
                </c:pt>
              </c:strCache>
            </c:strRef>
          </c:cat>
          <c:val>
            <c:numRef>
              <c:f>'16'!$AE$6:$AE$31</c:f>
              <c:numCache>
                <c:formatCode>0%</c:formatCode>
                <c:ptCount val="26"/>
                <c:pt idx="0">
                  <c:v>0.58493589743589736</c:v>
                </c:pt>
                <c:pt idx="1">
                  <c:v>0.58493589743589736</c:v>
                </c:pt>
                <c:pt idx="2">
                  <c:v>0.58493589743589736</c:v>
                </c:pt>
                <c:pt idx="3">
                  <c:v>0.58493589743589736</c:v>
                </c:pt>
                <c:pt idx="4">
                  <c:v>0.58493589743589736</c:v>
                </c:pt>
                <c:pt idx="5">
                  <c:v>0.58493589743589736</c:v>
                </c:pt>
                <c:pt idx="6">
                  <c:v>0.58493589743589736</c:v>
                </c:pt>
                <c:pt idx="7">
                  <c:v>0.58493589743589736</c:v>
                </c:pt>
                <c:pt idx="8">
                  <c:v>0.58493589743589736</c:v>
                </c:pt>
                <c:pt idx="9">
                  <c:v>0.58493589743589736</c:v>
                </c:pt>
                <c:pt idx="10">
                  <c:v>0.58493589743589736</c:v>
                </c:pt>
                <c:pt idx="11">
                  <c:v>0.58493589743589736</c:v>
                </c:pt>
                <c:pt idx="12">
                  <c:v>0.58493589743589736</c:v>
                </c:pt>
                <c:pt idx="13">
                  <c:v>0.58493589743589736</c:v>
                </c:pt>
                <c:pt idx="14">
                  <c:v>0.58493589743589736</c:v>
                </c:pt>
                <c:pt idx="15">
                  <c:v>0.58493589743589736</c:v>
                </c:pt>
                <c:pt idx="16">
                  <c:v>0.58493589743589736</c:v>
                </c:pt>
                <c:pt idx="17">
                  <c:v>0.58493589743589736</c:v>
                </c:pt>
                <c:pt idx="18">
                  <c:v>0.58493589743589736</c:v>
                </c:pt>
                <c:pt idx="19">
                  <c:v>0.58493589743589736</c:v>
                </c:pt>
                <c:pt idx="20">
                  <c:v>0.58493589743589736</c:v>
                </c:pt>
                <c:pt idx="21">
                  <c:v>0.58493589743589736</c:v>
                </c:pt>
                <c:pt idx="22">
                  <c:v>0.58493589743589736</c:v>
                </c:pt>
                <c:pt idx="23">
                  <c:v>0.58493589743589736</c:v>
                </c:pt>
                <c:pt idx="24">
                  <c:v>0.58493589743589736</c:v>
                </c:pt>
                <c:pt idx="25">
                  <c:v>0.58493589743589736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5-4135-8A90-02CF9FFC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'16'!$D$6:$D$31</c:f>
              <c:strCache>
                <c:ptCount val="25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  <c:pt idx="15">
                  <c:v>COVER</c:v>
                </c:pt>
                <c:pt idx="16">
                  <c:v>STOPPER</c:v>
                </c:pt>
                <c:pt idx="19">
                  <c:v>SEPARATOR</c:v>
                </c:pt>
                <c:pt idx="20">
                  <c:v>BASE</c:v>
                </c:pt>
                <c:pt idx="22">
                  <c:v>BASE</c:v>
                </c:pt>
                <c:pt idx="23">
                  <c:v>SLIDER</c:v>
                </c:pt>
                <c:pt idx="24">
                  <c:v>COVER</c:v>
                </c:pt>
              </c:strCache>
            </c:strRef>
          </c:cat>
          <c:val>
            <c:numRef>
              <c:f>'16'!$L$6:$L$31</c:f>
              <c:numCache>
                <c:formatCode>_(* #,##0_);_(* \(#,##0\);_(* "-"_);_(@_)</c:formatCode>
                <c:ptCount val="26"/>
                <c:pt idx="2">
                  <c:v>1821</c:v>
                </c:pt>
                <c:pt idx="3">
                  <c:v>5664</c:v>
                </c:pt>
                <c:pt idx="4">
                  <c:v>5233</c:v>
                </c:pt>
                <c:pt idx="5">
                  <c:v>2643</c:v>
                </c:pt>
                <c:pt idx="6">
                  <c:v>5210</c:v>
                </c:pt>
                <c:pt idx="7">
                  <c:v>5850</c:v>
                </c:pt>
                <c:pt idx="9">
                  <c:v>36796</c:v>
                </c:pt>
                <c:pt idx="10">
                  <c:v>11372</c:v>
                </c:pt>
                <c:pt idx="12">
                  <c:v>11130</c:v>
                </c:pt>
                <c:pt idx="13">
                  <c:v>5577</c:v>
                </c:pt>
                <c:pt idx="14">
                  <c:v>666</c:v>
                </c:pt>
                <c:pt idx="15">
                  <c:v>552</c:v>
                </c:pt>
                <c:pt idx="16">
                  <c:v>2614</c:v>
                </c:pt>
                <c:pt idx="17">
                  <c:v>64424</c:v>
                </c:pt>
                <c:pt idx="21">
                  <c:v>481964</c:v>
                </c:pt>
                <c:pt idx="22">
                  <c:v>18108</c:v>
                </c:pt>
                <c:pt idx="23">
                  <c:v>21292</c:v>
                </c:pt>
                <c:pt idx="24">
                  <c:v>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E-4F15-9247-34301FC82071}"/>
            </c:ext>
          </c:extLst>
        </c:ser>
        <c:ser>
          <c:idx val="1"/>
          <c:order val="1"/>
          <c:tx>
            <c:v>계획</c:v>
          </c:tx>
          <c:cat>
            <c:strRef>
              <c:f>'16'!$D$6:$D$31</c:f>
              <c:strCache>
                <c:ptCount val="25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  <c:pt idx="15">
                  <c:v>COVER</c:v>
                </c:pt>
                <c:pt idx="16">
                  <c:v>STOPPER</c:v>
                </c:pt>
                <c:pt idx="19">
                  <c:v>SEPARATOR</c:v>
                </c:pt>
                <c:pt idx="20">
                  <c:v>BASE</c:v>
                </c:pt>
                <c:pt idx="22">
                  <c:v>BASE</c:v>
                </c:pt>
                <c:pt idx="23">
                  <c:v>SLIDER</c:v>
                </c:pt>
                <c:pt idx="24">
                  <c:v>COVER</c:v>
                </c:pt>
              </c:strCache>
            </c:strRef>
          </c:cat>
          <c:val>
            <c:numRef>
              <c:f>'16'!$J$6:$J$31</c:f>
              <c:numCache>
                <c:formatCode>_(* #,##0_);_(* \(#,##0\);_(* "-"_);_(@_)</c:formatCode>
                <c:ptCount val="26"/>
                <c:pt idx="0">
                  <c:v>2658</c:v>
                </c:pt>
                <c:pt idx="1">
                  <c:v>221</c:v>
                </c:pt>
                <c:pt idx="2">
                  <c:v>1821</c:v>
                </c:pt>
                <c:pt idx="3">
                  <c:v>5664</c:v>
                </c:pt>
                <c:pt idx="4">
                  <c:v>5233</c:v>
                </c:pt>
                <c:pt idx="5">
                  <c:v>2643</c:v>
                </c:pt>
                <c:pt idx="6">
                  <c:v>5210</c:v>
                </c:pt>
                <c:pt idx="7">
                  <c:v>5850</c:v>
                </c:pt>
                <c:pt idx="8">
                  <c:v>421</c:v>
                </c:pt>
                <c:pt idx="9">
                  <c:v>36796</c:v>
                </c:pt>
                <c:pt idx="10">
                  <c:v>11372</c:v>
                </c:pt>
                <c:pt idx="11">
                  <c:v>1191</c:v>
                </c:pt>
                <c:pt idx="12">
                  <c:v>11130</c:v>
                </c:pt>
                <c:pt idx="13">
                  <c:v>5577</c:v>
                </c:pt>
                <c:pt idx="14">
                  <c:v>666</c:v>
                </c:pt>
                <c:pt idx="15">
                  <c:v>552</c:v>
                </c:pt>
                <c:pt idx="16">
                  <c:v>2614</c:v>
                </c:pt>
                <c:pt idx="17">
                  <c:v>64424</c:v>
                </c:pt>
                <c:pt idx="18">
                  <c:v>0</c:v>
                </c:pt>
                <c:pt idx="19">
                  <c:v>24024</c:v>
                </c:pt>
                <c:pt idx="20">
                  <c:v>22300</c:v>
                </c:pt>
                <c:pt idx="21">
                  <c:v>481964</c:v>
                </c:pt>
                <c:pt idx="22">
                  <c:v>18108</c:v>
                </c:pt>
                <c:pt idx="23">
                  <c:v>21292</c:v>
                </c:pt>
                <c:pt idx="24">
                  <c:v>29800</c:v>
                </c:pt>
                <c:pt idx="25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E-4F15-9247-34301FC8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'16'!$AD$6:$AD$31</c:f>
              <c:strCache>
                <c:ptCount val="26"/>
                <c:pt idx="0">
                  <c:v>0%</c:v>
                </c:pt>
                <c:pt idx="1">
                  <c:v>0%</c:v>
                </c:pt>
                <c:pt idx="2">
                  <c:v>96%</c:v>
                </c:pt>
                <c:pt idx="3">
                  <c:v>100%</c:v>
                </c:pt>
                <c:pt idx="4">
                  <c:v>100%</c:v>
                </c:pt>
                <c:pt idx="5">
                  <c:v>58%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17%</c:v>
                </c:pt>
                <c:pt idx="15">
                  <c:v>17%</c:v>
                </c:pt>
                <c:pt idx="16">
                  <c:v>54%</c:v>
                </c:pt>
                <c:pt idx="17">
                  <c:v>100%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100%</c:v>
                </c:pt>
                <c:pt idx="22">
                  <c:v>100%</c:v>
                </c:pt>
                <c:pt idx="23">
                  <c:v>79%</c:v>
                </c:pt>
                <c:pt idx="24">
                  <c:v>100%</c:v>
                </c:pt>
                <c:pt idx="2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'16'!$D$6:$D$31</c:f>
              <c:strCache>
                <c:ptCount val="25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  <c:pt idx="15">
                  <c:v>COVER</c:v>
                </c:pt>
                <c:pt idx="16">
                  <c:v>STOPPER</c:v>
                </c:pt>
                <c:pt idx="19">
                  <c:v>SEPARATOR</c:v>
                </c:pt>
                <c:pt idx="20">
                  <c:v>BASE</c:v>
                </c:pt>
                <c:pt idx="22">
                  <c:v>BASE</c:v>
                </c:pt>
                <c:pt idx="23">
                  <c:v>SLIDER</c:v>
                </c:pt>
                <c:pt idx="24">
                  <c:v>COVER</c:v>
                </c:pt>
              </c:strCache>
            </c:strRef>
          </c:cat>
          <c:val>
            <c:numRef>
              <c:f>'16'!$AD$6:$AD$31</c:f>
              <c:numCache>
                <c:formatCode>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0.95833333333333337</c:v>
                </c:pt>
                <c:pt idx="3">
                  <c:v>1</c:v>
                </c:pt>
                <c:pt idx="4">
                  <c:v>1</c:v>
                </c:pt>
                <c:pt idx="5">
                  <c:v>0.58333333333333337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0.54166666666666663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0.79166666666666663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2-4F60-BD0C-AF485627E8D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2-4F60-BD0C-AF485627E8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'16'!$D$6:$D$31</c:f>
              <c:strCache>
                <c:ptCount val="25"/>
                <c:pt idx="0">
                  <c:v>F/A</c:v>
                </c:pt>
                <c:pt idx="1">
                  <c:v>BASE</c:v>
                </c:pt>
                <c:pt idx="2">
                  <c:v>BASE</c:v>
                </c:pt>
                <c:pt idx="3">
                  <c:v>STOPPER</c:v>
                </c:pt>
                <c:pt idx="4">
                  <c:v>BASE</c:v>
                </c:pt>
                <c:pt idx="5">
                  <c:v>BOTTOM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  <c:pt idx="15">
                  <c:v>COVER</c:v>
                </c:pt>
                <c:pt idx="16">
                  <c:v>STOPPER</c:v>
                </c:pt>
                <c:pt idx="19">
                  <c:v>SEPARATOR</c:v>
                </c:pt>
                <c:pt idx="20">
                  <c:v>BASE</c:v>
                </c:pt>
                <c:pt idx="22">
                  <c:v>BASE</c:v>
                </c:pt>
                <c:pt idx="23">
                  <c:v>SLIDER</c:v>
                </c:pt>
                <c:pt idx="24">
                  <c:v>COVER</c:v>
                </c:pt>
              </c:strCache>
            </c:strRef>
          </c:cat>
          <c:val>
            <c:numRef>
              <c:f>'16'!$AE$6:$AE$31</c:f>
              <c:numCache>
                <c:formatCode>0%</c:formatCode>
                <c:ptCount val="26"/>
                <c:pt idx="0">
                  <c:v>0.58493589743589736</c:v>
                </c:pt>
                <c:pt idx="1">
                  <c:v>0.58493589743589736</c:v>
                </c:pt>
                <c:pt idx="2">
                  <c:v>0.58493589743589736</c:v>
                </c:pt>
                <c:pt idx="3">
                  <c:v>0.58493589743589736</c:v>
                </c:pt>
                <c:pt idx="4">
                  <c:v>0.58493589743589736</c:v>
                </c:pt>
                <c:pt idx="5">
                  <c:v>0.58493589743589736</c:v>
                </c:pt>
                <c:pt idx="6">
                  <c:v>0.58493589743589736</c:v>
                </c:pt>
                <c:pt idx="7">
                  <c:v>0.58493589743589736</c:v>
                </c:pt>
                <c:pt idx="8">
                  <c:v>0.58493589743589736</c:v>
                </c:pt>
                <c:pt idx="9">
                  <c:v>0.58493589743589736</c:v>
                </c:pt>
                <c:pt idx="10">
                  <c:v>0.58493589743589736</c:v>
                </c:pt>
                <c:pt idx="11">
                  <c:v>0.58493589743589736</c:v>
                </c:pt>
                <c:pt idx="12">
                  <c:v>0.58493589743589736</c:v>
                </c:pt>
                <c:pt idx="13">
                  <c:v>0.58493589743589736</c:v>
                </c:pt>
                <c:pt idx="14">
                  <c:v>0.58493589743589736</c:v>
                </c:pt>
                <c:pt idx="15">
                  <c:v>0.58493589743589736</c:v>
                </c:pt>
                <c:pt idx="16">
                  <c:v>0.58493589743589736</c:v>
                </c:pt>
                <c:pt idx="17">
                  <c:v>0.58493589743589736</c:v>
                </c:pt>
                <c:pt idx="18">
                  <c:v>0.58493589743589736</c:v>
                </c:pt>
                <c:pt idx="19">
                  <c:v>0.58493589743589736</c:v>
                </c:pt>
                <c:pt idx="20">
                  <c:v>0.58493589743589736</c:v>
                </c:pt>
                <c:pt idx="21">
                  <c:v>0.58493589743589736</c:v>
                </c:pt>
                <c:pt idx="22">
                  <c:v>0.58493589743589736</c:v>
                </c:pt>
                <c:pt idx="23">
                  <c:v>0.58493589743589736</c:v>
                </c:pt>
                <c:pt idx="24">
                  <c:v>0.58493589743589736</c:v>
                </c:pt>
                <c:pt idx="25">
                  <c:v>0.58493589743589736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2-4F60-BD0C-AF485627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F/A</c:v>
                </c:pt>
                <c:pt idx="3">
                  <c:v>CAM 1</c:v>
                </c:pt>
                <c:pt idx="4">
                  <c:v>BASE</c:v>
                </c:pt>
                <c:pt idx="5">
                  <c:v>COVER</c:v>
                </c:pt>
                <c:pt idx="6">
                  <c:v>22P</c:v>
                </c:pt>
                <c:pt idx="7">
                  <c:v>BASE</c:v>
                </c:pt>
                <c:pt idx="8">
                  <c:v>BODY/LID</c:v>
                </c:pt>
                <c:pt idx="9">
                  <c:v>UNDER</c:v>
                </c:pt>
                <c:pt idx="10">
                  <c:v>ADAPTER</c:v>
                </c:pt>
                <c:pt idx="11">
                  <c:v>ACTUATOR</c:v>
                </c:pt>
                <c:pt idx="12">
                  <c:v>SLIDER</c:v>
                </c:pt>
                <c:pt idx="13">
                  <c:v>BODY</c:v>
                </c:pt>
                <c:pt idx="14">
                  <c:v>SLIDER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'02'!$L$6:$L$30</c:f>
              <c:numCache>
                <c:formatCode>_(* #,##0_);_(* \(#,##0\);_(* "-"_);_(@_)</c:formatCode>
                <c:ptCount val="25"/>
                <c:pt idx="0">
                  <c:v>9248</c:v>
                </c:pt>
                <c:pt idx="1">
                  <c:v>122</c:v>
                </c:pt>
                <c:pt idx="2">
                  <c:v>3671</c:v>
                </c:pt>
                <c:pt idx="3">
                  <c:v>5356</c:v>
                </c:pt>
                <c:pt idx="4">
                  <c:v>5202</c:v>
                </c:pt>
                <c:pt idx="5">
                  <c:v>5482</c:v>
                </c:pt>
                <c:pt idx="6">
                  <c:v>27912</c:v>
                </c:pt>
                <c:pt idx="7">
                  <c:v>573</c:v>
                </c:pt>
                <c:pt idx="9">
                  <c:v>1182</c:v>
                </c:pt>
                <c:pt idx="10">
                  <c:v>11962</c:v>
                </c:pt>
                <c:pt idx="11">
                  <c:v>10808</c:v>
                </c:pt>
                <c:pt idx="12">
                  <c:v>18304</c:v>
                </c:pt>
                <c:pt idx="13">
                  <c:v>5319</c:v>
                </c:pt>
                <c:pt idx="14">
                  <c:v>4638</c:v>
                </c:pt>
                <c:pt idx="15">
                  <c:v>10452</c:v>
                </c:pt>
                <c:pt idx="16">
                  <c:v>4128</c:v>
                </c:pt>
                <c:pt idx="20">
                  <c:v>326312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8-4902-915D-B920FA7ADE09}"/>
            </c:ext>
          </c:extLst>
        </c:ser>
        <c:ser>
          <c:idx val="1"/>
          <c:order val="1"/>
          <c:tx>
            <c:v>계획</c:v>
          </c:tx>
          <c:cat>
            <c:strRef>
              <c:f>'02'!$D$6:$D$30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F/A</c:v>
                </c:pt>
                <c:pt idx="3">
                  <c:v>CAM 1</c:v>
                </c:pt>
                <c:pt idx="4">
                  <c:v>BASE</c:v>
                </c:pt>
                <c:pt idx="5">
                  <c:v>COVER</c:v>
                </c:pt>
                <c:pt idx="6">
                  <c:v>22P</c:v>
                </c:pt>
                <c:pt idx="7">
                  <c:v>BASE</c:v>
                </c:pt>
                <c:pt idx="8">
                  <c:v>BODY/LID</c:v>
                </c:pt>
                <c:pt idx="9">
                  <c:v>UNDER</c:v>
                </c:pt>
                <c:pt idx="10">
                  <c:v>ADAPTER</c:v>
                </c:pt>
                <c:pt idx="11">
                  <c:v>ACTUATOR</c:v>
                </c:pt>
                <c:pt idx="12">
                  <c:v>SLIDER</c:v>
                </c:pt>
                <c:pt idx="13">
                  <c:v>BODY</c:v>
                </c:pt>
                <c:pt idx="14">
                  <c:v>SLIDER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'02'!$J$6:$J$30</c:f>
              <c:numCache>
                <c:formatCode>_(* #,##0_);_(* \(#,##0\);_(* "-"_);_(@_)</c:formatCode>
                <c:ptCount val="25"/>
                <c:pt idx="0">
                  <c:v>9248</c:v>
                </c:pt>
                <c:pt idx="1">
                  <c:v>122</c:v>
                </c:pt>
                <c:pt idx="2">
                  <c:v>3671</c:v>
                </c:pt>
                <c:pt idx="3">
                  <c:v>5356</c:v>
                </c:pt>
                <c:pt idx="4">
                  <c:v>5202</c:v>
                </c:pt>
                <c:pt idx="5">
                  <c:v>5482</c:v>
                </c:pt>
                <c:pt idx="6">
                  <c:v>27912</c:v>
                </c:pt>
                <c:pt idx="7">
                  <c:v>573</c:v>
                </c:pt>
                <c:pt idx="8">
                  <c:v>1084</c:v>
                </c:pt>
                <c:pt idx="9">
                  <c:v>1182</c:v>
                </c:pt>
                <c:pt idx="10">
                  <c:v>11962</c:v>
                </c:pt>
                <c:pt idx="11">
                  <c:v>10808</c:v>
                </c:pt>
                <c:pt idx="12">
                  <c:v>18304</c:v>
                </c:pt>
                <c:pt idx="13">
                  <c:v>5319</c:v>
                </c:pt>
                <c:pt idx="14">
                  <c:v>4638</c:v>
                </c:pt>
                <c:pt idx="15">
                  <c:v>10452</c:v>
                </c:pt>
                <c:pt idx="16">
                  <c:v>4128</c:v>
                </c:pt>
                <c:pt idx="17">
                  <c:v>0</c:v>
                </c:pt>
                <c:pt idx="18">
                  <c:v>7513</c:v>
                </c:pt>
                <c:pt idx="19">
                  <c:v>22300</c:v>
                </c:pt>
                <c:pt idx="20">
                  <c:v>326312</c:v>
                </c:pt>
                <c:pt idx="21">
                  <c:v>13428</c:v>
                </c:pt>
                <c:pt idx="22">
                  <c:v>8984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8-4902-915D-B920FA7A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7C3-48AF-9DFF-76DFA2DC3B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3-48AF-9DFF-76DFA2DC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7C3-48AF-9DFF-76DFA2DC3B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3-48AF-9DFF-76DFA2DC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'17'!$D$6:$D$30</c:f>
              <c:strCache>
                <c:ptCount val="24"/>
                <c:pt idx="0">
                  <c:v>F/A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STOPPER L/R</c:v>
                </c:pt>
                <c:pt idx="6">
                  <c:v>LATCH PLATE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'17'!$L$6:$L$30</c:f>
              <c:numCache>
                <c:formatCode>_(* #,##0_);_(* \(#,##0\);_(* "-"_);_(@_)</c:formatCode>
                <c:ptCount val="25"/>
                <c:pt idx="0">
                  <c:v>1110</c:v>
                </c:pt>
                <c:pt idx="1">
                  <c:v>1525</c:v>
                </c:pt>
                <c:pt idx="2">
                  <c:v>2033</c:v>
                </c:pt>
                <c:pt idx="3">
                  <c:v>5652</c:v>
                </c:pt>
                <c:pt idx="4">
                  <c:v>0</c:v>
                </c:pt>
                <c:pt idx="5">
                  <c:v>2337</c:v>
                </c:pt>
                <c:pt idx="6">
                  <c:v>2100</c:v>
                </c:pt>
                <c:pt idx="7">
                  <c:v>5209</c:v>
                </c:pt>
                <c:pt idx="8">
                  <c:v>5133</c:v>
                </c:pt>
                <c:pt idx="10">
                  <c:v>36616</c:v>
                </c:pt>
                <c:pt idx="11">
                  <c:v>10884</c:v>
                </c:pt>
                <c:pt idx="13">
                  <c:v>11168</c:v>
                </c:pt>
                <c:pt idx="14">
                  <c:v>5607</c:v>
                </c:pt>
                <c:pt idx="15">
                  <c:v>5165</c:v>
                </c:pt>
                <c:pt idx="16">
                  <c:v>64620</c:v>
                </c:pt>
                <c:pt idx="20">
                  <c:v>478184</c:v>
                </c:pt>
                <c:pt idx="21">
                  <c:v>17847</c:v>
                </c:pt>
                <c:pt idx="22">
                  <c:v>27256</c:v>
                </c:pt>
                <c:pt idx="23">
                  <c:v>29376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433-8F5A-66C4E3756EA5}"/>
            </c:ext>
          </c:extLst>
        </c:ser>
        <c:ser>
          <c:idx val="1"/>
          <c:order val="1"/>
          <c:tx>
            <c:v>계획</c:v>
          </c:tx>
          <c:cat>
            <c:strRef>
              <c:f>'17'!$D$6:$D$30</c:f>
              <c:strCache>
                <c:ptCount val="24"/>
                <c:pt idx="0">
                  <c:v>F/A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STOPPER L/R</c:v>
                </c:pt>
                <c:pt idx="6">
                  <c:v>LATCH PLATE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'17'!$J$6:$J$30</c:f>
              <c:numCache>
                <c:formatCode>_(* #,##0_);_(* \(#,##0\);_(* "-"_);_(@_)</c:formatCode>
                <c:ptCount val="25"/>
                <c:pt idx="0">
                  <c:v>1110</c:v>
                </c:pt>
                <c:pt idx="1">
                  <c:v>1525</c:v>
                </c:pt>
                <c:pt idx="2">
                  <c:v>2033</c:v>
                </c:pt>
                <c:pt idx="3">
                  <c:v>5652</c:v>
                </c:pt>
                <c:pt idx="4">
                  <c:v>5233</c:v>
                </c:pt>
                <c:pt idx="5">
                  <c:v>2337</c:v>
                </c:pt>
                <c:pt idx="6">
                  <c:v>2100</c:v>
                </c:pt>
                <c:pt idx="7">
                  <c:v>5209</c:v>
                </c:pt>
                <c:pt idx="8">
                  <c:v>5133</c:v>
                </c:pt>
                <c:pt idx="9">
                  <c:v>421</c:v>
                </c:pt>
                <c:pt idx="10">
                  <c:v>36616</c:v>
                </c:pt>
                <c:pt idx="11">
                  <c:v>10884</c:v>
                </c:pt>
                <c:pt idx="12">
                  <c:v>1191</c:v>
                </c:pt>
                <c:pt idx="13">
                  <c:v>11168</c:v>
                </c:pt>
                <c:pt idx="14">
                  <c:v>5607</c:v>
                </c:pt>
                <c:pt idx="15">
                  <c:v>5165</c:v>
                </c:pt>
                <c:pt idx="16">
                  <c:v>64620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478184</c:v>
                </c:pt>
                <c:pt idx="21">
                  <c:v>17847</c:v>
                </c:pt>
                <c:pt idx="22">
                  <c:v>27256</c:v>
                </c:pt>
                <c:pt idx="23">
                  <c:v>29376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433-8F5A-66C4E375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'17'!$AD$6:$AD$30</c:f>
              <c:strCache>
                <c:ptCount val="25"/>
                <c:pt idx="0">
                  <c:v>75%</c:v>
                </c:pt>
                <c:pt idx="1">
                  <c:v>33%</c:v>
                </c:pt>
                <c:pt idx="2">
                  <c:v>58%</c:v>
                </c:pt>
                <c:pt idx="3">
                  <c:v>100%</c:v>
                </c:pt>
                <c:pt idx="4">
                  <c:v>0%</c:v>
                </c:pt>
                <c:pt idx="5">
                  <c:v>46%</c:v>
                </c:pt>
                <c:pt idx="6">
                  <c:v>29%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54%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100%</c:v>
                </c:pt>
                <c:pt idx="21">
                  <c:v>100%</c:v>
                </c:pt>
                <c:pt idx="22">
                  <c:v>100%</c:v>
                </c:pt>
                <c:pt idx="23">
                  <c:v>100%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'17'!$D$6:$D$30</c:f>
              <c:strCache>
                <c:ptCount val="24"/>
                <c:pt idx="0">
                  <c:v>F/A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STOPPER L/R</c:v>
                </c:pt>
                <c:pt idx="6">
                  <c:v>LATCH PLATE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'17'!$AD$6:$AD$30</c:f>
              <c:numCache>
                <c:formatCode>0%</c:formatCode>
                <c:ptCount val="25"/>
                <c:pt idx="0">
                  <c:v>0.75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1</c:v>
                </c:pt>
                <c:pt idx="4">
                  <c:v>0</c:v>
                </c:pt>
                <c:pt idx="5">
                  <c:v>0.45833333333333331</c:v>
                </c:pt>
                <c:pt idx="6">
                  <c:v>0.29166666666666669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0.54166666666666663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4-46FD-AAF2-1546A23FE12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94-46FD-AAF2-1546A23FE1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'17'!$D$6:$D$30</c:f>
              <c:strCache>
                <c:ptCount val="24"/>
                <c:pt idx="0">
                  <c:v>F/A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STOPPER L/R</c:v>
                </c:pt>
                <c:pt idx="6">
                  <c:v>LATCH PLATE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'17'!$AE$6:$AE$30</c:f>
              <c:numCache>
                <c:formatCode>0%</c:formatCode>
                <c:ptCount val="25"/>
                <c:pt idx="0">
                  <c:v>0.59833333333333327</c:v>
                </c:pt>
                <c:pt idx="1">
                  <c:v>0.59833333333333327</c:v>
                </c:pt>
                <c:pt idx="2">
                  <c:v>0.59833333333333327</c:v>
                </c:pt>
                <c:pt idx="3">
                  <c:v>0.59833333333333327</c:v>
                </c:pt>
                <c:pt idx="4">
                  <c:v>0.59833333333333327</c:v>
                </c:pt>
                <c:pt idx="5">
                  <c:v>0.59833333333333327</c:v>
                </c:pt>
                <c:pt idx="6">
                  <c:v>0.59833333333333327</c:v>
                </c:pt>
                <c:pt idx="7">
                  <c:v>0.59833333333333327</c:v>
                </c:pt>
                <c:pt idx="8">
                  <c:v>0.59833333333333327</c:v>
                </c:pt>
                <c:pt idx="9">
                  <c:v>0.59833333333333327</c:v>
                </c:pt>
                <c:pt idx="10">
                  <c:v>0.59833333333333327</c:v>
                </c:pt>
                <c:pt idx="11">
                  <c:v>0.59833333333333327</c:v>
                </c:pt>
                <c:pt idx="12">
                  <c:v>0.59833333333333327</c:v>
                </c:pt>
                <c:pt idx="13">
                  <c:v>0.59833333333333327</c:v>
                </c:pt>
                <c:pt idx="14">
                  <c:v>0.59833333333333327</c:v>
                </c:pt>
                <c:pt idx="15">
                  <c:v>0.59833333333333327</c:v>
                </c:pt>
                <c:pt idx="16">
                  <c:v>0.59833333333333327</c:v>
                </c:pt>
                <c:pt idx="17">
                  <c:v>0.59833333333333327</c:v>
                </c:pt>
                <c:pt idx="18">
                  <c:v>0.59833333333333327</c:v>
                </c:pt>
                <c:pt idx="19">
                  <c:v>0.59833333333333327</c:v>
                </c:pt>
                <c:pt idx="20">
                  <c:v>0.59833333333333327</c:v>
                </c:pt>
                <c:pt idx="21">
                  <c:v>0.59833333333333327</c:v>
                </c:pt>
                <c:pt idx="22">
                  <c:v>0.59833333333333327</c:v>
                </c:pt>
                <c:pt idx="23">
                  <c:v>0.59833333333333327</c:v>
                </c:pt>
                <c:pt idx="24">
                  <c:v>0.59833333333333327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4-46FD-AAF2-1546A23F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'17'!$D$6:$D$30</c:f>
              <c:strCache>
                <c:ptCount val="24"/>
                <c:pt idx="0">
                  <c:v>F/A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STOPPER L/R</c:v>
                </c:pt>
                <c:pt idx="6">
                  <c:v>LATCH PLATE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'17'!$L$6:$L$30</c:f>
              <c:numCache>
                <c:formatCode>_(* #,##0_);_(* \(#,##0\);_(* "-"_);_(@_)</c:formatCode>
                <c:ptCount val="25"/>
                <c:pt idx="0">
                  <c:v>1110</c:v>
                </c:pt>
                <c:pt idx="1">
                  <c:v>1525</c:v>
                </c:pt>
                <c:pt idx="2">
                  <c:v>2033</c:v>
                </c:pt>
                <c:pt idx="3">
                  <c:v>5652</c:v>
                </c:pt>
                <c:pt idx="4">
                  <c:v>0</c:v>
                </c:pt>
                <c:pt idx="5">
                  <c:v>2337</c:v>
                </c:pt>
                <c:pt idx="6">
                  <c:v>2100</c:v>
                </c:pt>
                <c:pt idx="7">
                  <c:v>5209</c:v>
                </c:pt>
                <c:pt idx="8">
                  <c:v>5133</c:v>
                </c:pt>
                <c:pt idx="10">
                  <c:v>36616</c:v>
                </c:pt>
                <c:pt idx="11">
                  <c:v>10884</c:v>
                </c:pt>
                <c:pt idx="13">
                  <c:v>11168</c:v>
                </c:pt>
                <c:pt idx="14">
                  <c:v>5607</c:v>
                </c:pt>
                <c:pt idx="15">
                  <c:v>5165</c:v>
                </c:pt>
                <c:pt idx="16">
                  <c:v>64620</c:v>
                </c:pt>
                <c:pt idx="20">
                  <c:v>478184</c:v>
                </c:pt>
                <c:pt idx="21">
                  <c:v>17847</c:v>
                </c:pt>
                <c:pt idx="22">
                  <c:v>27256</c:v>
                </c:pt>
                <c:pt idx="23">
                  <c:v>29376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E-43AE-83F9-265AA7852B20}"/>
            </c:ext>
          </c:extLst>
        </c:ser>
        <c:ser>
          <c:idx val="1"/>
          <c:order val="1"/>
          <c:tx>
            <c:v>계획</c:v>
          </c:tx>
          <c:cat>
            <c:strRef>
              <c:f>'17'!$D$6:$D$30</c:f>
              <c:strCache>
                <c:ptCount val="24"/>
                <c:pt idx="0">
                  <c:v>F/A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STOPPER L/R</c:v>
                </c:pt>
                <c:pt idx="6">
                  <c:v>LATCH PLATE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'17'!$J$6:$J$30</c:f>
              <c:numCache>
                <c:formatCode>_(* #,##0_);_(* \(#,##0\);_(* "-"_);_(@_)</c:formatCode>
                <c:ptCount val="25"/>
                <c:pt idx="0">
                  <c:v>1110</c:v>
                </c:pt>
                <c:pt idx="1">
                  <c:v>1525</c:v>
                </c:pt>
                <c:pt idx="2">
                  <c:v>2033</c:v>
                </c:pt>
                <c:pt idx="3">
                  <c:v>5652</c:v>
                </c:pt>
                <c:pt idx="4">
                  <c:v>5233</c:v>
                </c:pt>
                <c:pt idx="5">
                  <c:v>2337</c:v>
                </c:pt>
                <c:pt idx="6">
                  <c:v>2100</c:v>
                </c:pt>
                <c:pt idx="7">
                  <c:v>5209</c:v>
                </c:pt>
                <c:pt idx="8">
                  <c:v>5133</c:v>
                </c:pt>
                <c:pt idx="9">
                  <c:v>421</c:v>
                </c:pt>
                <c:pt idx="10">
                  <c:v>36616</c:v>
                </c:pt>
                <c:pt idx="11">
                  <c:v>10884</c:v>
                </c:pt>
                <c:pt idx="12">
                  <c:v>1191</c:v>
                </c:pt>
                <c:pt idx="13">
                  <c:v>11168</c:v>
                </c:pt>
                <c:pt idx="14">
                  <c:v>5607</c:v>
                </c:pt>
                <c:pt idx="15">
                  <c:v>5165</c:v>
                </c:pt>
                <c:pt idx="16">
                  <c:v>64620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478184</c:v>
                </c:pt>
                <c:pt idx="21">
                  <c:v>17847</c:v>
                </c:pt>
                <c:pt idx="22">
                  <c:v>27256</c:v>
                </c:pt>
                <c:pt idx="23">
                  <c:v>29376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E-43AE-83F9-265AA785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'17'!$AD$6:$AD$30</c:f>
              <c:strCache>
                <c:ptCount val="25"/>
                <c:pt idx="0">
                  <c:v>75%</c:v>
                </c:pt>
                <c:pt idx="1">
                  <c:v>33%</c:v>
                </c:pt>
                <c:pt idx="2">
                  <c:v>58%</c:v>
                </c:pt>
                <c:pt idx="3">
                  <c:v>100%</c:v>
                </c:pt>
                <c:pt idx="4">
                  <c:v>0%</c:v>
                </c:pt>
                <c:pt idx="5">
                  <c:v>46%</c:v>
                </c:pt>
                <c:pt idx="6">
                  <c:v>29%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54%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100%</c:v>
                </c:pt>
                <c:pt idx="21">
                  <c:v>100%</c:v>
                </c:pt>
                <c:pt idx="22">
                  <c:v>100%</c:v>
                </c:pt>
                <c:pt idx="23">
                  <c:v>100%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'17'!$D$6:$D$30</c:f>
              <c:strCache>
                <c:ptCount val="24"/>
                <c:pt idx="0">
                  <c:v>F/A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STOPPER L/R</c:v>
                </c:pt>
                <c:pt idx="6">
                  <c:v>LATCH PLATE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'17'!$AD$6:$AD$30</c:f>
              <c:numCache>
                <c:formatCode>0%</c:formatCode>
                <c:ptCount val="25"/>
                <c:pt idx="0">
                  <c:v>0.75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1</c:v>
                </c:pt>
                <c:pt idx="4">
                  <c:v>0</c:v>
                </c:pt>
                <c:pt idx="5">
                  <c:v>0.45833333333333331</c:v>
                </c:pt>
                <c:pt idx="6">
                  <c:v>0.29166666666666669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0.54166666666666663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5-43D6-BC93-E0E57572D0F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65-43D6-BC93-E0E57572D0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'17'!$D$6:$D$30</c:f>
              <c:strCache>
                <c:ptCount val="24"/>
                <c:pt idx="0">
                  <c:v>F/A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STOPPER L/R</c:v>
                </c:pt>
                <c:pt idx="6">
                  <c:v>LATCH PLATE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STOPPER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'17'!$AE$6:$AE$30</c:f>
              <c:numCache>
                <c:formatCode>0%</c:formatCode>
                <c:ptCount val="25"/>
                <c:pt idx="0">
                  <c:v>0.59833333333333327</c:v>
                </c:pt>
                <c:pt idx="1">
                  <c:v>0.59833333333333327</c:v>
                </c:pt>
                <c:pt idx="2">
                  <c:v>0.59833333333333327</c:v>
                </c:pt>
                <c:pt idx="3">
                  <c:v>0.59833333333333327</c:v>
                </c:pt>
                <c:pt idx="4">
                  <c:v>0.59833333333333327</c:v>
                </c:pt>
                <c:pt idx="5">
                  <c:v>0.59833333333333327</c:v>
                </c:pt>
                <c:pt idx="6">
                  <c:v>0.59833333333333327</c:v>
                </c:pt>
                <c:pt idx="7">
                  <c:v>0.59833333333333327</c:v>
                </c:pt>
                <c:pt idx="8">
                  <c:v>0.59833333333333327</c:v>
                </c:pt>
                <c:pt idx="9">
                  <c:v>0.59833333333333327</c:v>
                </c:pt>
                <c:pt idx="10">
                  <c:v>0.59833333333333327</c:v>
                </c:pt>
                <c:pt idx="11">
                  <c:v>0.59833333333333327</c:v>
                </c:pt>
                <c:pt idx="12">
                  <c:v>0.59833333333333327</c:v>
                </c:pt>
                <c:pt idx="13">
                  <c:v>0.59833333333333327</c:v>
                </c:pt>
                <c:pt idx="14">
                  <c:v>0.59833333333333327</c:v>
                </c:pt>
                <c:pt idx="15">
                  <c:v>0.59833333333333327</c:v>
                </c:pt>
                <c:pt idx="16">
                  <c:v>0.59833333333333327</c:v>
                </c:pt>
                <c:pt idx="17">
                  <c:v>0.59833333333333327</c:v>
                </c:pt>
                <c:pt idx="18">
                  <c:v>0.59833333333333327</c:v>
                </c:pt>
                <c:pt idx="19">
                  <c:v>0.59833333333333327</c:v>
                </c:pt>
                <c:pt idx="20">
                  <c:v>0.59833333333333327</c:v>
                </c:pt>
                <c:pt idx="21">
                  <c:v>0.59833333333333327</c:v>
                </c:pt>
                <c:pt idx="22">
                  <c:v>0.59833333333333327</c:v>
                </c:pt>
                <c:pt idx="23">
                  <c:v>0.59833333333333327</c:v>
                </c:pt>
                <c:pt idx="24">
                  <c:v>0.59833333333333327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5-43D6-BC93-E0E57572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086-4E93-AD00-E383F2E07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6-4E93-AD00-E383F2E0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086-4E93-AD00-E383F2E077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6-4E93-AD00-E383F2E0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'18'!$D$6:$D$29</c:f>
              <c:strCache>
                <c:ptCount val="23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'18'!$L$6:$L$29</c:f>
              <c:numCache>
                <c:formatCode>_(* #,##0_);_(* \(#,##0\);_(* "-"_);_(@_)</c:formatCode>
                <c:ptCount val="24"/>
                <c:pt idx="0">
                  <c:v>7048</c:v>
                </c:pt>
                <c:pt idx="2">
                  <c:v>1404</c:v>
                </c:pt>
                <c:pt idx="3">
                  <c:v>5661</c:v>
                </c:pt>
                <c:pt idx="5">
                  <c:v>1135</c:v>
                </c:pt>
                <c:pt idx="6">
                  <c:v>5025</c:v>
                </c:pt>
                <c:pt idx="7">
                  <c:v>5420</c:v>
                </c:pt>
                <c:pt idx="8">
                  <c:v>447</c:v>
                </c:pt>
                <c:pt idx="9">
                  <c:v>36728</c:v>
                </c:pt>
                <c:pt idx="10">
                  <c:v>8431</c:v>
                </c:pt>
                <c:pt idx="12">
                  <c:v>12108</c:v>
                </c:pt>
                <c:pt idx="13">
                  <c:v>2461</c:v>
                </c:pt>
                <c:pt idx="14">
                  <c:v>3583</c:v>
                </c:pt>
                <c:pt idx="15">
                  <c:v>22548</c:v>
                </c:pt>
                <c:pt idx="19">
                  <c:v>484736</c:v>
                </c:pt>
                <c:pt idx="20">
                  <c:v>18078</c:v>
                </c:pt>
                <c:pt idx="21">
                  <c:v>27700</c:v>
                </c:pt>
                <c:pt idx="22">
                  <c:v>29736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D-4AE2-9D93-CECADC6C43E2}"/>
            </c:ext>
          </c:extLst>
        </c:ser>
        <c:ser>
          <c:idx val="1"/>
          <c:order val="1"/>
          <c:tx>
            <c:v>계획</c:v>
          </c:tx>
          <c:cat>
            <c:strRef>
              <c:f>'18'!$D$6:$D$29</c:f>
              <c:strCache>
                <c:ptCount val="23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'18'!$J$6:$J$29</c:f>
              <c:numCache>
                <c:formatCode>_(* #,##0_);_(* \(#,##0\);_(* "-"_);_(@_)</c:formatCode>
                <c:ptCount val="24"/>
                <c:pt idx="0">
                  <c:v>7048</c:v>
                </c:pt>
                <c:pt idx="1">
                  <c:v>1525</c:v>
                </c:pt>
                <c:pt idx="2">
                  <c:v>1404</c:v>
                </c:pt>
                <c:pt idx="3">
                  <c:v>5661</c:v>
                </c:pt>
                <c:pt idx="4">
                  <c:v>5233</c:v>
                </c:pt>
                <c:pt idx="5">
                  <c:v>1135</c:v>
                </c:pt>
                <c:pt idx="6">
                  <c:v>5025</c:v>
                </c:pt>
                <c:pt idx="7">
                  <c:v>5420</c:v>
                </c:pt>
                <c:pt idx="8">
                  <c:v>447</c:v>
                </c:pt>
                <c:pt idx="9">
                  <c:v>36728</c:v>
                </c:pt>
                <c:pt idx="10">
                  <c:v>8431</c:v>
                </c:pt>
                <c:pt idx="11">
                  <c:v>1191</c:v>
                </c:pt>
                <c:pt idx="12">
                  <c:v>12108</c:v>
                </c:pt>
                <c:pt idx="13">
                  <c:v>2461</c:v>
                </c:pt>
                <c:pt idx="14">
                  <c:v>3583</c:v>
                </c:pt>
                <c:pt idx="15">
                  <c:v>22548</c:v>
                </c:pt>
                <c:pt idx="16">
                  <c:v>0</c:v>
                </c:pt>
                <c:pt idx="17">
                  <c:v>24024</c:v>
                </c:pt>
                <c:pt idx="18">
                  <c:v>22300</c:v>
                </c:pt>
                <c:pt idx="19">
                  <c:v>484736</c:v>
                </c:pt>
                <c:pt idx="20">
                  <c:v>18078</c:v>
                </c:pt>
                <c:pt idx="21">
                  <c:v>27700</c:v>
                </c:pt>
                <c:pt idx="22">
                  <c:v>29736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D-4AE2-9D93-CECADC6C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'18'!$AD$6:$AD$29</c:f>
              <c:strCache>
                <c:ptCount val="24"/>
                <c:pt idx="0">
                  <c:v>67%</c:v>
                </c:pt>
                <c:pt idx="1">
                  <c:v>0%</c:v>
                </c:pt>
                <c:pt idx="2">
                  <c:v>33%</c:v>
                </c:pt>
                <c:pt idx="3">
                  <c:v>100%</c:v>
                </c:pt>
                <c:pt idx="4">
                  <c:v>0%</c:v>
                </c:pt>
                <c:pt idx="5">
                  <c:v>25%</c:v>
                </c:pt>
                <c:pt idx="6">
                  <c:v>100%</c:v>
                </c:pt>
                <c:pt idx="7">
                  <c:v>100%</c:v>
                </c:pt>
                <c:pt idx="8">
                  <c:v>25%</c:v>
                </c:pt>
                <c:pt idx="9">
                  <c:v>100%</c:v>
                </c:pt>
                <c:pt idx="10">
                  <c:v>92%</c:v>
                </c:pt>
                <c:pt idx="11">
                  <c:v>0%</c:v>
                </c:pt>
                <c:pt idx="12">
                  <c:v>100%</c:v>
                </c:pt>
                <c:pt idx="13">
                  <c:v>42%</c:v>
                </c:pt>
                <c:pt idx="14">
                  <c:v>79%</c:v>
                </c:pt>
                <c:pt idx="15">
                  <c:v>38%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100%</c:v>
                </c:pt>
                <c:pt idx="20">
                  <c:v>100%</c:v>
                </c:pt>
                <c:pt idx="21">
                  <c:v>100%</c:v>
                </c:pt>
                <c:pt idx="22">
                  <c:v>100%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'18'!$D$6:$D$29</c:f>
              <c:strCache>
                <c:ptCount val="23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'18'!$AD$6:$AD$29</c:f>
              <c:numCache>
                <c:formatCode>0%</c:formatCode>
                <c:ptCount val="24"/>
                <c:pt idx="0">
                  <c:v>0.66666666666666663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1</c:v>
                </c:pt>
                <c:pt idx="8">
                  <c:v>0.25</c:v>
                </c:pt>
                <c:pt idx="9">
                  <c:v>1</c:v>
                </c:pt>
                <c:pt idx="10">
                  <c:v>0.91666666666666663</c:v>
                </c:pt>
                <c:pt idx="11">
                  <c:v>0</c:v>
                </c:pt>
                <c:pt idx="12">
                  <c:v>1</c:v>
                </c:pt>
                <c:pt idx="13">
                  <c:v>0.41666666666666669</c:v>
                </c:pt>
                <c:pt idx="14">
                  <c:v>0.79166666666666663</c:v>
                </c:pt>
                <c:pt idx="15">
                  <c:v>0.375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9-4D3E-B76E-A8045112754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39-4D3E-B76E-A8045112754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'18'!$D$6:$D$29</c:f>
              <c:strCache>
                <c:ptCount val="23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'18'!$AE$6:$AE$29</c:f>
              <c:numCache>
                <c:formatCode>0%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9-4D3E-B76E-A80451127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'18'!$D$6:$D$29</c:f>
              <c:strCache>
                <c:ptCount val="23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'18'!$L$6:$L$29</c:f>
              <c:numCache>
                <c:formatCode>_(* #,##0_);_(* \(#,##0\);_(* "-"_);_(@_)</c:formatCode>
                <c:ptCount val="24"/>
                <c:pt idx="0">
                  <c:v>7048</c:v>
                </c:pt>
                <c:pt idx="2">
                  <c:v>1404</c:v>
                </c:pt>
                <c:pt idx="3">
                  <c:v>5661</c:v>
                </c:pt>
                <c:pt idx="5">
                  <c:v>1135</c:v>
                </c:pt>
                <c:pt idx="6">
                  <c:v>5025</c:v>
                </c:pt>
                <c:pt idx="7">
                  <c:v>5420</c:v>
                </c:pt>
                <c:pt idx="8">
                  <c:v>447</c:v>
                </c:pt>
                <c:pt idx="9">
                  <c:v>36728</c:v>
                </c:pt>
                <c:pt idx="10">
                  <c:v>8431</c:v>
                </c:pt>
                <c:pt idx="12">
                  <c:v>12108</c:v>
                </c:pt>
                <c:pt idx="13">
                  <c:v>2461</c:v>
                </c:pt>
                <c:pt idx="14">
                  <c:v>3583</c:v>
                </c:pt>
                <c:pt idx="15">
                  <c:v>22548</c:v>
                </c:pt>
                <c:pt idx="19">
                  <c:v>484736</c:v>
                </c:pt>
                <c:pt idx="20">
                  <c:v>18078</c:v>
                </c:pt>
                <c:pt idx="21">
                  <c:v>27700</c:v>
                </c:pt>
                <c:pt idx="22">
                  <c:v>29736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B-4B5E-ABDE-44CFDF9AD4D2}"/>
            </c:ext>
          </c:extLst>
        </c:ser>
        <c:ser>
          <c:idx val="1"/>
          <c:order val="1"/>
          <c:tx>
            <c:v>계획</c:v>
          </c:tx>
          <c:cat>
            <c:strRef>
              <c:f>'18'!$D$6:$D$29</c:f>
              <c:strCache>
                <c:ptCount val="23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'18'!$J$6:$J$29</c:f>
              <c:numCache>
                <c:formatCode>_(* #,##0_);_(* \(#,##0\);_(* "-"_);_(@_)</c:formatCode>
                <c:ptCount val="24"/>
                <c:pt idx="0">
                  <c:v>7048</c:v>
                </c:pt>
                <c:pt idx="1">
                  <c:v>1525</c:v>
                </c:pt>
                <c:pt idx="2">
                  <c:v>1404</c:v>
                </c:pt>
                <c:pt idx="3">
                  <c:v>5661</c:v>
                </c:pt>
                <c:pt idx="4">
                  <c:v>5233</c:v>
                </c:pt>
                <c:pt idx="5">
                  <c:v>1135</c:v>
                </c:pt>
                <c:pt idx="6">
                  <c:v>5025</c:v>
                </c:pt>
                <c:pt idx="7">
                  <c:v>5420</c:v>
                </c:pt>
                <c:pt idx="8">
                  <c:v>447</c:v>
                </c:pt>
                <c:pt idx="9">
                  <c:v>36728</c:v>
                </c:pt>
                <c:pt idx="10">
                  <c:v>8431</c:v>
                </c:pt>
                <c:pt idx="11">
                  <c:v>1191</c:v>
                </c:pt>
                <c:pt idx="12">
                  <c:v>12108</c:v>
                </c:pt>
                <c:pt idx="13">
                  <c:v>2461</c:v>
                </c:pt>
                <c:pt idx="14">
                  <c:v>3583</c:v>
                </c:pt>
                <c:pt idx="15">
                  <c:v>22548</c:v>
                </c:pt>
                <c:pt idx="16">
                  <c:v>0</c:v>
                </c:pt>
                <c:pt idx="17">
                  <c:v>24024</c:v>
                </c:pt>
                <c:pt idx="18">
                  <c:v>22300</c:v>
                </c:pt>
                <c:pt idx="19">
                  <c:v>484736</c:v>
                </c:pt>
                <c:pt idx="20">
                  <c:v>18078</c:v>
                </c:pt>
                <c:pt idx="21">
                  <c:v>27700</c:v>
                </c:pt>
                <c:pt idx="22">
                  <c:v>29736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B-4B5E-ABDE-44CFDF9A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'18'!$AD$6:$AD$29</c:f>
              <c:strCache>
                <c:ptCount val="24"/>
                <c:pt idx="0">
                  <c:v>67%</c:v>
                </c:pt>
                <c:pt idx="1">
                  <c:v>0%</c:v>
                </c:pt>
                <c:pt idx="2">
                  <c:v>33%</c:v>
                </c:pt>
                <c:pt idx="3">
                  <c:v>100%</c:v>
                </c:pt>
                <c:pt idx="4">
                  <c:v>0%</c:v>
                </c:pt>
                <c:pt idx="5">
                  <c:v>25%</c:v>
                </c:pt>
                <c:pt idx="6">
                  <c:v>100%</c:v>
                </c:pt>
                <c:pt idx="7">
                  <c:v>100%</c:v>
                </c:pt>
                <c:pt idx="8">
                  <c:v>25%</c:v>
                </c:pt>
                <c:pt idx="9">
                  <c:v>100%</c:v>
                </c:pt>
                <c:pt idx="10">
                  <c:v>92%</c:v>
                </c:pt>
                <c:pt idx="11">
                  <c:v>0%</c:v>
                </c:pt>
                <c:pt idx="12">
                  <c:v>100%</c:v>
                </c:pt>
                <c:pt idx="13">
                  <c:v>42%</c:v>
                </c:pt>
                <c:pt idx="14">
                  <c:v>79%</c:v>
                </c:pt>
                <c:pt idx="15">
                  <c:v>38%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100%</c:v>
                </c:pt>
                <c:pt idx="20">
                  <c:v>100%</c:v>
                </c:pt>
                <c:pt idx="21">
                  <c:v>100%</c:v>
                </c:pt>
                <c:pt idx="22">
                  <c:v>100%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'18'!$D$6:$D$29</c:f>
              <c:strCache>
                <c:ptCount val="23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'18'!$AD$6:$AD$29</c:f>
              <c:numCache>
                <c:formatCode>0%</c:formatCode>
                <c:ptCount val="24"/>
                <c:pt idx="0">
                  <c:v>0.66666666666666663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1</c:v>
                </c:pt>
                <c:pt idx="8">
                  <c:v>0.25</c:v>
                </c:pt>
                <c:pt idx="9">
                  <c:v>1</c:v>
                </c:pt>
                <c:pt idx="10">
                  <c:v>0.91666666666666663</c:v>
                </c:pt>
                <c:pt idx="11">
                  <c:v>0</c:v>
                </c:pt>
                <c:pt idx="12">
                  <c:v>1</c:v>
                </c:pt>
                <c:pt idx="13">
                  <c:v>0.41666666666666669</c:v>
                </c:pt>
                <c:pt idx="14">
                  <c:v>0.79166666666666663</c:v>
                </c:pt>
                <c:pt idx="15">
                  <c:v>0.375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F-42A8-978B-B3B7954748E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5F-42A8-978B-B3B7954748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'18'!$D$6:$D$29</c:f>
              <c:strCache>
                <c:ptCount val="23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'18'!$AE$6:$AE$29</c:f>
              <c:numCache>
                <c:formatCode>0%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F-42A8-978B-B3B795474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'02'!$AD$6:$AD$30</c:f>
              <c:strCache>
                <c:ptCount val="25"/>
                <c:pt idx="0">
                  <c:v>96%</c:v>
                </c:pt>
                <c:pt idx="1">
                  <c:v>17%</c:v>
                </c:pt>
                <c:pt idx="2">
                  <c:v>75%</c:v>
                </c:pt>
                <c:pt idx="3">
                  <c:v>100%</c:v>
                </c:pt>
                <c:pt idx="4">
                  <c:v>100%</c:v>
                </c:pt>
                <c:pt idx="5">
                  <c:v>96%</c:v>
                </c:pt>
                <c:pt idx="6">
                  <c:v>92%</c:v>
                </c:pt>
                <c:pt idx="7">
                  <c:v>13%</c:v>
                </c:pt>
                <c:pt idx="8">
                  <c:v>0%</c:v>
                </c:pt>
                <c:pt idx="9">
                  <c:v>42%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100%</c:v>
                </c:pt>
                <c:pt idx="14">
                  <c:v>88%</c:v>
                </c:pt>
                <c:pt idx="15">
                  <c:v>100%</c:v>
                </c:pt>
                <c:pt idx="16">
                  <c:v>13%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100%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F/A</c:v>
                </c:pt>
                <c:pt idx="3">
                  <c:v>CAM 1</c:v>
                </c:pt>
                <c:pt idx="4">
                  <c:v>BASE</c:v>
                </c:pt>
                <c:pt idx="5">
                  <c:v>COVER</c:v>
                </c:pt>
                <c:pt idx="6">
                  <c:v>22P</c:v>
                </c:pt>
                <c:pt idx="7">
                  <c:v>BASE</c:v>
                </c:pt>
                <c:pt idx="8">
                  <c:v>BODY/LID</c:v>
                </c:pt>
                <c:pt idx="9">
                  <c:v>UNDER</c:v>
                </c:pt>
                <c:pt idx="10">
                  <c:v>ADAPTER</c:v>
                </c:pt>
                <c:pt idx="11">
                  <c:v>ACTUATOR</c:v>
                </c:pt>
                <c:pt idx="12">
                  <c:v>SLIDER</c:v>
                </c:pt>
                <c:pt idx="13">
                  <c:v>BODY</c:v>
                </c:pt>
                <c:pt idx="14">
                  <c:v>SLIDER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'02'!$AD$6:$AD$30</c:f>
              <c:numCache>
                <c:formatCode>0%</c:formatCode>
                <c:ptCount val="25"/>
                <c:pt idx="0">
                  <c:v>0.95833333333333337</c:v>
                </c:pt>
                <c:pt idx="1">
                  <c:v>0.16666666666666666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0.95833333333333337</c:v>
                </c:pt>
                <c:pt idx="6">
                  <c:v>0.91666666666666663</c:v>
                </c:pt>
                <c:pt idx="7">
                  <c:v>0.125</c:v>
                </c:pt>
                <c:pt idx="8">
                  <c:v>0</c:v>
                </c:pt>
                <c:pt idx="9">
                  <c:v>0.41666666666666669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0-4C8C-B43B-9F8B83C2E47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10-4C8C-B43B-9F8B83C2E4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F/A</c:v>
                </c:pt>
                <c:pt idx="3">
                  <c:v>CAM 1</c:v>
                </c:pt>
                <c:pt idx="4">
                  <c:v>BASE</c:v>
                </c:pt>
                <c:pt idx="5">
                  <c:v>COVER</c:v>
                </c:pt>
                <c:pt idx="6">
                  <c:v>22P</c:v>
                </c:pt>
                <c:pt idx="7">
                  <c:v>BASE</c:v>
                </c:pt>
                <c:pt idx="8">
                  <c:v>BODY/LID</c:v>
                </c:pt>
                <c:pt idx="9">
                  <c:v>UNDER</c:v>
                </c:pt>
                <c:pt idx="10">
                  <c:v>ADAPTER</c:v>
                </c:pt>
                <c:pt idx="11">
                  <c:v>ACTUATOR</c:v>
                </c:pt>
                <c:pt idx="12">
                  <c:v>SLIDER</c:v>
                </c:pt>
                <c:pt idx="13">
                  <c:v>BODY</c:v>
                </c:pt>
                <c:pt idx="14">
                  <c:v>SLIDER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'02'!$AE$6:$AE$30</c:f>
              <c:numCache>
                <c:formatCode>0%</c:formatCode>
                <c:ptCount val="25"/>
                <c:pt idx="0">
                  <c:v>0.53166666666666673</c:v>
                </c:pt>
                <c:pt idx="1">
                  <c:v>0.53166666666666673</c:v>
                </c:pt>
                <c:pt idx="2">
                  <c:v>0.53166666666666673</c:v>
                </c:pt>
                <c:pt idx="3">
                  <c:v>0.53166666666666673</c:v>
                </c:pt>
                <c:pt idx="4">
                  <c:v>0.53166666666666673</c:v>
                </c:pt>
                <c:pt idx="5">
                  <c:v>0.53166666666666673</c:v>
                </c:pt>
                <c:pt idx="6">
                  <c:v>0.53166666666666673</c:v>
                </c:pt>
                <c:pt idx="7">
                  <c:v>0.53166666666666673</c:v>
                </c:pt>
                <c:pt idx="8">
                  <c:v>0.53166666666666673</c:v>
                </c:pt>
                <c:pt idx="9">
                  <c:v>0.53166666666666673</c:v>
                </c:pt>
                <c:pt idx="10">
                  <c:v>0.53166666666666673</c:v>
                </c:pt>
                <c:pt idx="11">
                  <c:v>0.53166666666666673</c:v>
                </c:pt>
                <c:pt idx="12">
                  <c:v>0.53166666666666673</c:v>
                </c:pt>
                <c:pt idx="13">
                  <c:v>0.53166666666666673</c:v>
                </c:pt>
                <c:pt idx="14">
                  <c:v>0.53166666666666673</c:v>
                </c:pt>
                <c:pt idx="15">
                  <c:v>0.53166666666666673</c:v>
                </c:pt>
                <c:pt idx="16">
                  <c:v>0.53166666666666673</c:v>
                </c:pt>
                <c:pt idx="17">
                  <c:v>0.53166666666666673</c:v>
                </c:pt>
                <c:pt idx="18">
                  <c:v>0.53166666666666673</c:v>
                </c:pt>
                <c:pt idx="19">
                  <c:v>0.53166666666666673</c:v>
                </c:pt>
                <c:pt idx="20">
                  <c:v>0.53166666666666673</c:v>
                </c:pt>
                <c:pt idx="21">
                  <c:v>0.53166666666666673</c:v>
                </c:pt>
                <c:pt idx="22">
                  <c:v>0.53166666666666673</c:v>
                </c:pt>
                <c:pt idx="23">
                  <c:v>0.53166666666666673</c:v>
                </c:pt>
                <c:pt idx="24">
                  <c:v>0.53166666666666673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0-4C8C-B43B-9F8B83C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65D-4A1C-AA01-DB22C3D42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D-4A1C-AA01-DB22C3D4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65D-4A1C-AA01-DB22C3D42C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D-4A1C-AA01-DB22C3D4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LEAD GUIDE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'19'!$L$6:$L$30</c:f>
              <c:numCache>
                <c:formatCode>_(* #,##0_);_(* \(#,##0\);_(* "-"_);_(@_)</c:formatCode>
                <c:ptCount val="25"/>
                <c:pt idx="0">
                  <c:v>10576</c:v>
                </c:pt>
                <c:pt idx="2">
                  <c:v>5127</c:v>
                </c:pt>
                <c:pt idx="3">
                  <c:v>5186</c:v>
                </c:pt>
                <c:pt idx="4">
                  <c:v>6060</c:v>
                </c:pt>
                <c:pt idx="5">
                  <c:v>4868</c:v>
                </c:pt>
                <c:pt idx="6">
                  <c:v>4994</c:v>
                </c:pt>
                <c:pt idx="7">
                  <c:v>5374</c:v>
                </c:pt>
                <c:pt idx="8">
                  <c:v>251</c:v>
                </c:pt>
                <c:pt idx="9">
                  <c:v>35852</c:v>
                </c:pt>
                <c:pt idx="10">
                  <c:v>5890</c:v>
                </c:pt>
                <c:pt idx="12">
                  <c:v>9740</c:v>
                </c:pt>
                <c:pt idx="13">
                  <c:v>1281</c:v>
                </c:pt>
                <c:pt idx="14">
                  <c:v>568</c:v>
                </c:pt>
                <c:pt idx="15">
                  <c:v>3529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3-4632-BF51-3FD2742FD7F5}"/>
            </c:ext>
          </c:extLst>
        </c:ser>
        <c:ser>
          <c:idx val="1"/>
          <c:order val="1"/>
          <c:tx>
            <c:v>계획</c:v>
          </c:tx>
          <c:cat>
            <c:strRef>
              <c:f>'19'!$D$6:$D$30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LEAD GUIDE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'19'!$J$6:$J$30</c:f>
              <c:numCache>
                <c:formatCode>_(* #,##0_);_(* \(#,##0\);_(* "-"_);_(@_)</c:formatCode>
                <c:ptCount val="25"/>
                <c:pt idx="0">
                  <c:v>10576</c:v>
                </c:pt>
                <c:pt idx="1">
                  <c:v>1525</c:v>
                </c:pt>
                <c:pt idx="2">
                  <c:v>5127</c:v>
                </c:pt>
                <c:pt idx="3">
                  <c:v>5186</c:v>
                </c:pt>
                <c:pt idx="4">
                  <c:v>6060</c:v>
                </c:pt>
                <c:pt idx="5">
                  <c:v>4868</c:v>
                </c:pt>
                <c:pt idx="6">
                  <c:v>4994</c:v>
                </c:pt>
                <c:pt idx="7">
                  <c:v>5374</c:v>
                </c:pt>
                <c:pt idx="8">
                  <c:v>251</c:v>
                </c:pt>
                <c:pt idx="9">
                  <c:v>35852</c:v>
                </c:pt>
                <c:pt idx="10">
                  <c:v>5890</c:v>
                </c:pt>
                <c:pt idx="11">
                  <c:v>1191</c:v>
                </c:pt>
                <c:pt idx="12">
                  <c:v>9740</c:v>
                </c:pt>
                <c:pt idx="13">
                  <c:v>1281</c:v>
                </c:pt>
                <c:pt idx="14">
                  <c:v>568</c:v>
                </c:pt>
                <c:pt idx="15">
                  <c:v>3529</c:v>
                </c:pt>
                <c:pt idx="16">
                  <c:v>22548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3-4632-BF51-3FD2742F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'19'!$AD$6:$AD$30</c:f>
              <c:strCache>
                <c:ptCount val="25"/>
                <c:pt idx="0">
                  <c:v>100%</c:v>
                </c:pt>
                <c:pt idx="1">
                  <c:v>0%</c:v>
                </c:pt>
                <c:pt idx="2">
                  <c:v>96%</c:v>
                </c:pt>
                <c:pt idx="3">
                  <c:v>100%</c:v>
                </c:pt>
                <c:pt idx="4">
                  <c:v>67%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21%</c:v>
                </c:pt>
                <c:pt idx="9">
                  <c:v>100%</c:v>
                </c:pt>
                <c:pt idx="10">
                  <c:v>71%</c:v>
                </c:pt>
                <c:pt idx="11">
                  <c:v>0%</c:v>
                </c:pt>
                <c:pt idx="12">
                  <c:v>100%</c:v>
                </c:pt>
                <c:pt idx="13">
                  <c:v>29%</c:v>
                </c:pt>
                <c:pt idx="14">
                  <c:v>50%</c:v>
                </c:pt>
                <c:pt idx="15">
                  <c:v>79%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33%</c:v>
                </c:pt>
                <c:pt idx="21">
                  <c:v>88%</c:v>
                </c:pt>
                <c:pt idx="22">
                  <c:v>88%</c:v>
                </c:pt>
                <c:pt idx="23">
                  <c:v>88%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LEAD GUIDE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'19'!$AD$6:$AD$30</c:f>
              <c:numCache>
                <c:formatCode>0%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0.95833333333333337</c:v>
                </c:pt>
                <c:pt idx="3">
                  <c:v>1</c:v>
                </c:pt>
                <c:pt idx="4">
                  <c:v>0.66666666666666663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0.20833333333333334</c:v>
                </c:pt>
                <c:pt idx="9">
                  <c:v>1</c:v>
                </c:pt>
                <c:pt idx="10">
                  <c:v>0.70833333333333337</c:v>
                </c:pt>
                <c:pt idx="11">
                  <c:v>0</c:v>
                </c:pt>
                <c:pt idx="12">
                  <c:v>1</c:v>
                </c:pt>
                <c:pt idx="13">
                  <c:v>0.29166666666666669</c:v>
                </c:pt>
                <c:pt idx="14">
                  <c:v>0.5</c:v>
                </c:pt>
                <c:pt idx="15">
                  <c:v>0.79166666666666663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5-45B4-BCE4-7947D6EE5C8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C5-45B4-BCE4-7947D6EE5C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LEAD GUIDE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'19'!$AE$6:$AE$30</c:f>
              <c:numCache>
                <c:formatCode>0%</c:formatCode>
                <c:ptCount val="25"/>
                <c:pt idx="0">
                  <c:v>0.56333333333333324</c:v>
                </c:pt>
                <c:pt idx="1">
                  <c:v>0.56333333333333324</c:v>
                </c:pt>
                <c:pt idx="2">
                  <c:v>0.56333333333333324</c:v>
                </c:pt>
                <c:pt idx="3">
                  <c:v>0.56333333333333324</c:v>
                </c:pt>
                <c:pt idx="4">
                  <c:v>0.56333333333333324</c:v>
                </c:pt>
                <c:pt idx="5">
                  <c:v>0.56333333333333324</c:v>
                </c:pt>
                <c:pt idx="6">
                  <c:v>0.56333333333333324</c:v>
                </c:pt>
                <c:pt idx="7">
                  <c:v>0.56333333333333324</c:v>
                </c:pt>
                <c:pt idx="8">
                  <c:v>0.56333333333333324</c:v>
                </c:pt>
                <c:pt idx="9">
                  <c:v>0.56333333333333324</c:v>
                </c:pt>
                <c:pt idx="10">
                  <c:v>0.56333333333333324</c:v>
                </c:pt>
                <c:pt idx="11">
                  <c:v>0.56333333333333324</c:v>
                </c:pt>
                <c:pt idx="12">
                  <c:v>0.56333333333333324</c:v>
                </c:pt>
                <c:pt idx="13">
                  <c:v>0.56333333333333324</c:v>
                </c:pt>
                <c:pt idx="14">
                  <c:v>0.56333333333333324</c:v>
                </c:pt>
                <c:pt idx="15">
                  <c:v>0.56333333333333324</c:v>
                </c:pt>
                <c:pt idx="16">
                  <c:v>0.56333333333333324</c:v>
                </c:pt>
                <c:pt idx="17">
                  <c:v>0.56333333333333324</c:v>
                </c:pt>
                <c:pt idx="18">
                  <c:v>0.56333333333333324</c:v>
                </c:pt>
                <c:pt idx="19">
                  <c:v>0.56333333333333324</c:v>
                </c:pt>
                <c:pt idx="20">
                  <c:v>0.56333333333333324</c:v>
                </c:pt>
                <c:pt idx="21">
                  <c:v>0.56333333333333324</c:v>
                </c:pt>
                <c:pt idx="22">
                  <c:v>0.56333333333333324</c:v>
                </c:pt>
                <c:pt idx="23">
                  <c:v>0.56333333333333324</c:v>
                </c:pt>
                <c:pt idx="24">
                  <c:v>0.56333333333333324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5-45B4-BCE4-7947D6EE5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LEAD GUIDE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'19'!$L$6:$L$30</c:f>
              <c:numCache>
                <c:formatCode>_(* #,##0_);_(* \(#,##0\);_(* "-"_);_(@_)</c:formatCode>
                <c:ptCount val="25"/>
                <c:pt idx="0">
                  <c:v>10576</c:v>
                </c:pt>
                <c:pt idx="2">
                  <c:v>5127</c:v>
                </c:pt>
                <c:pt idx="3">
                  <c:v>5186</c:v>
                </c:pt>
                <c:pt idx="4">
                  <c:v>6060</c:v>
                </c:pt>
                <c:pt idx="5">
                  <c:v>4868</c:v>
                </c:pt>
                <c:pt idx="6">
                  <c:v>4994</c:v>
                </c:pt>
                <c:pt idx="7">
                  <c:v>5374</c:v>
                </c:pt>
                <c:pt idx="8">
                  <c:v>251</c:v>
                </c:pt>
                <c:pt idx="9">
                  <c:v>35852</c:v>
                </c:pt>
                <c:pt idx="10">
                  <c:v>5890</c:v>
                </c:pt>
                <c:pt idx="12">
                  <c:v>9740</c:v>
                </c:pt>
                <c:pt idx="13">
                  <c:v>1281</c:v>
                </c:pt>
                <c:pt idx="14">
                  <c:v>568</c:v>
                </c:pt>
                <c:pt idx="15">
                  <c:v>3529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7-40FC-82FF-A70146877CB2}"/>
            </c:ext>
          </c:extLst>
        </c:ser>
        <c:ser>
          <c:idx val="1"/>
          <c:order val="1"/>
          <c:tx>
            <c:v>계획</c:v>
          </c:tx>
          <c:cat>
            <c:strRef>
              <c:f>'19'!$D$6:$D$30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LEAD GUIDE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'19'!$J$6:$J$30</c:f>
              <c:numCache>
                <c:formatCode>_(* #,##0_);_(* \(#,##0\);_(* "-"_);_(@_)</c:formatCode>
                <c:ptCount val="25"/>
                <c:pt idx="0">
                  <c:v>10576</c:v>
                </c:pt>
                <c:pt idx="1">
                  <c:v>1525</c:v>
                </c:pt>
                <c:pt idx="2">
                  <c:v>5127</c:v>
                </c:pt>
                <c:pt idx="3">
                  <c:v>5186</c:v>
                </c:pt>
                <c:pt idx="4">
                  <c:v>6060</c:v>
                </c:pt>
                <c:pt idx="5">
                  <c:v>4868</c:v>
                </c:pt>
                <c:pt idx="6">
                  <c:v>4994</c:v>
                </c:pt>
                <c:pt idx="7">
                  <c:v>5374</c:v>
                </c:pt>
                <c:pt idx="8">
                  <c:v>251</c:v>
                </c:pt>
                <c:pt idx="9">
                  <c:v>35852</c:v>
                </c:pt>
                <c:pt idx="10">
                  <c:v>5890</c:v>
                </c:pt>
                <c:pt idx="11">
                  <c:v>1191</c:v>
                </c:pt>
                <c:pt idx="12">
                  <c:v>9740</c:v>
                </c:pt>
                <c:pt idx="13">
                  <c:v>1281</c:v>
                </c:pt>
                <c:pt idx="14">
                  <c:v>568</c:v>
                </c:pt>
                <c:pt idx="15">
                  <c:v>3529</c:v>
                </c:pt>
                <c:pt idx="16">
                  <c:v>22548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7-40FC-82FF-A7014687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'19'!$AD$6:$AD$30</c:f>
              <c:strCache>
                <c:ptCount val="25"/>
                <c:pt idx="0">
                  <c:v>100%</c:v>
                </c:pt>
                <c:pt idx="1">
                  <c:v>0%</c:v>
                </c:pt>
                <c:pt idx="2">
                  <c:v>96%</c:v>
                </c:pt>
                <c:pt idx="3">
                  <c:v>100%</c:v>
                </c:pt>
                <c:pt idx="4">
                  <c:v>67%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21%</c:v>
                </c:pt>
                <c:pt idx="9">
                  <c:v>100%</c:v>
                </c:pt>
                <c:pt idx="10">
                  <c:v>71%</c:v>
                </c:pt>
                <c:pt idx="11">
                  <c:v>0%</c:v>
                </c:pt>
                <c:pt idx="12">
                  <c:v>100%</c:v>
                </c:pt>
                <c:pt idx="13">
                  <c:v>29%</c:v>
                </c:pt>
                <c:pt idx="14">
                  <c:v>50%</c:v>
                </c:pt>
                <c:pt idx="15">
                  <c:v>79%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33%</c:v>
                </c:pt>
                <c:pt idx="21">
                  <c:v>88%</c:v>
                </c:pt>
                <c:pt idx="22">
                  <c:v>88%</c:v>
                </c:pt>
                <c:pt idx="23">
                  <c:v>88%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LEAD GUIDE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'19'!$AD$6:$AD$30</c:f>
              <c:numCache>
                <c:formatCode>0%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0.95833333333333337</c:v>
                </c:pt>
                <c:pt idx="3">
                  <c:v>1</c:v>
                </c:pt>
                <c:pt idx="4">
                  <c:v>0.66666666666666663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0.20833333333333334</c:v>
                </c:pt>
                <c:pt idx="9">
                  <c:v>1</c:v>
                </c:pt>
                <c:pt idx="10">
                  <c:v>0.70833333333333337</c:v>
                </c:pt>
                <c:pt idx="11">
                  <c:v>0</c:v>
                </c:pt>
                <c:pt idx="12">
                  <c:v>1</c:v>
                </c:pt>
                <c:pt idx="13">
                  <c:v>0.29166666666666669</c:v>
                </c:pt>
                <c:pt idx="14">
                  <c:v>0.5</c:v>
                </c:pt>
                <c:pt idx="15">
                  <c:v>0.79166666666666663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2-48BA-A7DC-557B8543C2B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52-48BA-A7DC-557B8543C2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LEAD GUIDE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'19'!$AE$6:$AE$30</c:f>
              <c:numCache>
                <c:formatCode>0%</c:formatCode>
                <c:ptCount val="25"/>
                <c:pt idx="0">
                  <c:v>0.56333333333333324</c:v>
                </c:pt>
                <c:pt idx="1">
                  <c:v>0.56333333333333324</c:v>
                </c:pt>
                <c:pt idx="2">
                  <c:v>0.56333333333333324</c:v>
                </c:pt>
                <c:pt idx="3">
                  <c:v>0.56333333333333324</c:v>
                </c:pt>
                <c:pt idx="4">
                  <c:v>0.56333333333333324</c:v>
                </c:pt>
                <c:pt idx="5">
                  <c:v>0.56333333333333324</c:v>
                </c:pt>
                <c:pt idx="6">
                  <c:v>0.56333333333333324</c:v>
                </c:pt>
                <c:pt idx="7">
                  <c:v>0.56333333333333324</c:v>
                </c:pt>
                <c:pt idx="8">
                  <c:v>0.56333333333333324</c:v>
                </c:pt>
                <c:pt idx="9">
                  <c:v>0.56333333333333324</c:v>
                </c:pt>
                <c:pt idx="10">
                  <c:v>0.56333333333333324</c:v>
                </c:pt>
                <c:pt idx="11">
                  <c:v>0.56333333333333324</c:v>
                </c:pt>
                <c:pt idx="12">
                  <c:v>0.56333333333333324</c:v>
                </c:pt>
                <c:pt idx="13">
                  <c:v>0.56333333333333324</c:v>
                </c:pt>
                <c:pt idx="14">
                  <c:v>0.56333333333333324</c:v>
                </c:pt>
                <c:pt idx="15">
                  <c:v>0.56333333333333324</c:v>
                </c:pt>
                <c:pt idx="16">
                  <c:v>0.56333333333333324</c:v>
                </c:pt>
                <c:pt idx="17">
                  <c:v>0.56333333333333324</c:v>
                </c:pt>
                <c:pt idx="18">
                  <c:v>0.56333333333333324</c:v>
                </c:pt>
                <c:pt idx="19">
                  <c:v>0.56333333333333324</c:v>
                </c:pt>
                <c:pt idx="20">
                  <c:v>0.56333333333333324</c:v>
                </c:pt>
                <c:pt idx="21">
                  <c:v>0.56333333333333324</c:v>
                </c:pt>
                <c:pt idx="22">
                  <c:v>0.56333333333333324</c:v>
                </c:pt>
                <c:pt idx="23">
                  <c:v>0.56333333333333324</c:v>
                </c:pt>
                <c:pt idx="24">
                  <c:v>0.56333333333333324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2-48BA-A7DC-557B8543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B95-4538-B5CC-83104FD1FC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5-4538-B5CC-83104FD1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B95-4538-B5CC-83104FD1FC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5-4538-B5CC-83104FD1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'22'!$D$6:$D$30</c:f>
              <c:strCache>
                <c:ptCount val="24"/>
                <c:pt idx="0">
                  <c:v>SLIDER</c:v>
                </c:pt>
                <c:pt idx="1">
                  <c:v>F/A</c:v>
                </c:pt>
                <c:pt idx="3">
                  <c:v>STOPPER</c:v>
                </c:pt>
                <c:pt idx="5">
                  <c:v>LATCH PLATE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10">
                  <c:v>SLIDER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'22'!$L$6:$L$30</c:f>
              <c:numCache>
                <c:formatCode>_(* #,##0_);_(* \(#,##0\);_(* "-"_);_(@_)</c:formatCode>
                <c:ptCount val="25"/>
                <c:pt idx="0">
                  <c:v>10332</c:v>
                </c:pt>
                <c:pt idx="1">
                  <c:v>0</c:v>
                </c:pt>
                <c:pt idx="2">
                  <c:v>600</c:v>
                </c:pt>
                <c:pt idx="3">
                  <c:v>0</c:v>
                </c:pt>
                <c:pt idx="4">
                  <c:v>10334</c:v>
                </c:pt>
                <c:pt idx="5">
                  <c:v>10628</c:v>
                </c:pt>
                <c:pt idx="6">
                  <c:v>4596</c:v>
                </c:pt>
                <c:pt idx="7">
                  <c:v>2600</c:v>
                </c:pt>
                <c:pt idx="9">
                  <c:v>38696</c:v>
                </c:pt>
                <c:pt idx="10">
                  <c:v>10900</c:v>
                </c:pt>
                <c:pt idx="11">
                  <c:v>600</c:v>
                </c:pt>
                <c:pt idx="12">
                  <c:v>10720</c:v>
                </c:pt>
                <c:pt idx="13">
                  <c:v>1244</c:v>
                </c:pt>
                <c:pt idx="14">
                  <c:v>594</c:v>
                </c:pt>
                <c:pt idx="15">
                  <c:v>4577</c:v>
                </c:pt>
                <c:pt idx="16">
                  <c:v>54104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8-4BDE-AE7F-569EE324F325}"/>
            </c:ext>
          </c:extLst>
        </c:ser>
        <c:ser>
          <c:idx val="1"/>
          <c:order val="1"/>
          <c:tx>
            <c:v>계획</c:v>
          </c:tx>
          <c:cat>
            <c:strRef>
              <c:f>'22'!$D$6:$D$30</c:f>
              <c:strCache>
                <c:ptCount val="24"/>
                <c:pt idx="0">
                  <c:v>SLIDER</c:v>
                </c:pt>
                <c:pt idx="1">
                  <c:v>F/A</c:v>
                </c:pt>
                <c:pt idx="3">
                  <c:v>STOPPER</c:v>
                </c:pt>
                <c:pt idx="5">
                  <c:v>LATCH PLATE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10">
                  <c:v>SLIDER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'22'!$J$6:$J$30</c:f>
              <c:numCache>
                <c:formatCode>_(* #,##0_);_(* \(#,##0\);_(* "-"_);_(@_)</c:formatCode>
                <c:ptCount val="25"/>
                <c:pt idx="0">
                  <c:v>10332</c:v>
                </c:pt>
                <c:pt idx="1">
                  <c:v>1525</c:v>
                </c:pt>
                <c:pt idx="2">
                  <c:v>600</c:v>
                </c:pt>
                <c:pt idx="3">
                  <c:v>5186</c:v>
                </c:pt>
                <c:pt idx="4">
                  <c:v>10334</c:v>
                </c:pt>
                <c:pt idx="5">
                  <c:v>10628</c:v>
                </c:pt>
                <c:pt idx="6">
                  <c:v>4596</c:v>
                </c:pt>
                <c:pt idx="7">
                  <c:v>2600</c:v>
                </c:pt>
                <c:pt idx="8">
                  <c:v>251</c:v>
                </c:pt>
                <c:pt idx="9">
                  <c:v>38696</c:v>
                </c:pt>
                <c:pt idx="10">
                  <c:v>10900</c:v>
                </c:pt>
                <c:pt idx="11">
                  <c:v>600</c:v>
                </c:pt>
                <c:pt idx="12">
                  <c:v>10720</c:v>
                </c:pt>
                <c:pt idx="13">
                  <c:v>1244</c:v>
                </c:pt>
                <c:pt idx="14">
                  <c:v>594</c:v>
                </c:pt>
                <c:pt idx="15">
                  <c:v>4577</c:v>
                </c:pt>
                <c:pt idx="16">
                  <c:v>54104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8-4BDE-AE7F-569EE324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'22'!$AD$6:$AD$30</c:f>
              <c:strCache>
                <c:ptCount val="25"/>
                <c:pt idx="0">
                  <c:v>100%</c:v>
                </c:pt>
                <c:pt idx="1">
                  <c:v>0%</c:v>
                </c:pt>
                <c:pt idx="2">
                  <c:v>17%</c:v>
                </c:pt>
                <c:pt idx="3">
                  <c:v>0%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33%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17%</c:v>
                </c:pt>
                <c:pt idx="12">
                  <c:v>100%</c:v>
                </c:pt>
                <c:pt idx="13">
                  <c:v>29%</c:v>
                </c:pt>
                <c:pt idx="14">
                  <c:v>54%</c:v>
                </c:pt>
                <c:pt idx="15">
                  <c:v>100%</c:v>
                </c:pt>
                <c:pt idx="16">
                  <c:v>88%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'22'!$D$6:$D$30</c:f>
              <c:strCache>
                <c:ptCount val="24"/>
                <c:pt idx="0">
                  <c:v>SLIDER</c:v>
                </c:pt>
                <c:pt idx="1">
                  <c:v>F/A</c:v>
                </c:pt>
                <c:pt idx="3">
                  <c:v>STOPPER</c:v>
                </c:pt>
                <c:pt idx="5">
                  <c:v>LATCH PLATE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10">
                  <c:v>SLIDER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'22'!$AD$6:$AD$30</c:f>
              <c:numCache>
                <c:formatCode>0%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0.33333333333333331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0.16666666666666666</c:v>
                </c:pt>
                <c:pt idx="12">
                  <c:v>1</c:v>
                </c:pt>
                <c:pt idx="13">
                  <c:v>0.29166666666666669</c:v>
                </c:pt>
                <c:pt idx="14">
                  <c:v>0.54166666666666663</c:v>
                </c:pt>
                <c:pt idx="15">
                  <c:v>1</c:v>
                </c:pt>
                <c:pt idx="16">
                  <c:v>0.875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4-4EB8-B5C6-D2E875B64FD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C4-4EB8-B5C6-D2E875B64F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'22'!$D$6:$D$30</c:f>
              <c:strCache>
                <c:ptCount val="24"/>
                <c:pt idx="0">
                  <c:v>SLIDER</c:v>
                </c:pt>
                <c:pt idx="1">
                  <c:v>F/A</c:v>
                </c:pt>
                <c:pt idx="3">
                  <c:v>STOPPER</c:v>
                </c:pt>
                <c:pt idx="5">
                  <c:v>LATCH PLATE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10">
                  <c:v>SLIDER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'22'!$AE$6:$AE$30</c:f>
              <c:numCache>
                <c:formatCode>0%</c:formatCode>
                <c:ptCount val="25"/>
                <c:pt idx="0">
                  <c:v>0.41499999999999998</c:v>
                </c:pt>
                <c:pt idx="1">
                  <c:v>0.41499999999999998</c:v>
                </c:pt>
                <c:pt idx="2">
                  <c:v>0.41499999999999998</c:v>
                </c:pt>
                <c:pt idx="3">
                  <c:v>0.41499999999999998</c:v>
                </c:pt>
                <c:pt idx="4">
                  <c:v>0.41499999999999998</c:v>
                </c:pt>
                <c:pt idx="5">
                  <c:v>0.41499999999999998</c:v>
                </c:pt>
                <c:pt idx="6">
                  <c:v>0.41499999999999998</c:v>
                </c:pt>
                <c:pt idx="7">
                  <c:v>0.41499999999999998</c:v>
                </c:pt>
                <c:pt idx="8">
                  <c:v>0.41499999999999998</c:v>
                </c:pt>
                <c:pt idx="9">
                  <c:v>0.41499999999999998</c:v>
                </c:pt>
                <c:pt idx="10">
                  <c:v>0.41499999999999998</c:v>
                </c:pt>
                <c:pt idx="11">
                  <c:v>0.41499999999999998</c:v>
                </c:pt>
                <c:pt idx="12">
                  <c:v>0.41499999999999998</c:v>
                </c:pt>
                <c:pt idx="13">
                  <c:v>0.41499999999999998</c:v>
                </c:pt>
                <c:pt idx="14">
                  <c:v>0.41499999999999998</c:v>
                </c:pt>
                <c:pt idx="15">
                  <c:v>0.41499999999999998</c:v>
                </c:pt>
                <c:pt idx="16">
                  <c:v>0.41499999999999998</c:v>
                </c:pt>
                <c:pt idx="17">
                  <c:v>0.41499999999999998</c:v>
                </c:pt>
                <c:pt idx="18">
                  <c:v>0.41499999999999998</c:v>
                </c:pt>
                <c:pt idx="19">
                  <c:v>0.41499999999999998</c:v>
                </c:pt>
                <c:pt idx="20">
                  <c:v>0.41499999999999998</c:v>
                </c:pt>
                <c:pt idx="21">
                  <c:v>0.41499999999999998</c:v>
                </c:pt>
                <c:pt idx="22">
                  <c:v>0.41499999999999998</c:v>
                </c:pt>
                <c:pt idx="23">
                  <c:v>0.41499999999999998</c:v>
                </c:pt>
                <c:pt idx="24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4-4EB8-B5C6-D2E875B6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'22'!$D$6:$D$30</c:f>
              <c:strCache>
                <c:ptCount val="24"/>
                <c:pt idx="0">
                  <c:v>SLIDER</c:v>
                </c:pt>
                <c:pt idx="1">
                  <c:v>F/A</c:v>
                </c:pt>
                <c:pt idx="3">
                  <c:v>STOPPER</c:v>
                </c:pt>
                <c:pt idx="5">
                  <c:v>LATCH PLATE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10">
                  <c:v>SLIDER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'22'!$L$6:$L$30</c:f>
              <c:numCache>
                <c:formatCode>_(* #,##0_);_(* \(#,##0\);_(* "-"_);_(@_)</c:formatCode>
                <c:ptCount val="25"/>
                <c:pt idx="0">
                  <c:v>10332</c:v>
                </c:pt>
                <c:pt idx="1">
                  <c:v>0</c:v>
                </c:pt>
                <c:pt idx="2">
                  <c:v>600</c:v>
                </c:pt>
                <c:pt idx="3">
                  <c:v>0</c:v>
                </c:pt>
                <c:pt idx="4">
                  <c:v>10334</c:v>
                </c:pt>
                <c:pt idx="5">
                  <c:v>10628</c:v>
                </c:pt>
                <c:pt idx="6">
                  <c:v>4596</c:v>
                </c:pt>
                <c:pt idx="7">
                  <c:v>2600</c:v>
                </c:pt>
                <c:pt idx="9">
                  <c:v>38696</c:v>
                </c:pt>
                <c:pt idx="10">
                  <c:v>10900</c:v>
                </c:pt>
                <c:pt idx="11">
                  <c:v>600</c:v>
                </c:pt>
                <c:pt idx="12">
                  <c:v>10720</c:v>
                </c:pt>
                <c:pt idx="13">
                  <c:v>1244</c:v>
                </c:pt>
                <c:pt idx="14">
                  <c:v>594</c:v>
                </c:pt>
                <c:pt idx="15">
                  <c:v>4577</c:v>
                </c:pt>
                <c:pt idx="16">
                  <c:v>54104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C-4A08-B702-3B84C1F3F479}"/>
            </c:ext>
          </c:extLst>
        </c:ser>
        <c:ser>
          <c:idx val="1"/>
          <c:order val="1"/>
          <c:tx>
            <c:v>계획</c:v>
          </c:tx>
          <c:cat>
            <c:strRef>
              <c:f>'22'!$D$6:$D$30</c:f>
              <c:strCache>
                <c:ptCount val="24"/>
                <c:pt idx="0">
                  <c:v>SLIDER</c:v>
                </c:pt>
                <c:pt idx="1">
                  <c:v>F/A</c:v>
                </c:pt>
                <c:pt idx="3">
                  <c:v>STOPPER</c:v>
                </c:pt>
                <c:pt idx="5">
                  <c:v>LATCH PLATE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10">
                  <c:v>SLIDER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'22'!$J$6:$J$30</c:f>
              <c:numCache>
                <c:formatCode>_(* #,##0_);_(* \(#,##0\);_(* "-"_);_(@_)</c:formatCode>
                <c:ptCount val="25"/>
                <c:pt idx="0">
                  <c:v>10332</c:v>
                </c:pt>
                <c:pt idx="1">
                  <c:v>1525</c:v>
                </c:pt>
                <c:pt idx="2">
                  <c:v>600</c:v>
                </c:pt>
                <c:pt idx="3">
                  <c:v>5186</c:v>
                </c:pt>
                <c:pt idx="4">
                  <c:v>10334</c:v>
                </c:pt>
                <c:pt idx="5">
                  <c:v>10628</c:v>
                </c:pt>
                <c:pt idx="6">
                  <c:v>4596</c:v>
                </c:pt>
                <c:pt idx="7">
                  <c:v>2600</c:v>
                </c:pt>
                <c:pt idx="8">
                  <c:v>251</c:v>
                </c:pt>
                <c:pt idx="9">
                  <c:v>38696</c:v>
                </c:pt>
                <c:pt idx="10">
                  <c:v>10900</c:v>
                </c:pt>
                <c:pt idx="11">
                  <c:v>600</c:v>
                </c:pt>
                <c:pt idx="12">
                  <c:v>10720</c:v>
                </c:pt>
                <c:pt idx="13">
                  <c:v>1244</c:v>
                </c:pt>
                <c:pt idx="14">
                  <c:v>594</c:v>
                </c:pt>
                <c:pt idx="15">
                  <c:v>4577</c:v>
                </c:pt>
                <c:pt idx="16">
                  <c:v>54104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C-4A08-B702-3B84C1F3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'22'!$AD$6:$AD$30</c:f>
              <c:strCache>
                <c:ptCount val="25"/>
                <c:pt idx="0">
                  <c:v>100%</c:v>
                </c:pt>
                <c:pt idx="1">
                  <c:v>0%</c:v>
                </c:pt>
                <c:pt idx="2">
                  <c:v>17%</c:v>
                </c:pt>
                <c:pt idx="3">
                  <c:v>0%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33%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17%</c:v>
                </c:pt>
                <c:pt idx="12">
                  <c:v>100%</c:v>
                </c:pt>
                <c:pt idx="13">
                  <c:v>29%</c:v>
                </c:pt>
                <c:pt idx="14">
                  <c:v>54%</c:v>
                </c:pt>
                <c:pt idx="15">
                  <c:v>100%</c:v>
                </c:pt>
                <c:pt idx="16">
                  <c:v>88%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'22'!$D$6:$D$30</c:f>
              <c:strCache>
                <c:ptCount val="24"/>
                <c:pt idx="0">
                  <c:v>SLIDER</c:v>
                </c:pt>
                <c:pt idx="1">
                  <c:v>F/A</c:v>
                </c:pt>
                <c:pt idx="3">
                  <c:v>STOPPER</c:v>
                </c:pt>
                <c:pt idx="5">
                  <c:v>LATCH PLATE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10">
                  <c:v>SLIDER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'22'!$AD$6:$AD$30</c:f>
              <c:numCache>
                <c:formatCode>0%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0.33333333333333331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0.16666666666666666</c:v>
                </c:pt>
                <c:pt idx="12">
                  <c:v>1</c:v>
                </c:pt>
                <c:pt idx="13">
                  <c:v>0.29166666666666669</c:v>
                </c:pt>
                <c:pt idx="14">
                  <c:v>0.54166666666666663</c:v>
                </c:pt>
                <c:pt idx="15">
                  <c:v>1</c:v>
                </c:pt>
                <c:pt idx="16">
                  <c:v>0.875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3-4C96-9F9E-E59733E7FB8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33-4C96-9F9E-E59733E7FB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'22'!$D$6:$D$30</c:f>
              <c:strCache>
                <c:ptCount val="24"/>
                <c:pt idx="0">
                  <c:v>SLIDER</c:v>
                </c:pt>
                <c:pt idx="1">
                  <c:v>F/A</c:v>
                </c:pt>
                <c:pt idx="3">
                  <c:v>STOPPER</c:v>
                </c:pt>
                <c:pt idx="5">
                  <c:v>LATCH PLATE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10">
                  <c:v>SLIDER</c:v>
                </c:pt>
                <c:pt idx="12">
                  <c:v>BASE</c:v>
                </c:pt>
                <c:pt idx="13">
                  <c:v>LEAD GUIDE</c:v>
                </c:pt>
                <c:pt idx="14">
                  <c:v>BASE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'22'!$AE$6:$AE$30</c:f>
              <c:numCache>
                <c:formatCode>0%</c:formatCode>
                <c:ptCount val="25"/>
                <c:pt idx="0">
                  <c:v>0.41499999999999998</c:v>
                </c:pt>
                <c:pt idx="1">
                  <c:v>0.41499999999999998</c:v>
                </c:pt>
                <c:pt idx="2">
                  <c:v>0.41499999999999998</c:v>
                </c:pt>
                <c:pt idx="3">
                  <c:v>0.41499999999999998</c:v>
                </c:pt>
                <c:pt idx="4">
                  <c:v>0.41499999999999998</c:v>
                </c:pt>
                <c:pt idx="5">
                  <c:v>0.41499999999999998</c:v>
                </c:pt>
                <c:pt idx="6">
                  <c:v>0.41499999999999998</c:v>
                </c:pt>
                <c:pt idx="7">
                  <c:v>0.41499999999999998</c:v>
                </c:pt>
                <c:pt idx="8">
                  <c:v>0.41499999999999998</c:v>
                </c:pt>
                <c:pt idx="9">
                  <c:v>0.41499999999999998</c:v>
                </c:pt>
                <c:pt idx="10">
                  <c:v>0.41499999999999998</c:v>
                </c:pt>
                <c:pt idx="11">
                  <c:v>0.41499999999999998</c:v>
                </c:pt>
                <c:pt idx="12">
                  <c:v>0.41499999999999998</c:v>
                </c:pt>
                <c:pt idx="13">
                  <c:v>0.41499999999999998</c:v>
                </c:pt>
                <c:pt idx="14">
                  <c:v>0.41499999999999998</c:v>
                </c:pt>
                <c:pt idx="15">
                  <c:v>0.41499999999999998</c:v>
                </c:pt>
                <c:pt idx="16">
                  <c:v>0.41499999999999998</c:v>
                </c:pt>
                <c:pt idx="17">
                  <c:v>0.41499999999999998</c:v>
                </c:pt>
                <c:pt idx="18">
                  <c:v>0.41499999999999998</c:v>
                </c:pt>
                <c:pt idx="19">
                  <c:v>0.41499999999999998</c:v>
                </c:pt>
                <c:pt idx="20">
                  <c:v>0.41499999999999998</c:v>
                </c:pt>
                <c:pt idx="21">
                  <c:v>0.41499999999999998</c:v>
                </c:pt>
                <c:pt idx="22">
                  <c:v>0.41499999999999998</c:v>
                </c:pt>
                <c:pt idx="23">
                  <c:v>0.41499999999999998</c:v>
                </c:pt>
                <c:pt idx="24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3-4C96-9F9E-E59733E7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F/A</c:v>
                </c:pt>
                <c:pt idx="3">
                  <c:v>CAM 1</c:v>
                </c:pt>
                <c:pt idx="4">
                  <c:v>BASE</c:v>
                </c:pt>
                <c:pt idx="5">
                  <c:v>COVER</c:v>
                </c:pt>
                <c:pt idx="6">
                  <c:v>22P</c:v>
                </c:pt>
                <c:pt idx="7">
                  <c:v>BASE</c:v>
                </c:pt>
                <c:pt idx="8">
                  <c:v>BODY/LID</c:v>
                </c:pt>
                <c:pt idx="9">
                  <c:v>UNDER</c:v>
                </c:pt>
                <c:pt idx="10">
                  <c:v>ADAPTER</c:v>
                </c:pt>
                <c:pt idx="11">
                  <c:v>ACTUATOR</c:v>
                </c:pt>
                <c:pt idx="12">
                  <c:v>SLIDER</c:v>
                </c:pt>
                <c:pt idx="13">
                  <c:v>BODY</c:v>
                </c:pt>
                <c:pt idx="14">
                  <c:v>SLIDER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'02'!$L$6:$L$30</c:f>
              <c:numCache>
                <c:formatCode>_(* #,##0_);_(* \(#,##0\);_(* "-"_);_(@_)</c:formatCode>
                <c:ptCount val="25"/>
                <c:pt idx="0">
                  <c:v>9248</c:v>
                </c:pt>
                <c:pt idx="1">
                  <c:v>122</c:v>
                </c:pt>
                <c:pt idx="2">
                  <c:v>3671</c:v>
                </c:pt>
                <c:pt idx="3">
                  <c:v>5356</c:v>
                </c:pt>
                <c:pt idx="4">
                  <c:v>5202</c:v>
                </c:pt>
                <c:pt idx="5">
                  <c:v>5482</c:v>
                </c:pt>
                <c:pt idx="6">
                  <c:v>27912</c:v>
                </c:pt>
                <c:pt idx="7">
                  <c:v>573</c:v>
                </c:pt>
                <c:pt idx="9">
                  <c:v>1182</c:v>
                </c:pt>
                <c:pt idx="10">
                  <c:v>11962</c:v>
                </c:pt>
                <c:pt idx="11">
                  <c:v>10808</c:v>
                </c:pt>
                <c:pt idx="12">
                  <c:v>18304</c:v>
                </c:pt>
                <c:pt idx="13">
                  <c:v>5319</c:v>
                </c:pt>
                <c:pt idx="14">
                  <c:v>4638</c:v>
                </c:pt>
                <c:pt idx="15">
                  <c:v>10452</c:v>
                </c:pt>
                <c:pt idx="16">
                  <c:v>4128</c:v>
                </c:pt>
                <c:pt idx="20">
                  <c:v>326312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A-4B59-9AEA-74618C6055AE}"/>
            </c:ext>
          </c:extLst>
        </c:ser>
        <c:ser>
          <c:idx val="1"/>
          <c:order val="1"/>
          <c:tx>
            <c:v>계획</c:v>
          </c:tx>
          <c:cat>
            <c:strRef>
              <c:f>'02'!$D$6:$D$30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F/A</c:v>
                </c:pt>
                <c:pt idx="3">
                  <c:v>CAM 1</c:v>
                </c:pt>
                <c:pt idx="4">
                  <c:v>BASE</c:v>
                </c:pt>
                <c:pt idx="5">
                  <c:v>COVER</c:v>
                </c:pt>
                <c:pt idx="6">
                  <c:v>22P</c:v>
                </c:pt>
                <c:pt idx="7">
                  <c:v>BASE</c:v>
                </c:pt>
                <c:pt idx="8">
                  <c:v>BODY/LID</c:v>
                </c:pt>
                <c:pt idx="9">
                  <c:v>UNDER</c:v>
                </c:pt>
                <c:pt idx="10">
                  <c:v>ADAPTER</c:v>
                </c:pt>
                <c:pt idx="11">
                  <c:v>ACTUATOR</c:v>
                </c:pt>
                <c:pt idx="12">
                  <c:v>SLIDER</c:v>
                </c:pt>
                <c:pt idx="13">
                  <c:v>BODY</c:v>
                </c:pt>
                <c:pt idx="14">
                  <c:v>SLIDER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'02'!$J$6:$J$30</c:f>
              <c:numCache>
                <c:formatCode>_(* #,##0_);_(* \(#,##0\);_(* "-"_);_(@_)</c:formatCode>
                <c:ptCount val="25"/>
                <c:pt idx="0">
                  <c:v>9248</c:v>
                </c:pt>
                <c:pt idx="1">
                  <c:v>122</c:v>
                </c:pt>
                <c:pt idx="2">
                  <c:v>3671</c:v>
                </c:pt>
                <c:pt idx="3">
                  <c:v>5356</c:v>
                </c:pt>
                <c:pt idx="4">
                  <c:v>5202</c:v>
                </c:pt>
                <c:pt idx="5">
                  <c:v>5482</c:v>
                </c:pt>
                <c:pt idx="6">
                  <c:v>27912</c:v>
                </c:pt>
                <c:pt idx="7">
                  <c:v>573</c:v>
                </c:pt>
                <c:pt idx="8">
                  <c:v>1084</c:v>
                </c:pt>
                <c:pt idx="9">
                  <c:v>1182</c:v>
                </c:pt>
                <c:pt idx="10">
                  <c:v>11962</c:v>
                </c:pt>
                <c:pt idx="11">
                  <c:v>10808</c:v>
                </c:pt>
                <c:pt idx="12">
                  <c:v>18304</c:v>
                </c:pt>
                <c:pt idx="13">
                  <c:v>5319</c:v>
                </c:pt>
                <c:pt idx="14">
                  <c:v>4638</c:v>
                </c:pt>
                <c:pt idx="15">
                  <c:v>10452</c:v>
                </c:pt>
                <c:pt idx="16">
                  <c:v>4128</c:v>
                </c:pt>
                <c:pt idx="17">
                  <c:v>0</c:v>
                </c:pt>
                <c:pt idx="18">
                  <c:v>7513</c:v>
                </c:pt>
                <c:pt idx="19">
                  <c:v>22300</c:v>
                </c:pt>
                <c:pt idx="20">
                  <c:v>326312</c:v>
                </c:pt>
                <c:pt idx="21">
                  <c:v>13428</c:v>
                </c:pt>
                <c:pt idx="22">
                  <c:v>8984</c:v>
                </c:pt>
                <c:pt idx="23">
                  <c:v>26944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A-4B59-9AEA-74618C60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7D1-4D2F-88CC-FA6A80F796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1-4D2F-88CC-FA6A80F7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7D1-4D2F-88CC-FA6A80F796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1-4D2F-88CC-FA6A80F7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'23'!$D$6:$D$33</c:f>
              <c:strCache>
                <c:ptCount val="27"/>
                <c:pt idx="0">
                  <c:v>SLIDER</c:v>
                </c:pt>
                <c:pt idx="1">
                  <c:v>F/A</c:v>
                </c:pt>
                <c:pt idx="3">
                  <c:v>BASE</c:v>
                </c:pt>
                <c:pt idx="4">
                  <c:v>STOPPER</c:v>
                </c:pt>
                <c:pt idx="6">
                  <c:v>LATCH</c:v>
                </c:pt>
                <c:pt idx="7">
                  <c:v>LEAD GUIDE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2">
                  <c:v>SLIDER</c:v>
                </c:pt>
                <c:pt idx="14">
                  <c:v>BASE</c:v>
                </c:pt>
                <c:pt idx="15">
                  <c:v>LEAD GUIDE</c:v>
                </c:pt>
                <c:pt idx="16">
                  <c:v>BASE</c:v>
                </c:pt>
                <c:pt idx="17">
                  <c:v>STOPPER</c:v>
                </c:pt>
                <c:pt idx="18">
                  <c:v>ST/HO</c:v>
                </c:pt>
                <c:pt idx="21">
                  <c:v>SEPARATOR</c:v>
                </c:pt>
                <c:pt idx="22">
                  <c:v>BASE</c:v>
                </c:pt>
                <c:pt idx="24">
                  <c:v>BASE</c:v>
                </c:pt>
                <c:pt idx="25">
                  <c:v>SLIDER</c:v>
                </c:pt>
                <c:pt idx="26">
                  <c:v>COVER</c:v>
                </c:pt>
              </c:strCache>
            </c:strRef>
          </c:cat>
          <c:val>
            <c:numRef>
              <c:f>'23'!$L$6:$L$33</c:f>
              <c:numCache>
                <c:formatCode>_(* #,##0_);_(* \(#,##0\);_(* "-"_);_(@_)</c:formatCode>
                <c:ptCount val="28"/>
                <c:pt idx="0">
                  <c:v>1634</c:v>
                </c:pt>
                <c:pt idx="1">
                  <c:v>1076</c:v>
                </c:pt>
                <c:pt idx="2">
                  <c:v>600</c:v>
                </c:pt>
                <c:pt idx="3">
                  <c:v>1554</c:v>
                </c:pt>
                <c:pt idx="4">
                  <c:v>4799</c:v>
                </c:pt>
                <c:pt idx="5">
                  <c:v>10898</c:v>
                </c:pt>
                <c:pt idx="6">
                  <c:v>2250</c:v>
                </c:pt>
                <c:pt idx="7">
                  <c:v>1197</c:v>
                </c:pt>
                <c:pt idx="8">
                  <c:v>9138</c:v>
                </c:pt>
                <c:pt idx="9">
                  <c:v>10908</c:v>
                </c:pt>
                <c:pt idx="11">
                  <c:v>37640</c:v>
                </c:pt>
                <c:pt idx="12">
                  <c:v>11458</c:v>
                </c:pt>
                <c:pt idx="14">
                  <c:v>10498</c:v>
                </c:pt>
                <c:pt idx="15">
                  <c:v>615</c:v>
                </c:pt>
                <c:pt idx="16">
                  <c:v>0</c:v>
                </c:pt>
                <c:pt idx="17">
                  <c:v>2187</c:v>
                </c:pt>
                <c:pt idx="18">
                  <c:v>4677</c:v>
                </c:pt>
                <c:pt idx="19">
                  <c:v>64632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3-4BD0-B5ED-46884921AA5A}"/>
            </c:ext>
          </c:extLst>
        </c:ser>
        <c:ser>
          <c:idx val="1"/>
          <c:order val="1"/>
          <c:tx>
            <c:v>계획</c:v>
          </c:tx>
          <c:cat>
            <c:strRef>
              <c:f>'23'!$D$6:$D$33</c:f>
              <c:strCache>
                <c:ptCount val="27"/>
                <c:pt idx="0">
                  <c:v>SLIDER</c:v>
                </c:pt>
                <c:pt idx="1">
                  <c:v>F/A</c:v>
                </c:pt>
                <c:pt idx="3">
                  <c:v>BASE</c:v>
                </c:pt>
                <c:pt idx="4">
                  <c:v>STOPPER</c:v>
                </c:pt>
                <c:pt idx="6">
                  <c:v>LATCH</c:v>
                </c:pt>
                <c:pt idx="7">
                  <c:v>LEAD GUIDE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2">
                  <c:v>SLIDER</c:v>
                </c:pt>
                <c:pt idx="14">
                  <c:v>BASE</c:v>
                </c:pt>
                <c:pt idx="15">
                  <c:v>LEAD GUIDE</c:v>
                </c:pt>
                <c:pt idx="16">
                  <c:v>BASE</c:v>
                </c:pt>
                <c:pt idx="17">
                  <c:v>STOPPER</c:v>
                </c:pt>
                <c:pt idx="18">
                  <c:v>ST/HO</c:v>
                </c:pt>
                <c:pt idx="21">
                  <c:v>SEPARATOR</c:v>
                </c:pt>
                <c:pt idx="22">
                  <c:v>BASE</c:v>
                </c:pt>
                <c:pt idx="24">
                  <c:v>BASE</c:v>
                </c:pt>
                <c:pt idx="25">
                  <c:v>SLIDER</c:v>
                </c:pt>
                <c:pt idx="26">
                  <c:v>COVER</c:v>
                </c:pt>
              </c:strCache>
            </c:strRef>
          </c:cat>
          <c:val>
            <c:numRef>
              <c:f>'23'!$J$6:$J$33</c:f>
              <c:numCache>
                <c:formatCode>_(* #,##0_);_(* \(#,##0\);_(* "-"_);_(@_)</c:formatCode>
                <c:ptCount val="28"/>
                <c:pt idx="0">
                  <c:v>1634</c:v>
                </c:pt>
                <c:pt idx="1">
                  <c:v>1076</c:v>
                </c:pt>
                <c:pt idx="2">
                  <c:v>600</c:v>
                </c:pt>
                <c:pt idx="3">
                  <c:v>1554</c:v>
                </c:pt>
                <c:pt idx="4">
                  <c:v>4799</c:v>
                </c:pt>
                <c:pt idx="5">
                  <c:v>10898</c:v>
                </c:pt>
                <c:pt idx="6">
                  <c:v>2250</c:v>
                </c:pt>
                <c:pt idx="7">
                  <c:v>1197</c:v>
                </c:pt>
                <c:pt idx="8">
                  <c:v>9138</c:v>
                </c:pt>
                <c:pt idx="9">
                  <c:v>10908</c:v>
                </c:pt>
                <c:pt idx="10">
                  <c:v>251</c:v>
                </c:pt>
                <c:pt idx="11">
                  <c:v>37640</c:v>
                </c:pt>
                <c:pt idx="12">
                  <c:v>11458</c:v>
                </c:pt>
                <c:pt idx="13">
                  <c:v>600</c:v>
                </c:pt>
                <c:pt idx="14">
                  <c:v>10498</c:v>
                </c:pt>
                <c:pt idx="15">
                  <c:v>615</c:v>
                </c:pt>
                <c:pt idx="16">
                  <c:v>615</c:v>
                </c:pt>
                <c:pt idx="17">
                  <c:v>2187</c:v>
                </c:pt>
                <c:pt idx="18">
                  <c:v>4677</c:v>
                </c:pt>
                <c:pt idx="19">
                  <c:v>64632</c:v>
                </c:pt>
                <c:pt idx="20">
                  <c:v>0</c:v>
                </c:pt>
                <c:pt idx="21">
                  <c:v>24024</c:v>
                </c:pt>
                <c:pt idx="22">
                  <c:v>22300</c:v>
                </c:pt>
                <c:pt idx="23">
                  <c:v>189476</c:v>
                </c:pt>
                <c:pt idx="24">
                  <c:v>15393</c:v>
                </c:pt>
                <c:pt idx="25">
                  <c:v>24332</c:v>
                </c:pt>
                <c:pt idx="26">
                  <c:v>26116</c:v>
                </c:pt>
                <c:pt idx="27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3-4BD0-B5ED-46884921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'23'!$AD$6:$AD$33</c:f>
              <c:strCache>
                <c:ptCount val="28"/>
                <c:pt idx="0">
                  <c:v>17%</c:v>
                </c:pt>
                <c:pt idx="1">
                  <c:v>21%</c:v>
                </c:pt>
                <c:pt idx="2">
                  <c:v>17%</c:v>
                </c:pt>
                <c:pt idx="3">
                  <c:v>38%</c:v>
                </c:pt>
                <c:pt idx="4">
                  <c:v>100%</c:v>
                </c:pt>
                <c:pt idx="5">
                  <c:v>100%</c:v>
                </c:pt>
                <c:pt idx="6">
                  <c:v>21%</c:v>
                </c:pt>
                <c:pt idx="7">
                  <c:v>25%</c:v>
                </c:pt>
                <c:pt idx="8">
                  <c:v>96%</c:v>
                </c:pt>
                <c:pt idx="9">
                  <c:v>88%</c:v>
                </c:pt>
                <c:pt idx="10">
                  <c:v>0%</c:v>
                </c:pt>
                <c:pt idx="11">
                  <c:v>100%</c:v>
                </c:pt>
                <c:pt idx="12">
                  <c:v>100%</c:v>
                </c:pt>
                <c:pt idx="13">
                  <c:v>0%</c:v>
                </c:pt>
                <c:pt idx="14">
                  <c:v>92%</c:v>
                </c:pt>
                <c:pt idx="15">
                  <c:v>29%</c:v>
                </c:pt>
                <c:pt idx="16">
                  <c:v>0%</c:v>
                </c:pt>
                <c:pt idx="17">
                  <c:v>50%</c:v>
                </c:pt>
                <c:pt idx="18">
                  <c:v>100%</c:v>
                </c:pt>
                <c:pt idx="19">
                  <c:v>100%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  <c:pt idx="26">
                  <c:v>0%</c:v>
                </c:pt>
                <c:pt idx="27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'23'!$D$6:$D$33</c:f>
              <c:strCache>
                <c:ptCount val="27"/>
                <c:pt idx="0">
                  <c:v>SLIDER</c:v>
                </c:pt>
                <c:pt idx="1">
                  <c:v>F/A</c:v>
                </c:pt>
                <c:pt idx="3">
                  <c:v>BASE</c:v>
                </c:pt>
                <c:pt idx="4">
                  <c:v>STOPPER</c:v>
                </c:pt>
                <c:pt idx="6">
                  <c:v>LATCH</c:v>
                </c:pt>
                <c:pt idx="7">
                  <c:v>LEAD GUIDE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2">
                  <c:v>SLIDER</c:v>
                </c:pt>
                <c:pt idx="14">
                  <c:v>BASE</c:v>
                </c:pt>
                <c:pt idx="15">
                  <c:v>LEAD GUIDE</c:v>
                </c:pt>
                <c:pt idx="16">
                  <c:v>BASE</c:v>
                </c:pt>
                <c:pt idx="17">
                  <c:v>STOPPER</c:v>
                </c:pt>
                <c:pt idx="18">
                  <c:v>ST/HO</c:v>
                </c:pt>
                <c:pt idx="21">
                  <c:v>SEPARATOR</c:v>
                </c:pt>
                <c:pt idx="22">
                  <c:v>BASE</c:v>
                </c:pt>
                <c:pt idx="24">
                  <c:v>BASE</c:v>
                </c:pt>
                <c:pt idx="25">
                  <c:v>SLIDER</c:v>
                </c:pt>
                <c:pt idx="26">
                  <c:v>COVER</c:v>
                </c:pt>
              </c:strCache>
            </c:strRef>
          </c:cat>
          <c:val>
            <c:numRef>
              <c:f>'23'!$AD$6:$AD$33</c:f>
              <c:numCache>
                <c:formatCode>0%</c:formatCode>
                <c:ptCount val="28"/>
                <c:pt idx="0">
                  <c:v>0.16666666666666666</c:v>
                </c:pt>
                <c:pt idx="1">
                  <c:v>0.20833333333333334</c:v>
                </c:pt>
                <c:pt idx="2">
                  <c:v>0.16666666666666666</c:v>
                </c:pt>
                <c:pt idx="3">
                  <c:v>0.375</c:v>
                </c:pt>
                <c:pt idx="4">
                  <c:v>1</c:v>
                </c:pt>
                <c:pt idx="5">
                  <c:v>1</c:v>
                </c:pt>
                <c:pt idx="6">
                  <c:v>0.20833333333333334</c:v>
                </c:pt>
                <c:pt idx="7">
                  <c:v>0.25</c:v>
                </c:pt>
                <c:pt idx="8">
                  <c:v>0.95833333333333337</c:v>
                </c:pt>
                <c:pt idx="9">
                  <c:v>0.875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0.91666666666666663</c:v>
                </c:pt>
                <c:pt idx="15">
                  <c:v>0.29166666666666669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A-4095-B0A4-15FADC92415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6A-4095-B0A4-15FADC9241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'23'!$D$6:$D$33</c:f>
              <c:strCache>
                <c:ptCount val="27"/>
                <c:pt idx="0">
                  <c:v>SLIDER</c:v>
                </c:pt>
                <c:pt idx="1">
                  <c:v>F/A</c:v>
                </c:pt>
                <c:pt idx="3">
                  <c:v>BASE</c:v>
                </c:pt>
                <c:pt idx="4">
                  <c:v>STOPPER</c:v>
                </c:pt>
                <c:pt idx="6">
                  <c:v>LATCH</c:v>
                </c:pt>
                <c:pt idx="7">
                  <c:v>LEAD GUIDE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2">
                  <c:v>SLIDER</c:v>
                </c:pt>
                <c:pt idx="14">
                  <c:v>BASE</c:v>
                </c:pt>
                <c:pt idx="15">
                  <c:v>LEAD GUIDE</c:v>
                </c:pt>
                <c:pt idx="16">
                  <c:v>BASE</c:v>
                </c:pt>
                <c:pt idx="17">
                  <c:v>STOPPER</c:v>
                </c:pt>
                <c:pt idx="18">
                  <c:v>ST/HO</c:v>
                </c:pt>
                <c:pt idx="21">
                  <c:v>SEPARATOR</c:v>
                </c:pt>
                <c:pt idx="22">
                  <c:v>BASE</c:v>
                </c:pt>
                <c:pt idx="24">
                  <c:v>BASE</c:v>
                </c:pt>
                <c:pt idx="25">
                  <c:v>SLIDER</c:v>
                </c:pt>
                <c:pt idx="26">
                  <c:v>COVER</c:v>
                </c:pt>
              </c:strCache>
            </c:strRef>
          </c:cat>
          <c:val>
            <c:numRef>
              <c:f>'23'!$AE$6:$AE$33</c:f>
              <c:numCache>
                <c:formatCode>0%</c:formatCode>
                <c:ptCount val="28"/>
                <c:pt idx="0">
                  <c:v>0.38988095238095238</c:v>
                </c:pt>
                <c:pt idx="1">
                  <c:v>0.38988095238095238</c:v>
                </c:pt>
                <c:pt idx="2">
                  <c:v>0.38988095238095238</c:v>
                </c:pt>
                <c:pt idx="3">
                  <c:v>0.38988095238095238</c:v>
                </c:pt>
                <c:pt idx="4">
                  <c:v>0.38988095238095238</c:v>
                </c:pt>
                <c:pt idx="5">
                  <c:v>0.38988095238095238</c:v>
                </c:pt>
                <c:pt idx="6">
                  <c:v>0.38988095238095238</c:v>
                </c:pt>
                <c:pt idx="7">
                  <c:v>0.38988095238095238</c:v>
                </c:pt>
                <c:pt idx="8">
                  <c:v>0.38988095238095238</c:v>
                </c:pt>
                <c:pt idx="9">
                  <c:v>0.38988095238095238</c:v>
                </c:pt>
                <c:pt idx="10">
                  <c:v>0.38988095238095238</c:v>
                </c:pt>
                <c:pt idx="11">
                  <c:v>0.38988095238095238</c:v>
                </c:pt>
                <c:pt idx="12">
                  <c:v>0.38988095238095238</c:v>
                </c:pt>
                <c:pt idx="13">
                  <c:v>0.38988095238095238</c:v>
                </c:pt>
                <c:pt idx="14">
                  <c:v>0.38988095238095238</c:v>
                </c:pt>
                <c:pt idx="15">
                  <c:v>0.38988095238095238</c:v>
                </c:pt>
                <c:pt idx="16">
                  <c:v>0.38988095238095238</c:v>
                </c:pt>
                <c:pt idx="17">
                  <c:v>0.38988095238095238</c:v>
                </c:pt>
                <c:pt idx="18">
                  <c:v>0.38988095238095238</c:v>
                </c:pt>
                <c:pt idx="19">
                  <c:v>0.38988095238095238</c:v>
                </c:pt>
                <c:pt idx="20">
                  <c:v>0.38988095238095238</c:v>
                </c:pt>
                <c:pt idx="21">
                  <c:v>0.38988095238095238</c:v>
                </c:pt>
                <c:pt idx="22">
                  <c:v>0.38988095238095238</c:v>
                </c:pt>
                <c:pt idx="23">
                  <c:v>0.38988095238095238</c:v>
                </c:pt>
                <c:pt idx="24">
                  <c:v>0.38988095238095238</c:v>
                </c:pt>
                <c:pt idx="25">
                  <c:v>0.38988095238095238</c:v>
                </c:pt>
                <c:pt idx="26">
                  <c:v>0.38988095238095238</c:v>
                </c:pt>
                <c:pt idx="27">
                  <c:v>0.38988095238095238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A-4095-B0A4-15FADC92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'23'!$D$6:$D$33</c:f>
              <c:strCache>
                <c:ptCount val="27"/>
                <c:pt idx="0">
                  <c:v>SLIDER</c:v>
                </c:pt>
                <c:pt idx="1">
                  <c:v>F/A</c:v>
                </c:pt>
                <c:pt idx="3">
                  <c:v>BASE</c:v>
                </c:pt>
                <c:pt idx="4">
                  <c:v>STOPPER</c:v>
                </c:pt>
                <c:pt idx="6">
                  <c:v>LATCH</c:v>
                </c:pt>
                <c:pt idx="7">
                  <c:v>LEAD GUIDE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2">
                  <c:v>SLIDER</c:v>
                </c:pt>
                <c:pt idx="14">
                  <c:v>BASE</c:v>
                </c:pt>
                <c:pt idx="15">
                  <c:v>LEAD GUIDE</c:v>
                </c:pt>
                <c:pt idx="16">
                  <c:v>BASE</c:v>
                </c:pt>
                <c:pt idx="17">
                  <c:v>STOPPER</c:v>
                </c:pt>
                <c:pt idx="18">
                  <c:v>ST/HO</c:v>
                </c:pt>
                <c:pt idx="21">
                  <c:v>SEPARATOR</c:v>
                </c:pt>
                <c:pt idx="22">
                  <c:v>BASE</c:v>
                </c:pt>
                <c:pt idx="24">
                  <c:v>BASE</c:v>
                </c:pt>
                <c:pt idx="25">
                  <c:v>SLIDER</c:v>
                </c:pt>
                <c:pt idx="26">
                  <c:v>COVER</c:v>
                </c:pt>
              </c:strCache>
            </c:strRef>
          </c:cat>
          <c:val>
            <c:numRef>
              <c:f>'23'!$L$6:$L$33</c:f>
              <c:numCache>
                <c:formatCode>_(* #,##0_);_(* \(#,##0\);_(* "-"_);_(@_)</c:formatCode>
                <c:ptCount val="28"/>
                <c:pt idx="0">
                  <c:v>1634</c:v>
                </c:pt>
                <c:pt idx="1">
                  <c:v>1076</c:v>
                </c:pt>
                <c:pt idx="2">
                  <c:v>600</c:v>
                </c:pt>
                <c:pt idx="3">
                  <c:v>1554</c:v>
                </c:pt>
                <c:pt idx="4">
                  <c:v>4799</c:v>
                </c:pt>
                <c:pt idx="5">
                  <c:v>10898</c:v>
                </c:pt>
                <c:pt idx="6">
                  <c:v>2250</c:v>
                </c:pt>
                <c:pt idx="7">
                  <c:v>1197</c:v>
                </c:pt>
                <c:pt idx="8">
                  <c:v>9138</c:v>
                </c:pt>
                <c:pt idx="9">
                  <c:v>10908</c:v>
                </c:pt>
                <c:pt idx="11">
                  <c:v>37640</c:v>
                </c:pt>
                <c:pt idx="12">
                  <c:v>11458</c:v>
                </c:pt>
                <c:pt idx="14">
                  <c:v>10498</c:v>
                </c:pt>
                <c:pt idx="15">
                  <c:v>615</c:v>
                </c:pt>
                <c:pt idx="16">
                  <c:v>0</c:v>
                </c:pt>
                <c:pt idx="17">
                  <c:v>2187</c:v>
                </c:pt>
                <c:pt idx="18">
                  <c:v>4677</c:v>
                </c:pt>
                <c:pt idx="19">
                  <c:v>64632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3-4C67-A563-9CAD4A6F3E1A}"/>
            </c:ext>
          </c:extLst>
        </c:ser>
        <c:ser>
          <c:idx val="1"/>
          <c:order val="1"/>
          <c:tx>
            <c:v>계획</c:v>
          </c:tx>
          <c:cat>
            <c:strRef>
              <c:f>'23'!$D$6:$D$33</c:f>
              <c:strCache>
                <c:ptCount val="27"/>
                <c:pt idx="0">
                  <c:v>SLIDER</c:v>
                </c:pt>
                <c:pt idx="1">
                  <c:v>F/A</c:v>
                </c:pt>
                <c:pt idx="3">
                  <c:v>BASE</c:v>
                </c:pt>
                <c:pt idx="4">
                  <c:v>STOPPER</c:v>
                </c:pt>
                <c:pt idx="6">
                  <c:v>LATCH</c:v>
                </c:pt>
                <c:pt idx="7">
                  <c:v>LEAD GUIDE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2">
                  <c:v>SLIDER</c:v>
                </c:pt>
                <c:pt idx="14">
                  <c:v>BASE</c:v>
                </c:pt>
                <c:pt idx="15">
                  <c:v>LEAD GUIDE</c:v>
                </c:pt>
                <c:pt idx="16">
                  <c:v>BASE</c:v>
                </c:pt>
                <c:pt idx="17">
                  <c:v>STOPPER</c:v>
                </c:pt>
                <c:pt idx="18">
                  <c:v>ST/HO</c:v>
                </c:pt>
                <c:pt idx="21">
                  <c:v>SEPARATOR</c:v>
                </c:pt>
                <c:pt idx="22">
                  <c:v>BASE</c:v>
                </c:pt>
                <c:pt idx="24">
                  <c:v>BASE</c:v>
                </c:pt>
                <c:pt idx="25">
                  <c:v>SLIDER</c:v>
                </c:pt>
                <c:pt idx="26">
                  <c:v>COVER</c:v>
                </c:pt>
              </c:strCache>
            </c:strRef>
          </c:cat>
          <c:val>
            <c:numRef>
              <c:f>'23'!$J$6:$J$33</c:f>
              <c:numCache>
                <c:formatCode>_(* #,##0_);_(* \(#,##0\);_(* "-"_);_(@_)</c:formatCode>
                <c:ptCount val="28"/>
                <c:pt idx="0">
                  <c:v>1634</c:v>
                </c:pt>
                <c:pt idx="1">
                  <c:v>1076</c:v>
                </c:pt>
                <c:pt idx="2">
                  <c:v>600</c:v>
                </c:pt>
                <c:pt idx="3">
                  <c:v>1554</c:v>
                </c:pt>
                <c:pt idx="4">
                  <c:v>4799</c:v>
                </c:pt>
                <c:pt idx="5">
                  <c:v>10898</c:v>
                </c:pt>
                <c:pt idx="6">
                  <c:v>2250</c:v>
                </c:pt>
                <c:pt idx="7">
                  <c:v>1197</c:v>
                </c:pt>
                <c:pt idx="8">
                  <c:v>9138</c:v>
                </c:pt>
                <c:pt idx="9">
                  <c:v>10908</c:v>
                </c:pt>
                <c:pt idx="10">
                  <c:v>251</c:v>
                </c:pt>
                <c:pt idx="11">
                  <c:v>37640</c:v>
                </c:pt>
                <c:pt idx="12">
                  <c:v>11458</c:v>
                </c:pt>
                <c:pt idx="13">
                  <c:v>600</c:v>
                </c:pt>
                <c:pt idx="14">
                  <c:v>10498</c:v>
                </c:pt>
                <c:pt idx="15">
                  <c:v>615</c:v>
                </c:pt>
                <c:pt idx="16">
                  <c:v>615</c:v>
                </c:pt>
                <c:pt idx="17">
                  <c:v>2187</c:v>
                </c:pt>
                <c:pt idx="18">
                  <c:v>4677</c:v>
                </c:pt>
                <c:pt idx="19">
                  <c:v>64632</c:v>
                </c:pt>
                <c:pt idx="20">
                  <c:v>0</c:v>
                </c:pt>
                <c:pt idx="21">
                  <c:v>24024</c:v>
                </c:pt>
                <c:pt idx="22">
                  <c:v>22300</c:v>
                </c:pt>
                <c:pt idx="23">
                  <c:v>189476</c:v>
                </c:pt>
                <c:pt idx="24">
                  <c:v>15393</c:v>
                </c:pt>
                <c:pt idx="25">
                  <c:v>24332</c:v>
                </c:pt>
                <c:pt idx="26">
                  <c:v>26116</c:v>
                </c:pt>
                <c:pt idx="27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3-4C67-A563-9CAD4A6F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'23'!$AD$6:$AD$33</c:f>
              <c:strCache>
                <c:ptCount val="28"/>
                <c:pt idx="0">
                  <c:v>17%</c:v>
                </c:pt>
                <c:pt idx="1">
                  <c:v>21%</c:v>
                </c:pt>
                <c:pt idx="2">
                  <c:v>17%</c:v>
                </c:pt>
                <c:pt idx="3">
                  <c:v>38%</c:v>
                </c:pt>
                <c:pt idx="4">
                  <c:v>100%</c:v>
                </c:pt>
                <c:pt idx="5">
                  <c:v>100%</c:v>
                </c:pt>
                <c:pt idx="6">
                  <c:v>21%</c:v>
                </c:pt>
                <c:pt idx="7">
                  <c:v>25%</c:v>
                </c:pt>
                <c:pt idx="8">
                  <c:v>96%</c:v>
                </c:pt>
                <c:pt idx="9">
                  <c:v>88%</c:v>
                </c:pt>
                <c:pt idx="10">
                  <c:v>0%</c:v>
                </c:pt>
                <c:pt idx="11">
                  <c:v>100%</c:v>
                </c:pt>
                <c:pt idx="12">
                  <c:v>100%</c:v>
                </c:pt>
                <c:pt idx="13">
                  <c:v>0%</c:v>
                </c:pt>
                <c:pt idx="14">
                  <c:v>92%</c:v>
                </c:pt>
                <c:pt idx="15">
                  <c:v>29%</c:v>
                </c:pt>
                <c:pt idx="16">
                  <c:v>0%</c:v>
                </c:pt>
                <c:pt idx="17">
                  <c:v>50%</c:v>
                </c:pt>
                <c:pt idx="18">
                  <c:v>100%</c:v>
                </c:pt>
                <c:pt idx="19">
                  <c:v>100%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  <c:pt idx="26">
                  <c:v>0%</c:v>
                </c:pt>
                <c:pt idx="27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'23'!$D$6:$D$33</c:f>
              <c:strCache>
                <c:ptCount val="27"/>
                <c:pt idx="0">
                  <c:v>SLIDER</c:v>
                </c:pt>
                <c:pt idx="1">
                  <c:v>F/A</c:v>
                </c:pt>
                <c:pt idx="3">
                  <c:v>BASE</c:v>
                </c:pt>
                <c:pt idx="4">
                  <c:v>STOPPER</c:v>
                </c:pt>
                <c:pt idx="6">
                  <c:v>LATCH</c:v>
                </c:pt>
                <c:pt idx="7">
                  <c:v>LEAD GUIDE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2">
                  <c:v>SLIDER</c:v>
                </c:pt>
                <c:pt idx="14">
                  <c:v>BASE</c:v>
                </c:pt>
                <c:pt idx="15">
                  <c:v>LEAD GUIDE</c:v>
                </c:pt>
                <c:pt idx="16">
                  <c:v>BASE</c:v>
                </c:pt>
                <c:pt idx="17">
                  <c:v>STOPPER</c:v>
                </c:pt>
                <c:pt idx="18">
                  <c:v>ST/HO</c:v>
                </c:pt>
                <c:pt idx="21">
                  <c:v>SEPARATOR</c:v>
                </c:pt>
                <c:pt idx="22">
                  <c:v>BASE</c:v>
                </c:pt>
                <c:pt idx="24">
                  <c:v>BASE</c:v>
                </c:pt>
                <c:pt idx="25">
                  <c:v>SLIDER</c:v>
                </c:pt>
                <c:pt idx="26">
                  <c:v>COVER</c:v>
                </c:pt>
              </c:strCache>
            </c:strRef>
          </c:cat>
          <c:val>
            <c:numRef>
              <c:f>'23'!$AD$6:$AD$33</c:f>
              <c:numCache>
                <c:formatCode>0%</c:formatCode>
                <c:ptCount val="28"/>
                <c:pt idx="0">
                  <c:v>0.16666666666666666</c:v>
                </c:pt>
                <c:pt idx="1">
                  <c:v>0.20833333333333334</c:v>
                </c:pt>
                <c:pt idx="2">
                  <c:v>0.16666666666666666</c:v>
                </c:pt>
                <c:pt idx="3">
                  <c:v>0.375</c:v>
                </c:pt>
                <c:pt idx="4">
                  <c:v>1</c:v>
                </c:pt>
                <c:pt idx="5">
                  <c:v>1</c:v>
                </c:pt>
                <c:pt idx="6">
                  <c:v>0.20833333333333334</c:v>
                </c:pt>
                <c:pt idx="7">
                  <c:v>0.25</c:v>
                </c:pt>
                <c:pt idx="8">
                  <c:v>0.95833333333333337</c:v>
                </c:pt>
                <c:pt idx="9">
                  <c:v>0.875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0.91666666666666663</c:v>
                </c:pt>
                <c:pt idx="15">
                  <c:v>0.29166666666666669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0-4E70-AF06-F20280BD091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F0-4E70-AF06-F20280BD09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'23'!$D$6:$D$33</c:f>
              <c:strCache>
                <c:ptCount val="27"/>
                <c:pt idx="0">
                  <c:v>SLIDER</c:v>
                </c:pt>
                <c:pt idx="1">
                  <c:v>F/A</c:v>
                </c:pt>
                <c:pt idx="3">
                  <c:v>BASE</c:v>
                </c:pt>
                <c:pt idx="4">
                  <c:v>STOPPER</c:v>
                </c:pt>
                <c:pt idx="6">
                  <c:v>LATCH</c:v>
                </c:pt>
                <c:pt idx="7">
                  <c:v>LEAD GUIDE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2">
                  <c:v>SLIDER</c:v>
                </c:pt>
                <c:pt idx="14">
                  <c:v>BASE</c:v>
                </c:pt>
                <c:pt idx="15">
                  <c:v>LEAD GUIDE</c:v>
                </c:pt>
                <c:pt idx="16">
                  <c:v>BASE</c:v>
                </c:pt>
                <c:pt idx="17">
                  <c:v>STOPPER</c:v>
                </c:pt>
                <c:pt idx="18">
                  <c:v>ST/HO</c:v>
                </c:pt>
                <c:pt idx="21">
                  <c:v>SEPARATOR</c:v>
                </c:pt>
                <c:pt idx="22">
                  <c:v>BASE</c:v>
                </c:pt>
                <c:pt idx="24">
                  <c:v>BASE</c:v>
                </c:pt>
                <c:pt idx="25">
                  <c:v>SLIDER</c:v>
                </c:pt>
                <c:pt idx="26">
                  <c:v>COVER</c:v>
                </c:pt>
              </c:strCache>
            </c:strRef>
          </c:cat>
          <c:val>
            <c:numRef>
              <c:f>'23'!$AE$6:$AE$33</c:f>
              <c:numCache>
                <c:formatCode>0%</c:formatCode>
                <c:ptCount val="28"/>
                <c:pt idx="0">
                  <c:v>0.38988095238095238</c:v>
                </c:pt>
                <c:pt idx="1">
                  <c:v>0.38988095238095238</c:v>
                </c:pt>
                <c:pt idx="2">
                  <c:v>0.38988095238095238</c:v>
                </c:pt>
                <c:pt idx="3">
                  <c:v>0.38988095238095238</c:v>
                </c:pt>
                <c:pt idx="4">
                  <c:v>0.38988095238095238</c:v>
                </c:pt>
                <c:pt idx="5">
                  <c:v>0.38988095238095238</c:v>
                </c:pt>
                <c:pt idx="6">
                  <c:v>0.38988095238095238</c:v>
                </c:pt>
                <c:pt idx="7">
                  <c:v>0.38988095238095238</c:v>
                </c:pt>
                <c:pt idx="8">
                  <c:v>0.38988095238095238</c:v>
                </c:pt>
                <c:pt idx="9">
                  <c:v>0.38988095238095238</c:v>
                </c:pt>
                <c:pt idx="10">
                  <c:v>0.38988095238095238</c:v>
                </c:pt>
                <c:pt idx="11">
                  <c:v>0.38988095238095238</c:v>
                </c:pt>
                <c:pt idx="12">
                  <c:v>0.38988095238095238</c:v>
                </c:pt>
                <c:pt idx="13">
                  <c:v>0.38988095238095238</c:v>
                </c:pt>
                <c:pt idx="14">
                  <c:v>0.38988095238095238</c:v>
                </c:pt>
                <c:pt idx="15">
                  <c:v>0.38988095238095238</c:v>
                </c:pt>
                <c:pt idx="16">
                  <c:v>0.38988095238095238</c:v>
                </c:pt>
                <c:pt idx="17">
                  <c:v>0.38988095238095238</c:v>
                </c:pt>
                <c:pt idx="18">
                  <c:v>0.38988095238095238</c:v>
                </c:pt>
                <c:pt idx="19">
                  <c:v>0.38988095238095238</c:v>
                </c:pt>
                <c:pt idx="20">
                  <c:v>0.38988095238095238</c:v>
                </c:pt>
                <c:pt idx="21">
                  <c:v>0.38988095238095238</c:v>
                </c:pt>
                <c:pt idx="22">
                  <c:v>0.38988095238095238</c:v>
                </c:pt>
                <c:pt idx="23">
                  <c:v>0.38988095238095238</c:v>
                </c:pt>
                <c:pt idx="24">
                  <c:v>0.38988095238095238</c:v>
                </c:pt>
                <c:pt idx="25">
                  <c:v>0.38988095238095238</c:v>
                </c:pt>
                <c:pt idx="26">
                  <c:v>0.38988095238095238</c:v>
                </c:pt>
                <c:pt idx="27">
                  <c:v>0.38988095238095238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0-4E70-AF06-F20280BD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B98-472A-92B0-5054EC7E9C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8-472A-92B0-5054EC7E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2.5622939056245648E-2"/>
                  <c:y val="-0.3900797052655309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B98-472A-92B0-5054EC7E9C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8-472A-92B0-5054EC7E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U-BASE</c:v>
                </c:pt>
                <c:pt idx="9">
                  <c:v>BASE</c:v>
                </c:pt>
                <c:pt idx="11">
                  <c:v>SLIDER</c:v>
                </c:pt>
                <c:pt idx="13">
                  <c:v>BASE</c:v>
                </c:pt>
                <c:pt idx="14">
                  <c:v>STOPPER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'24'!$L$6:$L$30</c:f>
              <c:numCache>
                <c:formatCode>_(* #,##0_);_(* \(#,##0\);_(* "-"_);_(@_)</c:formatCode>
                <c:ptCount val="25"/>
                <c:pt idx="1">
                  <c:v>4450</c:v>
                </c:pt>
                <c:pt idx="3">
                  <c:v>2437</c:v>
                </c:pt>
                <c:pt idx="4">
                  <c:v>11000</c:v>
                </c:pt>
                <c:pt idx="5">
                  <c:v>4627</c:v>
                </c:pt>
                <c:pt idx="6">
                  <c:v>9640</c:v>
                </c:pt>
                <c:pt idx="7">
                  <c:v>11004</c:v>
                </c:pt>
                <c:pt idx="8">
                  <c:v>730</c:v>
                </c:pt>
                <c:pt idx="9">
                  <c:v>100</c:v>
                </c:pt>
                <c:pt idx="11">
                  <c:v>11552</c:v>
                </c:pt>
                <c:pt idx="13">
                  <c:v>11286</c:v>
                </c:pt>
                <c:pt idx="14">
                  <c:v>4917</c:v>
                </c:pt>
                <c:pt idx="15">
                  <c:v>4809</c:v>
                </c:pt>
                <c:pt idx="16">
                  <c:v>65016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F-4989-80F9-31D5D404E19E}"/>
            </c:ext>
          </c:extLst>
        </c:ser>
        <c:ser>
          <c:idx val="1"/>
          <c:order val="1"/>
          <c:tx>
            <c:v>계획</c:v>
          </c:tx>
          <c:cat>
            <c:strRef>
              <c:f>'24'!$D$6:$D$30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U-BASE</c:v>
                </c:pt>
                <c:pt idx="9">
                  <c:v>BASE</c:v>
                </c:pt>
                <c:pt idx="11">
                  <c:v>SLIDER</c:v>
                </c:pt>
                <c:pt idx="13">
                  <c:v>BASE</c:v>
                </c:pt>
                <c:pt idx="14">
                  <c:v>STOPPER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'24'!$J$6:$J$30</c:f>
              <c:numCache>
                <c:formatCode>_(* #,##0_);_(* \(#,##0\);_(* "-"_);_(@_)</c:formatCode>
                <c:ptCount val="25"/>
                <c:pt idx="0">
                  <c:v>1634</c:v>
                </c:pt>
                <c:pt idx="1">
                  <c:v>4450</c:v>
                </c:pt>
                <c:pt idx="2">
                  <c:v>1554</c:v>
                </c:pt>
                <c:pt idx="3">
                  <c:v>2437</c:v>
                </c:pt>
                <c:pt idx="4">
                  <c:v>11000</c:v>
                </c:pt>
                <c:pt idx="5">
                  <c:v>4627</c:v>
                </c:pt>
                <c:pt idx="6">
                  <c:v>9640</c:v>
                </c:pt>
                <c:pt idx="7">
                  <c:v>11004</c:v>
                </c:pt>
                <c:pt idx="8">
                  <c:v>730</c:v>
                </c:pt>
                <c:pt idx="9">
                  <c:v>100</c:v>
                </c:pt>
                <c:pt idx="10">
                  <c:v>37640</c:v>
                </c:pt>
                <c:pt idx="11">
                  <c:v>11552</c:v>
                </c:pt>
                <c:pt idx="12">
                  <c:v>600</c:v>
                </c:pt>
                <c:pt idx="13">
                  <c:v>11286</c:v>
                </c:pt>
                <c:pt idx="14">
                  <c:v>4917</c:v>
                </c:pt>
                <c:pt idx="15">
                  <c:v>4809</c:v>
                </c:pt>
                <c:pt idx="16">
                  <c:v>65016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F-4989-80F9-31D5D404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'24'!$AD$6:$AD$30</c:f>
              <c:strCache>
                <c:ptCount val="25"/>
                <c:pt idx="0">
                  <c:v>0%</c:v>
                </c:pt>
                <c:pt idx="1">
                  <c:v>88%</c:v>
                </c:pt>
                <c:pt idx="2">
                  <c:v>0%</c:v>
                </c:pt>
                <c:pt idx="3">
                  <c:v>46%</c:v>
                </c:pt>
                <c:pt idx="4">
                  <c:v>100%</c:v>
                </c:pt>
                <c:pt idx="5">
                  <c:v>96%</c:v>
                </c:pt>
                <c:pt idx="6">
                  <c:v>100%</c:v>
                </c:pt>
                <c:pt idx="7">
                  <c:v>92%</c:v>
                </c:pt>
                <c:pt idx="8">
                  <c:v>33%</c:v>
                </c:pt>
                <c:pt idx="9">
                  <c:v>21%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U-BASE</c:v>
                </c:pt>
                <c:pt idx="9">
                  <c:v>BASE</c:v>
                </c:pt>
                <c:pt idx="11">
                  <c:v>SLIDER</c:v>
                </c:pt>
                <c:pt idx="13">
                  <c:v>BASE</c:v>
                </c:pt>
                <c:pt idx="14">
                  <c:v>STOPPER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'24'!$AD$6:$AD$30</c:f>
              <c:numCache>
                <c:formatCode>0%</c:formatCode>
                <c:ptCount val="25"/>
                <c:pt idx="0">
                  <c:v>0</c:v>
                </c:pt>
                <c:pt idx="1">
                  <c:v>0.875</c:v>
                </c:pt>
                <c:pt idx="2">
                  <c:v>0</c:v>
                </c:pt>
                <c:pt idx="3">
                  <c:v>0.45833333333333331</c:v>
                </c:pt>
                <c:pt idx="4">
                  <c:v>1</c:v>
                </c:pt>
                <c:pt idx="5">
                  <c:v>0.95833333333333337</c:v>
                </c:pt>
                <c:pt idx="6">
                  <c:v>1</c:v>
                </c:pt>
                <c:pt idx="7">
                  <c:v>0.91666666666666663</c:v>
                </c:pt>
                <c:pt idx="8">
                  <c:v>0.33333333333333331</c:v>
                </c:pt>
                <c:pt idx="9">
                  <c:v>0.20833333333333334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1-462D-904C-21B838904C3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B1-462D-904C-21B838904C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U-BASE</c:v>
                </c:pt>
                <c:pt idx="9">
                  <c:v>BASE</c:v>
                </c:pt>
                <c:pt idx="11">
                  <c:v>SLIDER</c:v>
                </c:pt>
                <c:pt idx="13">
                  <c:v>BASE</c:v>
                </c:pt>
                <c:pt idx="14">
                  <c:v>STOPPER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'24'!$AE$6:$AE$30</c:f>
              <c:numCache>
                <c:formatCode>0%</c:formatCode>
                <c:ptCount val="25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1-462D-904C-21B83890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U-BASE</c:v>
                </c:pt>
                <c:pt idx="9">
                  <c:v>BASE</c:v>
                </c:pt>
                <c:pt idx="11">
                  <c:v>SLIDER</c:v>
                </c:pt>
                <c:pt idx="13">
                  <c:v>BASE</c:v>
                </c:pt>
                <c:pt idx="14">
                  <c:v>STOPPER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'24'!$L$6:$L$30</c:f>
              <c:numCache>
                <c:formatCode>_(* #,##0_);_(* \(#,##0\);_(* "-"_);_(@_)</c:formatCode>
                <c:ptCount val="25"/>
                <c:pt idx="1">
                  <c:v>4450</c:v>
                </c:pt>
                <c:pt idx="3">
                  <c:v>2437</c:v>
                </c:pt>
                <c:pt idx="4">
                  <c:v>11000</c:v>
                </c:pt>
                <c:pt idx="5">
                  <c:v>4627</c:v>
                </c:pt>
                <c:pt idx="6">
                  <c:v>9640</c:v>
                </c:pt>
                <c:pt idx="7">
                  <c:v>11004</c:v>
                </c:pt>
                <c:pt idx="8">
                  <c:v>730</c:v>
                </c:pt>
                <c:pt idx="9">
                  <c:v>100</c:v>
                </c:pt>
                <c:pt idx="11">
                  <c:v>11552</c:v>
                </c:pt>
                <c:pt idx="13">
                  <c:v>11286</c:v>
                </c:pt>
                <c:pt idx="14">
                  <c:v>4917</c:v>
                </c:pt>
                <c:pt idx="15">
                  <c:v>4809</c:v>
                </c:pt>
                <c:pt idx="16">
                  <c:v>65016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046-9A54-AA15DEF645AE}"/>
            </c:ext>
          </c:extLst>
        </c:ser>
        <c:ser>
          <c:idx val="1"/>
          <c:order val="1"/>
          <c:tx>
            <c:v>계획</c:v>
          </c:tx>
          <c:cat>
            <c:strRef>
              <c:f>'24'!$D$6:$D$30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U-BASE</c:v>
                </c:pt>
                <c:pt idx="9">
                  <c:v>BASE</c:v>
                </c:pt>
                <c:pt idx="11">
                  <c:v>SLIDER</c:v>
                </c:pt>
                <c:pt idx="13">
                  <c:v>BASE</c:v>
                </c:pt>
                <c:pt idx="14">
                  <c:v>STOPPER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'24'!$J$6:$J$30</c:f>
              <c:numCache>
                <c:formatCode>_(* #,##0_);_(* \(#,##0\);_(* "-"_);_(@_)</c:formatCode>
                <c:ptCount val="25"/>
                <c:pt idx="0">
                  <c:v>1634</c:v>
                </c:pt>
                <c:pt idx="1">
                  <c:v>4450</c:v>
                </c:pt>
                <c:pt idx="2">
                  <c:v>1554</c:v>
                </c:pt>
                <c:pt idx="3">
                  <c:v>2437</c:v>
                </c:pt>
                <c:pt idx="4">
                  <c:v>11000</c:v>
                </c:pt>
                <c:pt idx="5">
                  <c:v>4627</c:v>
                </c:pt>
                <c:pt idx="6">
                  <c:v>9640</c:v>
                </c:pt>
                <c:pt idx="7">
                  <c:v>11004</c:v>
                </c:pt>
                <c:pt idx="8">
                  <c:v>730</c:v>
                </c:pt>
                <c:pt idx="9">
                  <c:v>100</c:v>
                </c:pt>
                <c:pt idx="10">
                  <c:v>37640</c:v>
                </c:pt>
                <c:pt idx="11">
                  <c:v>11552</c:v>
                </c:pt>
                <c:pt idx="12">
                  <c:v>600</c:v>
                </c:pt>
                <c:pt idx="13">
                  <c:v>11286</c:v>
                </c:pt>
                <c:pt idx="14">
                  <c:v>4917</c:v>
                </c:pt>
                <c:pt idx="15">
                  <c:v>4809</c:v>
                </c:pt>
                <c:pt idx="16">
                  <c:v>65016</c:v>
                </c:pt>
                <c:pt idx="17">
                  <c:v>0</c:v>
                </c:pt>
                <c:pt idx="18">
                  <c:v>24024</c:v>
                </c:pt>
                <c:pt idx="19">
                  <c:v>22300</c:v>
                </c:pt>
                <c:pt idx="20">
                  <c:v>189476</c:v>
                </c:pt>
                <c:pt idx="21">
                  <c:v>15393</c:v>
                </c:pt>
                <c:pt idx="22">
                  <c:v>24332</c:v>
                </c:pt>
                <c:pt idx="23">
                  <c:v>26116</c:v>
                </c:pt>
                <c:pt idx="24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046-9A54-AA15DEF6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'24'!$AD$6:$AD$30</c:f>
              <c:strCache>
                <c:ptCount val="25"/>
                <c:pt idx="0">
                  <c:v>0%</c:v>
                </c:pt>
                <c:pt idx="1">
                  <c:v>88%</c:v>
                </c:pt>
                <c:pt idx="2">
                  <c:v>0%</c:v>
                </c:pt>
                <c:pt idx="3">
                  <c:v>46%</c:v>
                </c:pt>
                <c:pt idx="4">
                  <c:v>100%</c:v>
                </c:pt>
                <c:pt idx="5">
                  <c:v>96%</c:v>
                </c:pt>
                <c:pt idx="6">
                  <c:v>100%</c:v>
                </c:pt>
                <c:pt idx="7">
                  <c:v>92%</c:v>
                </c:pt>
                <c:pt idx="8">
                  <c:v>33%</c:v>
                </c:pt>
                <c:pt idx="9">
                  <c:v>21%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U-BASE</c:v>
                </c:pt>
                <c:pt idx="9">
                  <c:v>BASE</c:v>
                </c:pt>
                <c:pt idx="11">
                  <c:v>SLIDER</c:v>
                </c:pt>
                <c:pt idx="13">
                  <c:v>BASE</c:v>
                </c:pt>
                <c:pt idx="14">
                  <c:v>STOPPER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'24'!$AD$6:$AD$30</c:f>
              <c:numCache>
                <c:formatCode>0%</c:formatCode>
                <c:ptCount val="25"/>
                <c:pt idx="0">
                  <c:v>0</c:v>
                </c:pt>
                <c:pt idx="1">
                  <c:v>0.875</c:v>
                </c:pt>
                <c:pt idx="2">
                  <c:v>0</c:v>
                </c:pt>
                <c:pt idx="3">
                  <c:v>0.45833333333333331</c:v>
                </c:pt>
                <c:pt idx="4">
                  <c:v>1</c:v>
                </c:pt>
                <c:pt idx="5">
                  <c:v>0.95833333333333337</c:v>
                </c:pt>
                <c:pt idx="6">
                  <c:v>1</c:v>
                </c:pt>
                <c:pt idx="7">
                  <c:v>0.91666666666666663</c:v>
                </c:pt>
                <c:pt idx="8">
                  <c:v>0.33333333333333331</c:v>
                </c:pt>
                <c:pt idx="9">
                  <c:v>0.20833333333333334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F-4BC6-9DC0-43ED594D4C9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3F-4BC6-9DC0-43ED594D4C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'24'!$D$6:$D$30</c:f>
              <c:strCache>
                <c:ptCount val="24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U-BASE</c:v>
                </c:pt>
                <c:pt idx="9">
                  <c:v>BASE</c:v>
                </c:pt>
                <c:pt idx="11">
                  <c:v>SLIDER</c:v>
                </c:pt>
                <c:pt idx="13">
                  <c:v>BASE</c:v>
                </c:pt>
                <c:pt idx="14">
                  <c:v>STOPPER</c:v>
                </c:pt>
                <c:pt idx="15">
                  <c:v>ST/HO</c:v>
                </c:pt>
                <c:pt idx="18">
                  <c:v>SEPARATOR</c:v>
                </c:pt>
                <c:pt idx="19">
                  <c:v>BASE</c:v>
                </c:pt>
                <c:pt idx="21">
                  <c:v>BASE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'24'!$AE$6:$AE$30</c:f>
              <c:numCache>
                <c:formatCode>0%</c:formatCode>
                <c:ptCount val="25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F-4BC6-9DC0-43ED594D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'02'!$AD$6:$AD$30</c:f>
              <c:strCache>
                <c:ptCount val="25"/>
                <c:pt idx="0">
                  <c:v>96%</c:v>
                </c:pt>
                <c:pt idx="1">
                  <c:v>17%</c:v>
                </c:pt>
                <c:pt idx="2">
                  <c:v>75%</c:v>
                </c:pt>
                <c:pt idx="3">
                  <c:v>100%</c:v>
                </c:pt>
                <c:pt idx="4">
                  <c:v>100%</c:v>
                </c:pt>
                <c:pt idx="5">
                  <c:v>96%</c:v>
                </c:pt>
                <c:pt idx="6">
                  <c:v>92%</c:v>
                </c:pt>
                <c:pt idx="7">
                  <c:v>13%</c:v>
                </c:pt>
                <c:pt idx="8">
                  <c:v>0%</c:v>
                </c:pt>
                <c:pt idx="9">
                  <c:v>42%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100%</c:v>
                </c:pt>
                <c:pt idx="14">
                  <c:v>88%</c:v>
                </c:pt>
                <c:pt idx="15">
                  <c:v>100%</c:v>
                </c:pt>
                <c:pt idx="16">
                  <c:v>13%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100%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F/A</c:v>
                </c:pt>
                <c:pt idx="3">
                  <c:v>CAM 1</c:v>
                </c:pt>
                <c:pt idx="4">
                  <c:v>BASE</c:v>
                </c:pt>
                <c:pt idx="5">
                  <c:v>COVER</c:v>
                </c:pt>
                <c:pt idx="6">
                  <c:v>22P</c:v>
                </c:pt>
                <c:pt idx="7">
                  <c:v>BASE</c:v>
                </c:pt>
                <c:pt idx="8">
                  <c:v>BODY/LID</c:v>
                </c:pt>
                <c:pt idx="9">
                  <c:v>UNDER</c:v>
                </c:pt>
                <c:pt idx="10">
                  <c:v>ADAPTER</c:v>
                </c:pt>
                <c:pt idx="11">
                  <c:v>ACTUATOR</c:v>
                </c:pt>
                <c:pt idx="12">
                  <c:v>SLIDER</c:v>
                </c:pt>
                <c:pt idx="13">
                  <c:v>BODY</c:v>
                </c:pt>
                <c:pt idx="14">
                  <c:v>SLIDER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'02'!$AD$6:$AD$30</c:f>
              <c:numCache>
                <c:formatCode>0%</c:formatCode>
                <c:ptCount val="25"/>
                <c:pt idx="0">
                  <c:v>0.95833333333333337</c:v>
                </c:pt>
                <c:pt idx="1">
                  <c:v>0.16666666666666666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0.95833333333333337</c:v>
                </c:pt>
                <c:pt idx="6">
                  <c:v>0.91666666666666663</c:v>
                </c:pt>
                <c:pt idx="7">
                  <c:v>0.125</c:v>
                </c:pt>
                <c:pt idx="8">
                  <c:v>0</c:v>
                </c:pt>
                <c:pt idx="9">
                  <c:v>0.41666666666666669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2-4B29-BEC0-86BF40636B2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72-4B29-BEC0-86BF40636B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'02'!$D$6:$D$30</c:f>
              <c:strCache>
                <c:ptCount val="24"/>
                <c:pt idx="0">
                  <c:v>BASE</c:v>
                </c:pt>
                <c:pt idx="1">
                  <c:v>BASE</c:v>
                </c:pt>
                <c:pt idx="2">
                  <c:v>F/A</c:v>
                </c:pt>
                <c:pt idx="3">
                  <c:v>CAM 1</c:v>
                </c:pt>
                <c:pt idx="4">
                  <c:v>BASE</c:v>
                </c:pt>
                <c:pt idx="5">
                  <c:v>COVER</c:v>
                </c:pt>
                <c:pt idx="6">
                  <c:v>22P</c:v>
                </c:pt>
                <c:pt idx="7">
                  <c:v>BASE</c:v>
                </c:pt>
                <c:pt idx="8">
                  <c:v>BODY/LID</c:v>
                </c:pt>
                <c:pt idx="9">
                  <c:v>UNDER</c:v>
                </c:pt>
                <c:pt idx="10">
                  <c:v>ADAPTER</c:v>
                </c:pt>
                <c:pt idx="11">
                  <c:v>ACTUATOR</c:v>
                </c:pt>
                <c:pt idx="12">
                  <c:v>SLIDER</c:v>
                </c:pt>
                <c:pt idx="13">
                  <c:v>BODY</c:v>
                </c:pt>
                <c:pt idx="14">
                  <c:v>SLIDER</c:v>
                </c:pt>
                <c:pt idx="15">
                  <c:v>BASE</c:v>
                </c:pt>
                <c:pt idx="18">
                  <c:v>SEPARATOR</c:v>
                </c:pt>
                <c:pt idx="19">
                  <c:v>BASE</c:v>
                </c:pt>
                <c:pt idx="21">
                  <c:v>COVER</c:v>
                </c:pt>
                <c:pt idx="22">
                  <c:v>BASE</c:v>
                </c:pt>
                <c:pt idx="23">
                  <c:v>COVER</c:v>
                </c:pt>
              </c:strCache>
            </c:strRef>
          </c:cat>
          <c:val>
            <c:numRef>
              <c:f>'02'!$AE$6:$AE$30</c:f>
              <c:numCache>
                <c:formatCode>0%</c:formatCode>
                <c:ptCount val="25"/>
                <c:pt idx="0">
                  <c:v>0.53166666666666673</c:v>
                </c:pt>
                <c:pt idx="1">
                  <c:v>0.53166666666666673</c:v>
                </c:pt>
                <c:pt idx="2">
                  <c:v>0.53166666666666673</c:v>
                </c:pt>
                <c:pt idx="3">
                  <c:v>0.53166666666666673</c:v>
                </c:pt>
                <c:pt idx="4">
                  <c:v>0.53166666666666673</c:v>
                </c:pt>
                <c:pt idx="5">
                  <c:v>0.53166666666666673</c:v>
                </c:pt>
                <c:pt idx="6">
                  <c:v>0.53166666666666673</c:v>
                </c:pt>
                <c:pt idx="7">
                  <c:v>0.53166666666666673</c:v>
                </c:pt>
                <c:pt idx="8">
                  <c:v>0.53166666666666673</c:v>
                </c:pt>
                <c:pt idx="9">
                  <c:v>0.53166666666666673</c:v>
                </c:pt>
                <c:pt idx="10">
                  <c:v>0.53166666666666673</c:v>
                </c:pt>
                <c:pt idx="11">
                  <c:v>0.53166666666666673</c:v>
                </c:pt>
                <c:pt idx="12">
                  <c:v>0.53166666666666673</c:v>
                </c:pt>
                <c:pt idx="13">
                  <c:v>0.53166666666666673</c:v>
                </c:pt>
                <c:pt idx="14">
                  <c:v>0.53166666666666673</c:v>
                </c:pt>
                <c:pt idx="15">
                  <c:v>0.53166666666666673</c:v>
                </c:pt>
                <c:pt idx="16">
                  <c:v>0.53166666666666673</c:v>
                </c:pt>
                <c:pt idx="17">
                  <c:v>0.53166666666666673</c:v>
                </c:pt>
                <c:pt idx="18">
                  <c:v>0.53166666666666673</c:v>
                </c:pt>
                <c:pt idx="19">
                  <c:v>0.53166666666666673</c:v>
                </c:pt>
                <c:pt idx="20">
                  <c:v>0.53166666666666673</c:v>
                </c:pt>
                <c:pt idx="21">
                  <c:v>0.53166666666666673</c:v>
                </c:pt>
                <c:pt idx="22">
                  <c:v>0.53166666666666673</c:v>
                </c:pt>
                <c:pt idx="23">
                  <c:v>0.53166666666666673</c:v>
                </c:pt>
                <c:pt idx="24">
                  <c:v>0.53166666666666673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2-4B29-BEC0-86BF4063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1EB-465E-8691-D22FDF5464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B-465E-8691-D22FDF54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2.5622939056245648E-2"/>
                  <c:y val="-0.3900797052655309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1EB-465E-8691-D22FDF5464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B-465E-8691-D22FDF54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'25'!$D$6:$D$29</c:f>
              <c:strCache>
                <c:ptCount val="23"/>
                <c:pt idx="0">
                  <c:v>ACTUATOR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SLIDER</c:v>
                </c:pt>
                <c:pt idx="12">
                  <c:v>BASE</c:v>
                </c:pt>
                <c:pt idx="13">
                  <c:v>BASE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'25'!$L$6:$L$29</c:f>
              <c:numCache>
                <c:formatCode>_(* #,##0_);_(* \(#,##0\);_(* "-"_);_(@_)</c:formatCode>
                <c:ptCount val="24"/>
                <c:pt idx="0">
                  <c:v>4624</c:v>
                </c:pt>
                <c:pt idx="1">
                  <c:v>5704</c:v>
                </c:pt>
                <c:pt idx="2">
                  <c:v>3372</c:v>
                </c:pt>
                <c:pt idx="3">
                  <c:v>2839</c:v>
                </c:pt>
                <c:pt idx="4">
                  <c:v>9036</c:v>
                </c:pt>
                <c:pt idx="5">
                  <c:v>4760</c:v>
                </c:pt>
                <c:pt idx="6">
                  <c:v>10002</c:v>
                </c:pt>
                <c:pt idx="7">
                  <c:v>14278</c:v>
                </c:pt>
                <c:pt idx="8">
                  <c:v>244</c:v>
                </c:pt>
                <c:pt idx="9">
                  <c:v>2924</c:v>
                </c:pt>
                <c:pt idx="10">
                  <c:v>11940</c:v>
                </c:pt>
                <c:pt idx="12">
                  <c:v>11772</c:v>
                </c:pt>
                <c:pt idx="13">
                  <c:v>1720</c:v>
                </c:pt>
                <c:pt idx="14">
                  <c:v>5003</c:v>
                </c:pt>
                <c:pt idx="15">
                  <c:v>67504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9-4E4D-B7B7-D58C19A6EC1F}"/>
            </c:ext>
          </c:extLst>
        </c:ser>
        <c:ser>
          <c:idx val="1"/>
          <c:order val="1"/>
          <c:tx>
            <c:v>계획</c:v>
          </c:tx>
          <c:cat>
            <c:strRef>
              <c:f>'25'!$D$6:$D$29</c:f>
              <c:strCache>
                <c:ptCount val="23"/>
                <c:pt idx="0">
                  <c:v>ACTUATOR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SLIDER</c:v>
                </c:pt>
                <c:pt idx="12">
                  <c:v>BASE</c:v>
                </c:pt>
                <c:pt idx="13">
                  <c:v>BASE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'25'!$J$6:$J$29</c:f>
              <c:numCache>
                <c:formatCode>_(* #,##0_);_(* \(#,##0\);_(* "-"_);_(@_)</c:formatCode>
                <c:ptCount val="24"/>
                <c:pt idx="0">
                  <c:v>4624</c:v>
                </c:pt>
                <c:pt idx="1">
                  <c:v>5704</c:v>
                </c:pt>
                <c:pt idx="2">
                  <c:v>3372</c:v>
                </c:pt>
                <c:pt idx="3">
                  <c:v>2839</c:v>
                </c:pt>
                <c:pt idx="4">
                  <c:v>9036</c:v>
                </c:pt>
                <c:pt idx="5">
                  <c:v>4760</c:v>
                </c:pt>
                <c:pt idx="6">
                  <c:v>10002</c:v>
                </c:pt>
                <c:pt idx="7">
                  <c:v>14278</c:v>
                </c:pt>
                <c:pt idx="8">
                  <c:v>244</c:v>
                </c:pt>
                <c:pt idx="9">
                  <c:v>2924</c:v>
                </c:pt>
                <c:pt idx="10">
                  <c:v>11940</c:v>
                </c:pt>
                <c:pt idx="11">
                  <c:v>600</c:v>
                </c:pt>
                <c:pt idx="12">
                  <c:v>11772</c:v>
                </c:pt>
                <c:pt idx="13">
                  <c:v>1720</c:v>
                </c:pt>
                <c:pt idx="14">
                  <c:v>5003</c:v>
                </c:pt>
                <c:pt idx="15">
                  <c:v>67504</c:v>
                </c:pt>
                <c:pt idx="16">
                  <c:v>0</c:v>
                </c:pt>
                <c:pt idx="17">
                  <c:v>24024</c:v>
                </c:pt>
                <c:pt idx="18">
                  <c:v>22300</c:v>
                </c:pt>
                <c:pt idx="19">
                  <c:v>189476</c:v>
                </c:pt>
                <c:pt idx="20">
                  <c:v>15393</c:v>
                </c:pt>
                <c:pt idx="21">
                  <c:v>24332</c:v>
                </c:pt>
                <c:pt idx="22">
                  <c:v>26116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9-4E4D-B7B7-D58C19A6E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'25'!$AD$6:$AD$29</c:f>
              <c:strCache>
                <c:ptCount val="24"/>
                <c:pt idx="0">
                  <c:v>83%</c:v>
                </c:pt>
                <c:pt idx="1">
                  <c:v>100%</c:v>
                </c:pt>
                <c:pt idx="2">
                  <c:v>79%</c:v>
                </c:pt>
                <c:pt idx="3">
                  <c:v>58%</c:v>
                </c:pt>
                <c:pt idx="4">
                  <c:v>100%</c:v>
                </c:pt>
                <c:pt idx="5">
                  <c:v>96%</c:v>
                </c:pt>
                <c:pt idx="6">
                  <c:v>100%</c:v>
                </c:pt>
                <c:pt idx="7">
                  <c:v>100%</c:v>
                </c:pt>
                <c:pt idx="8">
                  <c:v>21%</c:v>
                </c:pt>
                <c:pt idx="9">
                  <c:v>63%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38%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'25'!$D$6:$D$29</c:f>
              <c:strCache>
                <c:ptCount val="23"/>
                <c:pt idx="0">
                  <c:v>ACTUATOR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SLIDER</c:v>
                </c:pt>
                <c:pt idx="12">
                  <c:v>BASE</c:v>
                </c:pt>
                <c:pt idx="13">
                  <c:v>BASE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'25'!$AD$6:$AD$29</c:f>
              <c:numCache>
                <c:formatCode>0%</c:formatCode>
                <c:ptCount val="24"/>
                <c:pt idx="0">
                  <c:v>0.83333333333333337</c:v>
                </c:pt>
                <c:pt idx="1">
                  <c:v>1</c:v>
                </c:pt>
                <c:pt idx="2">
                  <c:v>0.79166666666666663</c:v>
                </c:pt>
                <c:pt idx="3">
                  <c:v>0.58333333333333337</c:v>
                </c:pt>
                <c:pt idx="4">
                  <c:v>1</c:v>
                </c:pt>
                <c:pt idx="5">
                  <c:v>0.95833333333333337</c:v>
                </c:pt>
                <c:pt idx="6">
                  <c:v>1</c:v>
                </c:pt>
                <c:pt idx="7">
                  <c:v>1</c:v>
                </c:pt>
                <c:pt idx="8">
                  <c:v>0.20833333333333334</c:v>
                </c:pt>
                <c:pt idx="9">
                  <c:v>0.625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0.375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A-49E1-8C67-2ECE1CA87F1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BA-49E1-8C67-2ECE1CA87F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'25'!$D$6:$D$29</c:f>
              <c:strCache>
                <c:ptCount val="23"/>
                <c:pt idx="0">
                  <c:v>ACTUATOR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SLIDER</c:v>
                </c:pt>
                <c:pt idx="12">
                  <c:v>BASE</c:v>
                </c:pt>
                <c:pt idx="13">
                  <c:v>BASE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'25'!$AE$6:$AE$29</c:f>
              <c:numCache>
                <c:formatCode>0%</c:formatCode>
                <c:ptCount val="24"/>
                <c:pt idx="0">
                  <c:v>0.515625</c:v>
                </c:pt>
                <c:pt idx="1">
                  <c:v>0.515625</c:v>
                </c:pt>
                <c:pt idx="2">
                  <c:v>0.515625</c:v>
                </c:pt>
                <c:pt idx="3">
                  <c:v>0.515625</c:v>
                </c:pt>
                <c:pt idx="4">
                  <c:v>0.515625</c:v>
                </c:pt>
                <c:pt idx="5">
                  <c:v>0.515625</c:v>
                </c:pt>
                <c:pt idx="6">
                  <c:v>0.515625</c:v>
                </c:pt>
                <c:pt idx="7">
                  <c:v>0.515625</c:v>
                </c:pt>
                <c:pt idx="8">
                  <c:v>0.515625</c:v>
                </c:pt>
                <c:pt idx="9">
                  <c:v>0.515625</c:v>
                </c:pt>
                <c:pt idx="10">
                  <c:v>0.515625</c:v>
                </c:pt>
                <c:pt idx="11">
                  <c:v>0.515625</c:v>
                </c:pt>
                <c:pt idx="12">
                  <c:v>0.515625</c:v>
                </c:pt>
                <c:pt idx="13">
                  <c:v>0.515625</c:v>
                </c:pt>
                <c:pt idx="14">
                  <c:v>0.515625</c:v>
                </c:pt>
                <c:pt idx="15">
                  <c:v>0.515625</c:v>
                </c:pt>
                <c:pt idx="16">
                  <c:v>0.515625</c:v>
                </c:pt>
                <c:pt idx="17">
                  <c:v>0.515625</c:v>
                </c:pt>
                <c:pt idx="18">
                  <c:v>0.515625</c:v>
                </c:pt>
                <c:pt idx="19">
                  <c:v>0.515625</c:v>
                </c:pt>
                <c:pt idx="20">
                  <c:v>0.515625</c:v>
                </c:pt>
                <c:pt idx="21">
                  <c:v>0.515625</c:v>
                </c:pt>
                <c:pt idx="22">
                  <c:v>0.515625</c:v>
                </c:pt>
                <c:pt idx="23">
                  <c:v>0.515625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A-49E1-8C67-2ECE1CA8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'25'!$D$6:$D$29</c:f>
              <c:strCache>
                <c:ptCount val="23"/>
                <c:pt idx="0">
                  <c:v>ACTUATOR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SLIDER</c:v>
                </c:pt>
                <c:pt idx="12">
                  <c:v>BASE</c:v>
                </c:pt>
                <c:pt idx="13">
                  <c:v>BASE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'25'!$L$6:$L$29</c:f>
              <c:numCache>
                <c:formatCode>_(* #,##0_);_(* \(#,##0\);_(* "-"_);_(@_)</c:formatCode>
                <c:ptCount val="24"/>
                <c:pt idx="0">
                  <c:v>4624</c:v>
                </c:pt>
                <c:pt idx="1">
                  <c:v>5704</c:v>
                </c:pt>
                <c:pt idx="2">
                  <c:v>3372</c:v>
                </c:pt>
                <c:pt idx="3">
                  <c:v>2839</c:v>
                </c:pt>
                <c:pt idx="4">
                  <c:v>9036</c:v>
                </c:pt>
                <c:pt idx="5">
                  <c:v>4760</c:v>
                </c:pt>
                <c:pt idx="6">
                  <c:v>10002</c:v>
                </c:pt>
                <c:pt idx="7">
                  <c:v>14278</c:v>
                </c:pt>
                <c:pt idx="8">
                  <c:v>244</c:v>
                </c:pt>
                <c:pt idx="9">
                  <c:v>2924</c:v>
                </c:pt>
                <c:pt idx="10">
                  <c:v>11940</c:v>
                </c:pt>
                <c:pt idx="12">
                  <c:v>11772</c:v>
                </c:pt>
                <c:pt idx="13">
                  <c:v>1720</c:v>
                </c:pt>
                <c:pt idx="14">
                  <c:v>5003</c:v>
                </c:pt>
                <c:pt idx="15">
                  <c:v>67504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B-4303-9907-9D87EEE68BDA}"/>
            </c:ext>
          </c:extLst>
        </c:ser>
        <c:ser>
          <c:idx val="1"/>
          <c:order val="1"/>
          <c:tx>
            <c:v>계획</c:v>
          </c:tx>
          <c:cat>
            <c:strRef>
              <c:f>'25'!$D$6:$D$29</c:f>
              <c:strCache>
                <c:ptCount val="23"/>
                <c:pt idx="0">
                  <c:v>ACTUATOR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SLIDER</c:v>
                </c:pt>
                <c:pt idx="12">
                  <c:v>BASE</c:v>
                </c:pt>
                <c:pt idx="13">
                  <c:v>BASE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'25'!$J$6:$J$29</c:f>
              <c:numCache>
                <c:formatCode>_(* #,##0_);_(* \(#,##0\);_(* "-"_);_(@_)</c:formatCode>
                <c:ptCount val="24"/>
                <c:pt idx="0">
                  <c:v>4624</c:v>
                </c:pt>
                <c:pt idx="1">
                  <c:v>5704</c:v>
                </c:pt>
                <c:pt idx="2">
                  <c:v>3372</c:v>
                </c:pt>
                <c:pt idx="3">
                  <c:v>2839</c:v>
                </c:pt>
                <c:pt idx="4">
                  <c:v>9036</c:v>
                </c:pt>
                <c:pt idx="5">
                  <c:v>4760</c:v>
                </c:pt>
                <c:pt idx="6">
                  <c:v>10002</c:v>
                </c:pt>
                <c:pt idx="7">
                  <c:v>14278</c:v>
                </c:pt>
                <c:pt idx="8">
                  <c:v>244</c:v>
                </c:pt>
                <c:pt idx="9">
                  <c:v>2924</c:v>
                </c:pt>
                <c:pt idx="10">
                  <c:v>11940</c:v>
                </c:pt>
                <c:pt idx="11">
                  <c:v>600</c:v>
                </c:pt>
                <c:pt idx="12">
                  <c:v>11772</c:v>
                </c:pt>
                <c:pt idx="13">
                  <c:v>1720</c:v>
                </c:pt>
                <c:pt idx="14">
                  <c:v>5003</c:v>
                </c:pt>
                <c:pt idx="15">
                  <c:v>67504</c:v>
                </c:pt>
                <c:pt idx="16">
                  <c:v>0</c:v>
                </c:pt>
                <c:pt idx="17">
                  <c:v>24024</c:v>
                </c:pt>
                <c:pt idx="18">
                  <c:v>22300</c:v>
                </c:pt>
                <c:pt idx="19">
                  <c:v>189476</c:v>
                </c:pt>
                <c:pt idx="20">
                  <c:v>15393</c:v>
                </c:pt>
                <c:pt idx="21">
                  <c:v>24332</c:v>
                </c:pt>
                <c:pt idx="22">
                  <c:v>26116</c:v>
                </c:pt>
                <c:pt idx="23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B-4303-9907-9D87EEE6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'25'!$AD$6:$AD$29</c:f>
              <c:strCache>
                <c:ptCount val="24"/>
                <c:pt idx="0">
                  <c:v>83%</c:v>
                </c:pt>
                <c:pt idx="1">
                  <c:v>100%</c:v>
                </c:pt>
                <c:pt idx="2">
                  <c:v>79%</c:v>
                </c:pt>
                <c:pt idx="3">
                  <c:v>58%</c:v>
                </c:pt>
                <c:pt idx="4">
                  <c:v>100%</c:v>
                </c:pt>
                <c:pt idx="5">
                  <c:v>96%</c:v>
                </c:pt>
                <c:pt idx="6">
                  <c:v>100%</c:v>
                </c:pt>
                <c:pt idx="7">
                  <c:v>100%</c:v>
                </c:pt>
                <c:pt idx="8">
                  <c:v>21%</c:v>
                </c:pt>
                <c:pt idx="9">
                  <c:v>63%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38%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'25'!$D$6:$D$29</c:f>
              <c:strCache>
                <c:ptCount val="23"/>
                <c:pt idx="0">
                  <c:v>ACTUATOR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SLIDER</c:v>
                </c:pt>
                <c:pt idx="12">
                  <c:v>BASE</c:v>
                </c:pt>
                <c:pt idx="13">
                  <c:v>BASE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'25'!$AD$6:$AD$29</c:f>
              <c:numCache>
                <c:formatCode>0%</c:formatCode>
                <c:ptCount val="24"/>
                <c:pt idx="0">
                  <c:v>0.83333333333333337</c:v>
                </c:pt>
                <c:pt idx="1">
                  <c:v>1</c:v>
                </c:pt>
                <c:pt idx="2">
                  <c:v>0.79166666666666663</c:v>
                </c:pt>
                <c:pt idx="3">
                  <c:v>0.58333333333333337</c:v>
                </c:pt>
                <c:pt idx="4">
                  <c:v>1</c:v>
                </c:pt>
                <c:pt idx="5">
                  <c:v>0.95833333333333337</c:v>
                </c:pt>
                <c:pt idx="6">
                  <c:v>1</c:v>
                </c:pt>
                <c:pt idx="7">
                  <c:v>1</c:v>
                </c:pt>
                <c:pt idx="8">
                  <c:v>0.20833333333333334</c:v>
                </c:pt>
                <c:pt idx="9">
                  <c:v>0.625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0.375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4-4B09-8782-DB6FAA74FE4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B4-4B09-8782-DB6FAA74FE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'25'!$D$6:$D$29</c:f>
              <c:strCache>
                <c:ptCount val="23"/>
                <c:pt idx="0">
                  <c:v>ACTUATOR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5">
                  <c:v>COVER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SLIDER</c:v>
                </c:pt>
                <c:pt idx="12">
                  <c:v>BASE</c:v>
                </c:pt>
                <c:pt idx="13">
                  <c:v>BASE</c:v>
                </c:pt>
                <c:pt idx="14">
                  <c:v>ST/HO</c:v>
                </c:pt>
                <c:pt idx="17">
                  <c:v>SEPARATOR</c:v>
                </c:pt>
                <c:pt idx="18">
                  <c:v>BASE</c:v>
                </c:pt>
                <c:pt idx="20">
                  <c:v>BASE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'25'!$AE$6:$AE$29</c:f>
              <c:numCache>
                <c:formatCode>0%</c:formatCode>
                <c:ptCount val="24"/>
                <c:pt idx="0">
                  <c:v>0.515625</c:v>
                </c:pt>
                <c:pt idx="1">
                  <c:v>0.515625</c:v>
                </c:pt>
                <c:pt idx="2">
                  <c:v>0.515625</c:v>
                </c:pt>
                <c:pt idx="3">
                  <c:v>0.515625</c:v>
                </c:pt>
                <c:pt idx="4">
                  <c:v>0.515625</c:v>
                </c:pt>
                <c:pt idx="5">
                  <c:v>0.515625</c:v>
                </c:pt>
                <c:pt idx="6">
                  <c:v>0.515625</c:v>
                </c:pt>
                <c:pt idx="7">
                  <c:v>0.515625</c:v>
                </c:pt>
                <c:pt idx="8">
                  <c:v>0.515625</c:v>
                </c:pt>
                <c:pt idx="9">
                  <c:v>0.515625</c:v>
                </c:pt>
                <c:pt idx="10">
                  <c:v>0.515625</c:v>
                </c:pt>
                <c:pt idx="11">
                  <c:v>0.515625</c:v>
                </c:pt>
                <c:pt idx="12">
                  <c:v>0.515625</c:v>
                </c:pt>
                <c:pt idx="13">
                  <c:v>0.515625</c:v>
                </c:pt>
                <c:pt idx="14">
                  <c:v>0.515625</c:v>
                </c:pt>
                <c:pt idx="15">
                  <c:v>0.515625</c:v>
                </c:pt>
                <c:pt idx="16">
                  <c:v>0.515625</c:v>
                </c:pt>
                <c:pt idx="17">
                  <c:v>0.515625</c:v>
                </c:pt>
                <c:pt idx="18">
                  <c:v>0.515625</c:v>
                </c:pt>
                <c:pt idx="19">
                  <c:v>0.515625</c:v>
                </c:pt>
                <c:pt idx="20">
                  <c:v>0.515625</c:v>
                </c:pt>
                <c:pt idx="21">
                  <c:v>0.515625</c:v>
                </c:pt>
                <c:pt idx="22">
                  <c:v>0.515625</c:v>
                </c:pt>
                <c:pt idx="23">
                  <c:v>0.515625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4-4B09-8782-DB6FAA7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총괄!$A$27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654-4CE9-B4E0-4A9EC32A71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총괄!$B$27:$AG$27</c:f>
              <c:numCache>
                <c:formatCode>0%</c:formatCode>
                <c:ptCount val="32"/>
                <c:pt idx="0">
                  <c:v>0.44793388429752062</c:v>
                </c:pt>
                <c:pt idx="1">
                  <c:v>0.53166666666666673</c:v>
                </c:pt>
                <c:pt idx="2">
                  <c:v>0.58333333333333337</c:v>
                </c:pt>
                <c:pt idx="3">
                  <c:v>0.68278059266083235</c:v>
                </c:pt>
                <c:pt idx="4">
                  <c:v>0.495</c:v>
                </c:pt>
                <c:pt idx="7">
                  <c:v>0.45833333333333331</c:v>
                </c:pt>
                <c:pt idx="8">
                  <c:v>0.55999999999999994</c:v>
                </c:pt>
                <c:pt idx="9">
                  <c:v>0.58159722222222221</c:v>
                </c:pt>
                <c:pt idx="10">
                  <c:v>0.55034722222222221</c:v>
                </c:pt>
                <c:pt idx="11">
                  <c:v>0.47916666666666669</c:v>
                </c:pt>
                <c:pt idx="14">
                  <c:v>0.56327160493827155</c:v>
                </c:pt>
                <c:pt idx="15">
                  <c:v>0.58493589743589736</c:v>
                </c:pt>
                <c:pt idx="16">
                  <c:v>0.59833333333333327</c:v>
                </c:pt>
                <c:pt idx="17">
                  <c:v>0.54166666666666663</c:v>
                </c:pt>
                <c:pt idx="18">
                  <c:v>0.56333333333333324</c:v>
                </c:pt>
                <c:pt idx="21">
                  <c:v>0.41499999999999998</c:v>
                </c:pt>
                <c:pt idx="22">
                  <c:v>0.38988095238095238</c:v>
                </c:pt>
                <c:pt idx="23">
                  <c:v>0.43</c:v>
                </c:pt>
                <c:pt idx="24">
                  <c:v>0.515625</c:v>
                </c:pt>
                <c:pt idx="25">
                  <c:v>0.48061321958992514</c:v>
                </c:pt>
                <c:pt idx="28">
                  <c:v>0.41333333333333333</c:v>
                </c:pt>
                <c:pt idx="29">
                  <c:v>0.46500000000000002</c:v>
                </c:pt>
                <c:pt idx="31">
                  <c:v>0.37770507541381704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4-4CE9-B4E0-4A9EC32A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2.5622939056245648E-2"/>
                  <c:y val="-0.3900797052655309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654-4CE9-B4E0-4A9EC32A71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총괄!$B$28:$AG$28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4-4CE9-B4E0-4A9EC32A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'26'!$D$6:$D$32</c:f>
              <c:strCache>
                <c:ptCount val="26"/>
                <c:pt idx="0">
                  <c:v>ACTUATOR</c:v>
                </c:pt>
                <c:pt idx="1">
                  <c:v>ADAPTER</c:v>
                </c:pt>
                <c:pt idx="2">
                  <c:v>TOP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BASE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LED A</c:v>
                </c:pt>
                <c:pt idx="13">
                  <c:v>SLIDER</c:v>
                </c:pt>
                <c:pt idx="15">
                  <c:v>BASE</c:v>
                </c:pt>
                <c:pt idx="16">
                  <c:v>BASE</c:v>
                </c:pt>
                <c:pt idx="17">
                  <c:v>ST/HO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'26'!$L$6:$L$32</c:f>
              <c:numCache>
                <c:formatCode>_(* #,##0_);_(* \(#,##0\);_(* "-"_);_(@_)</c:formatCode>
                <c:ptCount val="27"/>
                <c:pt idx="0">
                  <c:v>4956</c:v>
                </c:pt>
                <c:pt idx="1">
                  <c:v>2472</c:v>
                </c:pt>
                <c:pt idx="2">
                  <c:v>424</c:v>
                </c:pt>
                <c:pt idx="3">
                  <c:v>423</c:v>
                </c:pt>
                <c:pt idx="4">
                  <c:v>3536</c:v>
                </c:pt>
                <c:pt idx="5">
                  <c:v>3293</c:v>
                </c:pt>
                <c:pt idx="6">
                  <c:v>4287</c:v>
                </c:pt>
                <c:pt idx="7">
                  <c:v>4045</c:v>
                </c:pt>
                <c:pt idx="8">
                  <c:v>9460</c:v>
                </c:pt>
                <c:pt idx="9">
                  <c:v>13894</c:v>
                </c:pt>
                <c:pt idx="11">
                  <c:v>593</c:v>
                </c:pt>
                <c:pt idx="12">
                  <c:v>15076</c:v>
                </c:pt>
                <c:pt idx="13">
                  <c:v>10862</c:v>
                </c:pt>
                <c:pt idx="15">
                  <c:v>11032</c:v>
                </c:pt>
                <c:pt idx="16">
                  <c:v>4090</c:v>
                </c:pt>
                <c:pt idx="17">
                  <c:v>4516</c:v>
                </c:pt>
                <c:pt idx="18">
                  <c:v>61284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4EC2-99D5-7862E35A2A4F}"/>
            </c:ext>
          </c:extLst>
        </c:ser>
        <c:ser>
          <c:idx val="1"/>
          <c:order val="1"/>
          <c:tx>
            <c:v>계획</c:v>
          </c:tx>
          <c:cat>
            <c:strRef>
              <c:f>'26'!$D$6:$D$32</c:f>
              <c:strCache>
                <c:ptCount val="26"/>
                <c:pt idx="0">
                  <c:v>ACTUATOR</c:v>
                </c:pt>
                <c:pt idx="1">
                  <c:v>ADAPTER</c:v>
                </c:pt>
                <c:pt idx="2">
                  <c:v>TOP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BASE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LED A</c:v>
                </c:pt>
                <c:pt idx="13">
                  <c:v>SLIDER</c:v>
                </c:pt>
                <c:pt idx="15">
                  <c:v>BASE</c:v>
                </c:pt>
                <c:pt idx="16">
                  <c:v>BASE</c:v>
                </c:pt>
                <c:pt idx="17">
                  <c:v>ST/HO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'26'!$J$6:$J$32</c:f>
              <c:numCache>
                <c:formatCode>_(* #,##0_);_(* \(#,##0\);_(* "-"_);_(@_)</c:formatCode>
                <c:ptCount val="27"/>
                <c:pt idx="0">
                  <c:v>4956</c:v>
                </c:pt>
                <c:pt idx="1">
                  <c:v>2472</c:v>
                </c:pt>
                <c:pt idx="2">
                  <c:v>424</c:v>
                </c:pt>
                <c:pt idx="3">
                  <c:v>423</c:v>
                </c:pt>
                <c:pt idx="4">
                  <c:v>3536</c:v>
                </c:pt>
                <c:pt idx="5">
                  <c:v>3293</c:v>
                </c:pt>
                <c:pt idx="6">
                  <c:v>4207</c:v>
                </c:pt>
                <c:pt idx="7">
                  <c:v>4045</c:v>
                </c:pt>
                <c:pt idx="8">
                  <c:v>9460</c:v>
                </c:pt>
                <c:pt idx="9">
                  <c:v>13894</c:v>
                </c:pt>
                <c:pt idx="10">
                  <c:v>244</c:v>
                </c:pt>
                <c:pt idx="11">
                  <c:v>593</c:v>
                </c:pt>
                <c:pt idx="12">
                  <c:v>15076</c:v>
                </c:pt>
                <c:pt idx="13">
                  <c:v>10862</c:v>
                </c:pt>
                <c:pt idx="14">
                  <c:v>600</c:v>
                </c:pt>
                <c:pt idx="15">
                  <c:v>11032</c:v>
                </c:pt>
                <c:pt idx="16">
                  <c:v>4090</c:v>
                </c:pt>
                <c:pt idx="17">
                  <c:v>4516</c:v>
                </c:pt>
                <c:pt idx="18">
                  <c:v>61284</c:v>
                </c:pt>
                <c:pt idx="19">
                  <c:v>0</c:v>
                </c:pt>
                <c:pt idx="20">
                  <c:v>24024</c:v>
                </c:pt>
                <c:pt idx="21">
                  <c:v>22300</c:v>
                </c:pt>
                <c:pt idx="22">
                  <c:v>189476</c:v>
                </c:pt>
                <c:pt idx="23">
                  <c:v>15393</c:v>
                </c:pt>
                <c:pt idx="24">
                  <c:v>24332</c:v>
                </c:pt>
                <c:pt idx="25">
                  <c:v>26116</c:v>
                </c:pt>
                <c:pt idx="26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6-4EC2-99D5-7862E35A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'26'!$AD$6:$AD$32</c:f>
              <c:strCache>
                <c:ptCount val="27"/>
                <c:pt idx="0">
                  <c:v>100%</c:v>
                </c:pt>
                <c:pt idx="1">
                  <c:v>58%</c:v>
                </c:pt>
                <c:pt idx="2">
                  <c:v>13%</c:v>
                </c:pt>
                <c:pt idx="3">
                  <c:v>13%</c:v>
                </c:pt>
                <c:pt idx="4">
                  <c:v>71%</c:v>
                </c:pt>
                <c:pt idx="5">
                  <c:v>75%</c:v>
                </c:pt>
                <c:pt idx="6">
                  <c:v>98%</c:v>
                </c:pt>
                <c:pt idx="7">
                  <c:v>100%</c:v>
                </c:pt>
                <c:pt idx="8">
                  <c:v>100%</c:v>
                </c:pt>
                <c:pt idx="9">
                  <c:v>100%</c:v>
                </c:pt>
                <c:pt idx="10">
                  <c:v>0%</c:v>
                </c:pt>
                <c:pt idx="11">
                  <c:v>13%</c:v>
                </c:pt>
                <c:pt idx="12">
                  <c:v>71%</c:v>
                </c:pt>
                <c:pt idx="13">
                  <c:v>100%</c:v>
                </c:pt>
                <c:pt idx="14">
                  <c:v>0%</c:v>
                </c:pt>
                <c:pt idx="15">
                  <c:v>100%</c:v>
                </c:pt>
                <c:pt idx="16">
                  <c:v>88%</c:v>
                </c:pt>
                <c:pt idx="17">
                  <c:v>100%</c:v>
                </c:pt>
                <c:pt idx="18">
                  <c:v>100%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  <c:pt idx="2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'26'!$D$6:$D$32</c:f>
              <c:strCache>
                <c:ptCount val="26"/>
                <c:pt idx="0">
                  <c:v>ACTUATOR</c:v>
                </c:pt>
                <c:pt idx="1">
                  <c:v>ADAPTER</c:v>
                </c:pt>
                <c:pt idx="2">
                  <c:v>TOP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BASE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LED A</c:v>
                </c:pt>
                <c:pt idx="13">
                  <c:v>SLIDER</c:v>
                </c:pt>
                <c:pt idx="15">
                  <c:v>BASE</c:v>
                </c:pt>
                <c:pt idx="16">
                  <c:v>BASE</c:v>
                </c:pt>
                <c:pt idx="17">
                  <c:v>ST/HO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'26'!$AD$6:$AD$32</c:f>
              <c:numCache>
                <c:formatCode>0%</c:formatCode>
                <c:ptCount val="27"/>
                <c:pt idx="0">
                  <c:v>1</c:v>
                </c:pt>
                <c:pt idx="1">
                  <c:v>0.58333333333333337</c:v>
                </c:pt>
                <c:pt idx="2">
                  <c:v>0.125</c:v>
                </c:pt>
                <c:pt idx="3">
                  <c:v>0.125</c:v>
                </c:pt>
                <c:pt idx="4">
                  <c:v>0.70833333333333337</c:v>
                </c:pt>
                <c:pt idx="5">
                  <c:v>0.75</c:v>
                </c:pt>
                <c:pt idx="6">
                  <c:v>0.97655692892797719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0.125</c:v>
                </c:pt>
                <c:pt idx="12">
                  <c:v>0.70833333333333337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0.875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7-4825-8902-B3F18E924CE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C7-4825-8902-B3F18E924C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'26'!$D$6:$D$32</c:f>
              <c:strCache>
                <c:ptCount val="26"/>
                <c:pt idx="0">
                  <c:v>ACTUATOR</c:v>
                </c:pt>
                <c:pt idx="1">
                  <c:v>ADAPTER</c:v>
                </c:pt>
                <c:pt idx="2">
                  <c:v>TOP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BASE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LED A</c:v>
                </c:pt>
                <c:pt idx="13">
                  <c:v>SLIDER</c:v>
                </c:pt>
                <c:pt idx="15">
                  <c:v>BASE</c:v>
                </c:pt>
                <c:pt idx="16">
                  <c:v>BASE</c:v>
                </c:pt>
                <c:pt idx="17">
                  <c:v>ST/HO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'26'!$AE$6:$AE$32</c:f>
              <c:numCache>
                <c:formatCode>0%</c:formatCode>
                <c:ptCount val="27"/>
                <c:pt idx="0">
                  <c:v>0.48061321958992514</c:v>
                </c:pt>
                <c:pt idx="1">
                  <c:v>0.48061321958992514</c:v>
                </c:pt>
                <c:pt idx="2">
                  <c:v>0.48061321958992514</c:v>
                </c:pt>
                <c:pt idx="3">
                  <c:v>0.48061321958992514</c:v>
                </c:pt>
                <c:pt idx="4">
                  <c:v>0.48061321958992514</c:v>
                </c:pt>
                <c:pt idx="5">
                  <c:v>0.48061321958992514</c:v>
                </c:pt>
                <c:pt idx="6">
                  <c:v>0.48061321958992514</c:v>
                </c:pt>
                <c:pt idx="7">
                  <c:v>0.48061321958992514</c:v>
                </c:pt>
                <c:pt idx="8">
                  <c:v>0.48061321958992514</c:v>
                </c:pt>
                <c:pt idx="9">
                  <c:v>0.48061321958992514</c:v>
                </c:pt>
                <c:pt idx="10">
                  <c:v>0.48061321958992514</c:v>
                </c:pt>
                <c:pt idx="11">
                  <c:v>0.48061321958992514</c:v>
                </c:pt>
                <c:pt idx="12">
                  <c:v>0.48061321958992514</c:v>
                </c:pt>
                <c:pt idx="13">
                  <c:v>0.48061321958992514</c:v>
                </c:pt>
                <c:pt idx="14">
                  <c:v>0.48061321958992514</c:v>
                </c:pt>
                <c:pt idx="15">
                  <c:v>0.48061321958992514</c:v>
                </c:pt>
                <c:pt idx="16">
                  <c:v>0.48061321958992514</c:v>
                </c:pt>
                <c:pt idx="17">
                  <c:v>0.48061321958992514</c:v>
                </c:pt>
                <c:pt idx="18">
                  <c:v>0.48061321958992514</c:v>
                </c:pt>
                <c:pt idx="19">
                  <c:v>0.48061321958992514</c:v>
                </c:pt>
                <c:pt idx="20">
                  <c:v>0.48061321958992514</c:v>
                </c:pt>
                <c:pt idx="21">
                  <c:v>0.48061321958992514</c:v>
                </c:pt>
                <c:pt idx="22">
                  <c:v>0.48061321958992514</c:v>
                </c:pt>
                <c:pt idx="23">
                  <c:v>0.48061321958992514</c:v>
                </c:pt>
                <c:pt idx="24">
                  <c:v>0.48061321958992514</c:v>
                </c:pt>
                <c:pt idx="25">
                  <c:v>0.48061321958992514</c:v>
                </c:pt>
                <c:pt idx="26">
                  <c:v>0.48061321958992514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7-4825-8902-B3F18E924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'26'!$D$6:$D$32</c:f>
              <c:strCache>
                <c:ptCount val="26"/>
                <c:pt idx="0">
                  <c:v>ACTUATOR</c:v>
                </c:pt>
                <c:pt idx="1">
                  <c:v>ADAPTER</c:v>
                </c:pt>
                <c:pt idx="2">
                  <c:v>TOP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BASE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LED A</c:v>
                </c:pt>
                <c:pt idx="13">
                  <c:v>SLIDER</c:v>
                </c:pt>
                <c:pt idx="15">
                  <c:v>BASE</c:v>
                </c:pt>
                <c:pt idx="16">
                  <c:v>BASE</c:v>
                </c:pt>
                <c:pt idx="17">
                  <c:v>ST/HO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'26'!$L$6:$L$32</c:f>
              <c:numCache>
                <c:formatCode>_(* #,##0_);_(* \(#,##0\);_(* "-"_);_(@_)</c:formatCode>
                <c:ptCount val="27"/>
                <c:pt idx="0">
                  <c:v>4956</c:v>
                </c:pt>
                <c:pt idx="1">
                  <c:v>2472</c:v>
                </c:pt>
                <c:pt idx="2">
                  <c:v>424</c:v>
                </c:pt>
                <c:pt idx="3">
                  <c:v>423</c:v>
                </c:pt>
                <c:pt idx="4">
                  <c:v>3536</c:v>
                </c:pt>
                <c:pt idx="5">
                  <c:v>3293</c:v>
                </c:pt>
                <c:pt idx="6">
                  <c:v>4287</c:v>
                </c:pt>
                <c:pt idx="7">
                  <c:v>4045</c:v>
                </c:pt>
                <c:pt idx="8">
                  <c:v>9460</c:v>
                </c:pt>
                <c:pt idx="9">
                  <c:v>13894</c:v>
                </c:pt>
                <c:pt idx="11">
                  <c:v>593</c:v>
                </c:pt>
                <c:pt idx="12">
                  <c:v>15076</c:v>
                </c:pt>
                <c:pt idx="13">
                  <c:v>10862</c:v>
                </c:pt>
                <c:pt idx="15">
                  <c:v>11032</c:v>
                </c:pt>
                <c:pt idx="16">
                  <c:v>4090</c:v>
                </c:pt>
                <c:pt idx="17">
                  <c:v>4516</c:v>
                </c:pt>
                <c:pt idx="18">
                  <c:v>61284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5-47A1-A50B-6971798BDD21}"/>
            </c:ext>
          </c:extLst>
        </c:ser>
        <c:ser>
          <c:idx val="1"/>
          <c:order val="1"/>
          <c:tx>
            <c:v>계획</c:v>
          </c:tx>
          <c:cat>
            <c:strRef>
              <c:f>'26'!$D$6:$D$32</c:f>
              <c:strCache>
                <c:ptCount val="26"/>
                <c:pt idx="0">
                  <c:v>ACTUATOR</c:v>
                </c:pt>
                <c:pt idx="1">
                  <c:v>ADAPTER</c:v>
                </c:pt>
                <c:pt idx="2">
                  <c:v>TOP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BASE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LED A</c:v>
                </c:pt>
                <c:pt idx="13">
                  <c:v>SLIDER</c:v>
                </c:pt>
                <c:pt idx="15">
                  <c:v>BASE</c:v>
                </c:pt>
                <c:pt idx="16">
                  <c:v>BASE</c:v>
                </c:pt>
                <c:pt idx="17">
                  <c:v>ST/HO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'26'!$J$6:$J$32</c:f>
              <c:numCache>
                <c:formatCode>_(* #,##0_);_(* \(#,##0\);_(* "-"_);_(@_)</c:formatCode>
                <c:ptCount val="27"/>
                <c:pt idx="0">
                  <c:v>4956</c:v>
                </c:pt>
                <c:pt idx="1">
                  <c:v>2472</c:v>
                </c:pt>
                <c:pt idx="2">
                  <c:v>424</c:v>
                </c:pt>
                <c:pt idx="3">
                  <c:v>423</c:v>
                </c:pt>
                <c:pt idx="4">
                  <c:v>3536</c:v>
                </c:pt>
                <c:pt idx="5">
                  <c:v>3293</c:v>
                </c:pt>
                <c:pt idx="6">
                  <c:v>4207</c:v>
                </c:pt>
                <c:pt idx="7">
                  <c:v>4045</c:v>
                </c:pt>
                <c:pt idx="8">
                  <c:v>9460</c:v>
                </c:pt>
                <c:pt idx="9">
                  <c:v>13894</c:v>
                </c:pt>
                <c:pt idx="10">
                  <c:v>244</c:v>
                </c:pt>
                <c:pt idx="11">
                  <c:v>593</c:v>
                </c:pt>
                <c:pt idx="12">
                  <c:v>15076</c:v>
                </c:pt>
                <c:pt idx="13">
                  <c:v>10862</c:v>
                </c:pt>
                <c:pt idx="14">
                  <c:v>600</c:v>
                </c:pt>
                <c:pt idx="15">
                  <c:v>11032</c:v>
                </c:pt>
                <c:pt idx="16">
                  <c:v>4090</c:v>
                </c:pt>
                <c:pt idx="17">
                  <c:v>4516</c:v>
                </c:pt>
                <c:pt idx="18">
                  <c:v>61284</c:v>
                </c:pt>
                <c:pt idx="19">
                  <c:v>0</c:v>
                </c:pt>
                <c:pt idx="20">
                  <c:v>24024</c:v>
                </c:pt>
                <c:pt idx="21">
                  <c:v>22300</c:v>
                </c:pt>
                <c:pt idx="22">
                  <c:v>189476</c:v>
                </c:pt>
                <c:pt idx="23">
                  <c:v>15393</c:v>
                </c:pt>
                <c:pt idx="24">
                  <c:v>24332</c:v>
                </c:pt>
                <c:pt idx="25">
                  <c:v>26116</c:v>
                </c:pt>
                <c:pt idx="26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5-47A1-A50B-6971798B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'26'!$AD$6:$AD$32</c:f>
              <c:strCache>
                <c:ptCount val="27"/>
                <c:pt idx="0">
                  <c:v>100%</c:v>
                </c:pt>
                <c:pt idx="1">
                  <c:v>58%</c:v>
                </c:pt>
                <c:pt idx="2">
                  <c:v>13%</c:v>
                </c:pt>
                <c:pt idx="3">
                  <c:v>13%</c:v>
                </c:pt>
                <c:pt idx="4">
                  <c:v>71%</c:v>
                </c:pt>
                <c:pt idx="5">
                  <c:v>75%</c:v>
                </c:pt>
                <c:pt idx="6">
                  <c:v>98%</c:v>
                </c:pt>
                <c:pt idx="7">
                  <c:v>100%</c:v>
                </c:pt>
                <c:pt idx="8">
                  <c:v>100%</c:v>
                </c:pt>
                <c:pt idx="9">
                  <c:v>100%</c:v>
                </c:pt>
                <c:pt idx="10">
                  <c:v>0%</c:v>
                </c:pt>
                <c:pt idx="11">
                  <c:v>13%</c:v>
                </c:pt>
                <c:pt idx="12">
                  <c:v>71%</c:v>
                </c:pt>
                <c:pt idx="13">
                  <c:v>100%</c:v>
                </c:pt>
                <c:pt idx="14">
                  <c:v>0%</c:v>
                </c:pt>
                <c:pt idx="15">
                  <c:v>100%</c:v>
                </c:pt>
                <c:pt idx="16">
                  <c:v>88%</c:v>
                </c:pt>
                <c:pt idx="17">
                  <c:v>100%</c:v>
                </c:pt>
                <c:pt idx="18">
                  <c:v>100%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  <c:pt idx="2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'26'!$D$6:$D$32</c:f>
              <c:strCache>
                <c:ptCount val="26"/>
                <c:pt idx="0">
                  <c:v>ACTUATOR</c:v>
                </c:pt>
                <c:pt idx="1">
                  <c:v>ADAPTER</c:v>
                </c:pt>
                <c:pt idx="2">
                  <c:v>TOP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BASE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LED A</c:v>
                </c:pt>
                <c:pt idx="13">
                  <c:v>SLIDER</c:v>
                </c:pt>
                <c:pt idx="15">
                  <c:v>BASE</c:v>
                </c:pt>
                <c:pt idx="16">
                  <c:v>BASE</c:v>
                </c:pt>
                <c:pt idx="17">
                  <c:v>ST/HO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'26'!$AD$6:$AD$32</c:f>
              <c:numCache>
                <c:formatCode>0%</c:formatCode>
                <c:ptCount val="27"/>
                <c:pt idx="0">
                  <c:v>1</c:v>
                </c:pt>
                <c:pt idx="1">
                  <c:v>0.58333333333333337</c:v>
                </c:pt>
                <c:pt idx="2">
                  <c:v>0.125</c:v>
                </c:pt>
                <c:pt idx="3">
                  <c:v>0.125</c:v>
                </c:pt>
                <c:pt idx="4">
                  <c:v>0.70833333333333337</c:v>
                </c:pt>
                <c:pt idx="5">
                  <c:v>0.75</c:v>
                </c:pt>
                <c:pt idx="6">
                  <c:v>0.97655692892797719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0.125</c:v>
                </c:pt>
                <c:pt idx="12">
                  <c:v>0.70833333333333337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0.875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138-97B1-F1A2DF55960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0A-4138-97B1-F1A2DF5596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'26'!$D$6:$D$32</c:f>
              <c:strCache>
                <c:ptCount val="26"/>
                <c:pt idx="0">
                  <c:v>ACTUATOR</c:v>
                </c:pt>
                <c:pt idx="1">
                  <c:v>ADAPTER</c:v>
                </c:pt>
                <c:pt idx="2">
                  <c:v>TOP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BASE</c:v>
                </c:pt>
                <c:pt idx="7">
                  <c:v>COVER</c:v>
                </c:pt>
                <c:pt idx="8">
                  <c:v>BASE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LED A</c:v>
                </c:pt>
                <c:pt idx="13">
                  <c:v>SLIDER</c:v>
                </c:pt>
                <c:pt idx="15">
                  <c:v>BASE</c:v>
                </c:pt>
                <c:pt idx="16">
                  <c:v>BASE</c:v>
                </c:pt>
                <c:pt idx="17">
                  <c:v>ST/HO</c:v>
                </c:pt>
                <c:pt idx="20">
                  <c:v>SEPARATOR</c:v>
                </c:pt>
                <c:pt idx="21">
                  <c:v>BASE</c:v>
                </c:pt>
                <c:pt idx="23">
                  <c:v>BASE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'26'!$AE$6:$AE$32</c:f>
              <c:numCache>
                <c:formatCode>0%</c:formatCode>
                <c:ptCount val="27"/>
                <c:pt idx="0">
                  <c:v>0.48061321958992514</c:v>
                </c:pt>
                <c:pt idx="1">
                  <c:v>0.48061321958992514</c:v>
                </c:pt>
                <c:pt idx="2">
                  <c:v>0.48061321958992514</c:v>
                </c:pt>
                <c:pt idx="3">
                  <c:v>0.48061321958992514</c:v>
                </c:pt>
                <c:pt idx="4">
                  <c:v>0.48061321958992514</c:v>
                </c:pt>
                <c:pt idx="5">
                  <c:v>0.48061321958992514</c:v>
                </c:pt>
                <c:pt idx="6">
                  <c:v>0.48061321958992514</c:v>
                </c:pt>
                <c:pt idx="7">
                  <c:v>0.48061321958992514</c:v>
                </c:pt>
                <c:pt idx="8">
                  <c:v>0.48061321958992514</c:v>
                </c:pt>
                <c:pt idx="9">
                  <c:v>0.48061321958992514</c:v>
                </c:pt>
                <c:pt idx="10">
                  <c:v>0.48061321958992514</c:v>
                </c:pt>
                <c:pt idx="11">
                  <c:v>0.48061321958992514</c:v>
                </c:pt>
                <c:pt idx="12">
                  <c:v>0.48061321958992514</c:v>
                </c:pt>
                <c:pt idx="13">
                  <c:v>0.48061321958992514</c:v>
                </c:pt>
                <c:pt idx="14">
                  <c:v>0.48061321958992514</c:v>
                </c:pt>
                <c:pt idx="15">
                  <c:v>0.48061321958992514</c:v>
                </c:pt>
                <c:pt idx="16">
                  <c:v>0.48061321958992514</c:v>
                </c:pt>
                <c:pt idx="17">
                  <c:v>0.48061321958992514</c:v>
                </c:pt>
                <c:pt idx="18">
                  <c:v>0.48061321958992514</c:v>
                </c:pt>
                <c:pt idx="19">
                  <c:v>0.48061321958992514</c:v>
                </c:pt>
                <c:pt idx="20">
                  <c:v>0.48061321958992514</c:v>
                </c:pt>
                <c:pt idx="21">
                  <c:v>0.48061321958992514</c:v>
                </c:pt>
                <c:pt idx="22">
                  <c:v>0.48061321958992514</c:v>
                </c:pt>
                <c:pt idx="23">
                  <c:v>0.48061321958992514</c:v>
                </c:pt>
                <c:pt idx="24">
                  <c:v>0.48061321958992514</c:v>
                </c:pt>
                <c:pt idx="25">
                  <c:v>0.48061321958992514</c:v>
                </c:pt>
                <c:pt idx="26">
                  <c:v>0.48061321958992514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A-4138-97B1-F1A2DF55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0.xml"/><Relationship Id="rId5" Type="http://schemas.openxmlformats.org/officeDocument/2006/relationships/chart" Target="../charts/chart99.xml"/><Relationship Id="rId4" Type="http://schemas.openxmlformats.org/officeDocument/2006/relationships/chart" Target="../charts/chart9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0.xml"/><Relationship Id="rId5" Type="http://schemas.openxmlformats.org/officeDocument/2006/relationships/chart" Target="../charts/chart109.xml"/><Relationship Id="rId4" Type="http://schemas.openxmlformats.org/officeDocument/2006/relationships/chart" Target="../charts/chart108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E9CDD5-2FB6-4AA5-B8BF-C6EFA6DD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82B836F-94C2-435A-A946-556810EC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1BB86C8-D9B5-48E1-AF67-74753F06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29ABEC9-5483-4363-A580-F60B216BA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833BDBE-CD39-4E2B-AD98-3AEB1C4C0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FCA3E8B-BEDB-4001-82C8-DB9EC7A5A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2DEA80-EEC5-4F6E-A032-15854289E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34</xdr:row>
      <xdr:rowOff>0</xdr:rowOff>
    </xdr:from>
    <xdr:to>
      <xdr:col>12</xdr:col>
      <xdr:colOff>1199028</xdr:colOff>
      <xdr:row>47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0E2E63-0226-4A92-B681-F1D3B1B3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29</xdr:col>
      <xdr:colOff>457200</xdr:colOff>
      <xdr:row>47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C27D457-A470-47AC-B88B-350EE14B2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C259EAF-3DE1-4F94-B657-3B4FB5D9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34</xdr:row>
      <xdr:rowOff>0</xdr:rowOff>
    </xdr:from>
    <xdr:to>
      <xdr:col>12</xdr:col>
      <xdr:colOff>1199028</xdr:colOff>
      <xdr:row>47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CBE8083-050A-431B-B0A2-8CDC5E5AD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29</xdr:col>
      <xdr:colOff>457200</xdr:colOff>
      <xdr:row>47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C620680-D3A2-4526-A3C9-B8111B2C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9AB673F-C4FA-410D-8791-975498FD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48</xdr:row>
      <xdr:rowOff>0</xdr:rowOff>
    </xdr:from>
    <xdr:to>
      <xdr:col>29</xdr:col>
      <xdr:colOff>476250</xdr:colOff>
      <xdr:row>56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3B82747-27DE-4F2A-BAD4-8B0E61D9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9ACB61-9CAE-4B28-96A3-D7273121D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AAC64-7B96-429B-A5FA-510CF13E2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8707825-2642-4EA1-9570-FD18B3A9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CF11A2D-FA20-496D-975A-708D322DA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96D98BB-BBDF-4F4E-ACE7-9285142B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0EF0C03-413E-4739-83D5-87741A5BA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CF0898-B7CF-49C1-87FD-7241EF3AC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4B6E1D-E6B2-4F10-ABC2-EE1046E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39B400-D699-454C-B34B-639A8EE3D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26E453B-7F34-45D4-8D3B-0D93A1274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E018EBB-1F29-4E31-8018-7D65D166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9388246-F85D-4C10-920E-358CBFF43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D11C0BC-9B88-409F-949E-C472DBC0E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2862D48-49DD-41EE-B636-415E04AAB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E70202-495C-4448-B88F-68E39B56D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3942FC6-A4C0-4FA4-A682-AEB5284D3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BDC7994-41D5-450E-8492-A08927EE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76C0C6C-D978-4FC4-848A-4E72535AE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865766F-E2F5-4B1E-B6FA-25DBCED11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890C66C-AB78-4945-91E2-19EF393D8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E094156-1271-430F-BF54-E5BB58124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C3A161-55FE-40A0-9C16-F91C3A496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D637E1-C77F-4823-AFCD-CBF590CEB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8DDFEC7-6BC1-4653-AA09-CBE80DBDD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DC32B2D-CE83-4A23-9333-3F7FE382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855FB0-4034-49BB-8DF8-A70DBB4AC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E695A5C-1885-4E66-81E8-EBE0FFAF4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4340271-C7D5-49B0-BFE9-B586198F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35</xdr:row>
      <xdr:rowOff>0</xdr:rowOff>
    </xdr:from>
    <xdr:to>
      <xdr:col>12</xdr:col>
      <xdr:colOff>1199028</xdr:colOff>
      <xdr:row>48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EAF8D2-3B15-474E-8067-1E4BACE9D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29</xdr:col>
      <xdr:colOff>457200</xdr:colOff>
      <xdr:row>48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2C8517-D4B6-4B4D-B1EE-1BCEEA54D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7124FD4-572C-4DB9-981C-EE2ADBF55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35</xdr:row>
      <xdr:rowOff>0</xdr:rowOff>
    </xdr:from>
    <xdr:to>
      <xdr:col>12</xdr:col>
      <xdr:colOff>1199028</xdr:colOff>
      <xdr:row>48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3A22969-9CDF-477A-82EE-023E95DB1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29</xdr:col>
      <xdr:colOff>457200</xdr:colOff>
      <xdr:row>48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68E5DCA-097D-4C8F-B504-BEB650EC9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250B52F-F7F1-48D6-B439-E4B3B7858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49</xdr:row>
      <xdr:rowOff>0</xdr:rowOff>
    </xdr:from>
    <xdr:to>
      <xdr:col>29</xdr:col>
      <xdr:colOff>476250</xdr:colOff>
      <xdr:row>57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A644904-9563-4BB1-A8E2-60A0BF596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34</xdr:row>
      <xdr:rowOff>0</xdr:rowOff>
    </xdr:from>
    <xdr:to>
      <xdr:col>12</xdr:col>
      <xdr:colOff>1199028</xdr:colOff>
      <xdr:row>47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0BF879-8985-4331-9033-EA3B43A7E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29</xdr:col>
      <xdr:colOff>457200</xdr:colOff>
      <xdr:row>47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A6718E3-895E-4A65-9AE0-F26ABA64C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1B16186-2985-4482-BD51-DD6EBC9CA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34</xdr:row>
      <xdr:rowOff>0</xdr:rowOff>
    </xdr:from>
    <xdr:to>
      <xdr:col>12</xdr:col>
      <xdr:colOff>1199028</xdr:colOff>
      <xdr:row>47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40E5074-D1E4-4E83-AE8F-5BA44F087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29</xdr:col>
      <xdr:colOff>457200</xdr:colOff>
      <xdr:row>47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75C1DB5-42C9-4DE3-9936-A7078C92F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1979D55-BCE7-40D1-87B7-966027EDB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48</xdr:row>
      <xdr:rowOff>0</xdr:rowOff>
    </xdr:from>
    <xdr:to>
      <xdr:col>29</xdr:col>
      <xdr:colOff>476250</xdr:colOff>
      <xdr:row>56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B1A467B-E3F1-4951-99BA-878595044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6EF689-435B-416A-9460-26F518716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A6B569-C6E3-4E24-A7D3-DD846EB1F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7B8AD34-97C3-4D83-A6E7-2FEE78ED7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F89F977-54E2-412D-B92A-0F8641A78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F430C07-430A-402D-8C2C-2426820BF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83392F0-E480-437C-8DB2-6ABA588B4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9E245D6-0B9D-4917-A8E3-465006011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591CC1-53B1-47B3-8FC2-A3725416B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5AA4D96-7B65-43C3-AC63-E76D2B048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F9C5417-00EE-4AD3-880D-BF886062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17087B4-F522-4876-B3C8-A5CD9BB38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E348CA2-0EC6-442C-9D64-DA4996301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9B9A94A-6131-4C92-A085-2122C2D4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C93A63-9BDC-4458-8E42-960420449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70917E-3A79-43F7-85F3-1E4647803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8CB7B3-DA48-4824-B26A-9C7B68F82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E1E3337-BA7A-484A-99B7-ED124DB2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C10A84-DE34-4ACE-B4A3-267D09911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46EE11E-3A3C-47A7-83BA-DF417E839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1905F6E-1452-4AAA-882E-2BE31A133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DE243BF-B94D-4A6A-9A0A-B658039C9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EB1A31-7321-4471-87E2-5E090F007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710F720-5452-4AB6-B002-2AEA0C7A2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43B0B64-794E-4B20-9CB9-8A6EB202C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ADAB09C-23CA-4C04-AB46-A31319B37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4A53256-65CD-4255-B0E6-31BD94F9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674ADDE-3C8C-4D7B-9BDA-F110F291D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EC63E83-2113-40F8-B59E-428D8BFEE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FEE5D0-2ECF-4AA1-98C5-B61699B84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1F37591-D50A-4C0B-B706-207182ED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E7FAD4D-CD44-4B50-8B58-DEA8E6BE0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728E0A-F912-4E1D-9EF8-5C5DE6F0F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90C420E-7DF7-435B-977A-D03F2FFD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59E44B5-74B6-49B9-B662-104D33E0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C4A2B78-D818-47C7-82BB-98CFEB272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36</xdr:row>
      <xdr:rowOff>0</xdr:rowOff>
    </xdr:from>
    <xdr:to>
      <xdr:col>12</xdr:col>
      <xdr:colOff>1199028</xdr:colOff>
      <xdr:row>49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1F8277-3EAC-48AC-B302-E5CB956BC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29</xdr:col>
      <xdr:colOff>457200</xdr:colOff>
      <xdr:row>49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18E413-50B0-499B-A336-93EE00578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9504C39-ACE9-4F27-9CB1-969C7CC8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36</xdr:row>
      <xdr:rowOff>0</xdr:rowOff>
    </xdr:from>
    <xdr:to>
      <xdr:col>12</xdr:col>
      <xdr:colOff>1199028</xdr:colOff>
      <xdr:row>49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51C8B62-80B9-4D85-8B0F-098C9BCD8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29</xdr:col>
      <xdr:colOff>457200</xdr:colOff>
      <xdr:row>49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39F4F77-5D04-4689-921C-0514B691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62D5E7E-E0CE-4899-AA3D-8848C2631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50</xdr:row>
      <xdr:rowOff>0</xdr:rowOff>
    </xdr:from>
    <xdr:to>
      <xdr:col>29</xdr:col>
      <xdr:colOff>476250</xdr:colOff>
      <xdr:row>58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47D8341-C6BF-4703-ADFD-9EF8532E2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0.90653</cdr:x>
      <cdr:y>0.06055</cdr:y>
    </cdr:from>
    <cdr:to>
      <cdr:x>0.95965</cdr:x>
      <cdr:y>0.29282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488114" y="81644"/>
          <a:ext cx="1259138" cy="313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4092F1-0E34-4249-970E-8D7106E50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8D3C9A9-EF0D-4297-9767-9470D87D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4E62E56-2014-41AC-8157-146C2A3DA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E8FF900-0F10-4FF3-9A77-B37A713D0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5223AB0-7116-4B2B-84E7-7F559D55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8110F8E-7149-4FD4-95B4-941F40665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32A1DA8-B239-4110-B14A-694A937D8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0.90653</cdr:x>
      <cdr:y>0.06055</cdr:y>
    </cdr:from>
    <cdr:to>
      <cdr:x>0.95965</cdr:x>
      <cdr:y>0.29282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488114" y="81644"/>
          <a:ext cx="1259138" cy="313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91951D-A6A1-48D2-91BC-6B1B48A6D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22CAC1-4756-480E-941E-9B148FC7E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2696DD2-0881-4326-8B04-7E9142ED0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B165E6A-C1A3-4D39-A324-3E7BA6DF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63103FE-F76E-4097-8FF4-4192BC235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14ED36D-5E89-4FB4-8B77-395C5D8EC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32C866C-AEF1-4B06-AE0F-86880FF0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0.90653</cdr:x>
      <cdr:y>0.06055</cdr:y>
    </cdr:from>
    <cdr:to>
      <cdr:x>0.95965</cdr:x>
      <cdr:y>0.29282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488114" y="81644"/>
          <a:ext cx="1259138" cy="313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35</xdr:row>
      <xdr:rowOff>0</xdr:rowOff>
    </xdr:from>
    <xdr:to>
      <xdr:col>12</xdr:col>
      <xdr:colOff>1199028</xdr:colOff>
      <xdr:row>48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B3251D-9EE1-433C-8D2A-96980624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29</xdr:col>
      <xdr:colOff>457200</xdr:colOff>
      <xdr:row>48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A8DBE96-4377-456B-9517-767CC0DEC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8AA14E9-9DF4-4814-A6FB-401D600A8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35</xdr:row>
      <xdr:rowOff>0</xdr:rowOff>
    </xdr:from>
    <xdr:to>
      <xdr:col>12</xdr:col>
      <xdr:colOff>1199028</xdr:colOff>
      <xdr:row>48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A9F573C-CA6E-4C6E-AB37-E1FC4989D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29</xdr:col>
      <xdr:colOff>457200</xdr:colOff>
      <xdr:row>48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9A2143B-ECFD-4B88-BC98-C4F992E7B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87E0385-7555-45D5-B7E9-A2F675EAC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49</xdr:row>
      <xdr:rowOff>0</xdr:rowOff>
    </xdr:from>
    <xdr:to>
      <xdr:col>29</xdr:col>
      <xdr:colOff>476250</xdr:colOff>
      <xdr:row>57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AEB3064-A150-4911-AB50-62774A759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0.90653</cdr:x>
      <cdr:y>0.06055</cdr:y>
    </cdr:from>
    <cdr:to>
      <cdr:x>0.95965</cdr:x>
      <cdr:y>0.29282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488114" y="81644"/>
          <a:ext cx="1259138" cy="313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7418A3-97F6-4A54-965D-5CED57C26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57F4C8-6BFE-4429-A5DD-9BB472A02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C5D3F72-7392-4890-8971-0C68F8205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0CE241-A541-4EC2-A5EA-4E94B42E8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4C3D9F1-C4A9-4D1B-BD7B-458129231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8130B05-30F4-4406-AED2-5FB0EBECD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0786ECF-8F31-45AD-BD82-E772009F8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0.90653</cdr:x>
      <cdr:y>0.06055</cdr:y>
    </cdr:from>
    <cdr:to>
      <cdr:x>0.95965</cdr:x>
      <cdr:y>0.29282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488114" y="81644"/>
          <a:ext cx="1259138" cy="313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9885F8F-FC10-49B9-B976-70310C985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77DB5F0-9846-407C-947C-82B784E4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05A5A63-0D3A-4F02-8918-950869D48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CB54A7-A479-4B5E-BFDA-855412D65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609AF07-8F78-4F27-81EA-503F59CB8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DF3C385-D74A-4EF6-9DE8-C6F89B8F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220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A575F3A-D320-4B68-9926-92878A688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0.90653</cdr:x>
      <cdr:y>0.06055</cdr:y>
    </cdr:from>
    <cdr:to>
      <cdr:x>0.95965</cdr:x>
      <cdr:y>0.29282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488114" y="81644"/>
          <a:ext cx="1259138" cy="313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104775</xdr:rowOff>
    </xdr:from>
    <xdr:to>
      <xdr:col>16</xdr:col>
      <xdr:colOff>66675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28</xdr:row>
      <xdr:rowOff>123825</xdr:rowOff>
    </xdr:from>
    <xdr:to>
      <xdr:col>32</xdr:col>
      <xdr:colOff>371474</xdr:colOff>
      <xdr:row>40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11A3B3-B91E-4C92-A739-BDE5AABA5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D119946-E448-4CB7-8957-F6CB97BF2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E541FD2-3DFD-45CE-876E-541D28F11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8AA1151-830A-4B04-A0D9-9C1D46568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DF67498-F8B6-427B-B27E-78182618F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D99FA35-A350-4201-8463-F73BAC9B2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2915ED-CB45-4A70-AE4C-121701811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613790-AC52-4CEF-8A80-70AE8C31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E57F29-DFEC-459A-8735-647CDA58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9CA09E4-F9AE-4714-845E-B4604B4C5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29A26C0-0FD8-4D7C-A03D-F07796E0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8E9F542-61E9-4A62-B4B3-98D9B0DDC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54A52EA-E567-4DE5-9CE1-799393116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A008D96-F9FB-4888-AF81-6B455EB0D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4A2384-0037-4E82-A7C2-2DE091F3F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FF8A71D-FB3A-45E5-8F4B-B78CDF3A6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85AE365-C6BB-4F84-BCAF-84460C660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4A026A0-DD16-451C-9EB2-C614C05E5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04E8996-B5D8-413A-9343-084F9D1F8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0ABC991-41C6-460F-8655-1116F932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6089818-F874-4293-92A4-8FEB895FA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A2C7-C37B-443F-BB7B-580ECE124C4A}">
  <sheetPr codeName="Sheet25">
    <pageSetUpPr fitToPage="1"/>
  </sheetPr>
  <dimension ref="A1:AF96"/>
  <sheetViews>
    <sheetView view="pageBreakPreview" topLeftCell="A13" zoomScale="70" zoomScaleNormal="72" zoomScaleSheetLayoutView="70" workbookViewId="0">
      <selection activeCell="A93" sqref="A93:B9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193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128" t="s">
        <v>17</v>
      </c>
      <c r="L5" s="128" t="s">
        <v>18</v>
      </c>
      <c r="M5" s="128" t="s">
        <v>19</v>
      </c>
      <c r="N5" s="12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115</v>
      </c>
      <c r="E6" s="53" t="s">
        <v>194</v>
      </c>
      <c r="F6" s="30" t="s">
        <v>150</v>
      </c>
      <c r="G6" s="12">
        <v>2</v>
      </c>
      <c r="H6" s="13">
        <v>24</v>
      </c>
      <c r="I6" s="31">
        <v>30000</v>
      </c>
      <c r="J6" s="14">
        <v>8904</v>
      </c>
      <c r="K6" s="15">
        <f>L6</f>
        <v>8904</v>
      </c>
      <c r="L6" s="15">
        <f>1619*2+2833*2</f>
        <v>8904</v>
      </c>
      <c r="M6" s="15">
        <f t="shared" ref="M6:M30" si="0">L6-N6</f>
        <v>8904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21</v>
      </c>
      <c r="Q6" s="40">
        <f t="shared" ref="Q6:Q30" si="3">SUM(R6:AA6)</f>
        <v>3</v>
      </c>
      <c r="R6" s="7"/>
      <c r="S6" s="6">
        <v>3</v>
      </c>
      <c r="T6" s="16"/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0.875</v>
      </c>
      <c r="AD6" s="10">
        <f>AC6*AB6*(1-O6)</f>
        <v>0.875</v>
      </c>
      <c r="AE6" s="36">
        <f t="shared" ref="AE6:AE30" si="6">$AD$31</f>
        <v>0.44793388429752062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151</v>
      </c>
      <c r="D7" s="52" t="s">
        <v>115</v>
      </c>
      <c r="E7" s="53" t="s">
        <v>158</v>
      </c>
      <c r="F7" s="30" t="s">
        <v>136</v>
      </c>
      <c r="G7" s="12">
        <v>1</v>
      </c>
      <c r="H7" s="13">
        <v>24</v>
      </c>
      <c r="I7" s="31">
        <v>100</v>
      </c>
      <c r="J7" s="14">
        <v>200</v>
      </c>
      <c r="K7" s="15">
        <f>L7</f>
        <v>0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>
        <v>24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ref="AD7:AD30" si="8">AC7*AB7*(1-O7)</f>
        <v>0</v>
      </c>
      <c r="AE7" s="36">
        <f t="shared" si="6"/>
        <v>0.44793388429752062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195</v>
      </c>
      <c r="F8" s="30" t="s">
        <v>152</v>
      </c>
      <c r="G8" s="12">
        <v>1</v>
      </c>
      <c r="H8" s="13">
        <v>35</v>
      </c>
      <c r="I8" s="31">
        <v>300</v>
      </c>
      <c r="J8" s="5">
        <v>835</v>
      </c>
      <c r="K8" s="15">
        <f>L8</f>
        <v>835</v>
      </c>
      <c r="L8" s="15">
        <f>425+410</f>
        <v>835</v>
      </c>
      <c r="M8" s="15">
        <f t="shared" si="0"/>
        <v>835</v>
      </c>
      <c r="N8" s="15">
        <v>0</v>
      </c>
      <c r="O8" s="58">
        <f t="shared" si="1"/>
        <v>0</v>
      </c>
      <c r="P8" s="39">
        <f t="shared" si="2"/>
        <v>15</v>
      </c>
      <c r="Q8" s="40">
        <f t="shared" si="3"/>
        <v>9</v>
      </c>
      <c r="R8" s="7"/>
      <c r="S8" s="6">
        <v>4</v>
      </c>
      <c r="T8" s="16"/>
      <c r="U8" s="16"/>
      <c r="V8" s="17"/>
      <c r="W8" s="5">
        <v>5</v>
      </c>
      <c r="X8" s="16"/>
      <c r="Y8" s="16"/>
      <c r="Z8" s="16"/>
      <c r="AA8" s="18"/>
      <c r="AB8" s="8">
        <f t="shared" si="4"/>
        <v>1</v>
      </c>
      <c r="AC8" s="9">
        <f t="shared" si="5"/>
        <v>0.625</v>
      </c>
      <c r="AD8" s="10">
        <f t="shared" si="8"/>
        <v>0.625</v>
      </c>
      <c r="AE8" s="36">
        <f t="shared" si="6"/>
        <v>0.44793388429752062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112</v>
      </c>
      <c r="D9" s="52" t="s">
        <v>115</v>
      </c>
      <c r="E9" s="53" t="s">
        <v>187</v>
      </c>
      <c r="F9" s="30" t="s">
        <v>196</v>
      </c>
      <c r="G9" s="12">
        <v>1</v>
      </c>
      <c r="H9" s="13">
        <v>24</v>
      </c>
      <c r="I9" s="7">
        <v>6000</v>
      </c>
      <c r="J9" s="14">
        <v>4988</v>
      </c>
      <c r="K9" s="15">
        <f>L9</f>
        <v>4988</v>
      </c>
      <c r="L9" s="15">
        <f>2276+2712</f>
        <v>4988</v>
      </c>
      <c r="M9" s="15">
        <f t="shared" si="0"/>
        <v>4988</v>
      </c>
      <c r="N9" s="15">
        <v>0</v>
      </c>
      <c r="O9" s="58">
        <f t="shared" si="1"/>
        <v>0</v>
      </c>
      <c r="P9" s="39">
        <f t="shared" si="2"/>
        <v>23</v>
      </c>
      <c r="Q9" s="40">
        <f t="shared" si="3"/>
        <v>1</v>
      </c>
      <c r="R9" s="7"/>
      <c r="S9" s="6"/>
      <c r="T9" s="16">
        <v>1</v>
      </c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0.95833333333333337</v>
      </c>
      <c r="AD9" s="10">
        <f t="shared" si="8"/>
        <v>0.95833333333333337</v>
      </c>
      <c r="AE9" s="36">
        <f t="shared" si="6"/>
        <v>0.44793388429752062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145</v>
      </c>
      <c r="F10" s="30" t="s">
        <v>123</v>
      </c>
      <c r="G10" s="33">
        <v>1</v>
      </c>
      <c r="H10" s="35">
        <v>24</v>
      </c>
      <c r="I10" s="7">
        <v>115000</v>
      </c>
      <c r="J10" s="14">
        <v>3392</v>
      </c>
      <c r="K10" s="15">
        <f>L10+5338+5669+5744+4980+3619+1932+309+2790+5660+4715+1739+3127+5884+1203+3638+5732+5658+5217+2430+1897+5596+5715+3707+799+2709+2266+5086+3381+4392+5682+5705+5451+2998+2865+4585+5706+4871</f>
        <v>152187</v>
      </c>
      <c r="L10" s="15">
        <f>2952+440</f>
        <v>3392</v>
      </c>
      <c r="M10" s="15">
        <f t="shared" si="0"/>
        <v>3392</v>
      </c>
      <c r="N10" s="15">
        <v>0</v>
      </c>
      <c r="O10" s="58">
        <f t="shared" si="1"/>
        <v>0</v>
      </c>
      <c r="P10" s="39">
        <f t="shared" si="2"/>
        <v>17</v>
      </c>
      <c r="Q10" s="40">
        <f t="shared" si="3"/>
        <v>7</v>
      </c>
      <c r="R10" s="7"/>
      <c r="S10" s="6">
        <v>7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0.70833333333333337</v>
      </c>
      <c r="AD10" s="10">
        <f t="shared" si="8"/>
        <v>0.70833333333333337</v>
      </c>
      <c r="AE10" s="36">
        <f t="shared" si="6"/>
        <v>0.44793388429752062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147</v>
      </c>
      <c r="E11" s="53" t="s">
        <v>188</v>
      </c>
      <c r="F11" s="30" t="s">
        <v>122</v>
      </c>
      <c r="G11" s="33">
        <v>1</v>
      </c>
      <c r="H11" s="35">
        <v>24</v>
      </c>
      <c r="I11" s="7">
        <v>350</v>
      </c>
      <c r="J11" s="14">
        <v>428</v>
      </c>
      <c r="K11" s="15">
        <f>L11</f>
        <v>428</v>
      </c>
      <c r="L11" s="15">
        <v>428</v>
      </c>
      <c r="M11" s="15">
        <f t="shared" si="0"/>
        <v>428</v>
      </c>
      <c r="N11" s="15">
        <v>0</v>
      </c>
      <c r="O11" s="58">
        <f t="shared" si="1"/>
        <v>0</v>
      </c>
      <c r="P11" s="39">
        <f t="shared" si="2"/>
        <v>4</v>
      </c>
      <c r="Q11" s="40">
        <f t="shared" si="3"/>
        <v>20</v>
      </c>
      <c r="R11" s="7"/>
      <c r="S11" s="6"/>
      <c r="T11" s="16"/>
      <c r="U11" s="16"/>
      <c r="V11" s="17"/>
      <c r="W11" s="5">
        <v>20</v>
      </c>
      <c r="X11" s="16"/>
      <c r="Y11" s="16"/>
      <c r="Z11" s="16"/>
      <c r="AA11" s="18"/>
      <c r="AB11" s="8">
        <f t="shared" si="4"/>
        <v>1</v>
      </c>
      <c r="AC11" s="9">
        <f t="shared" si="5"/>
        <v>0.16666666666666666</v>
      </c>
      <c r="AD11" s="10">
        <f t="shared" si="8"/>
        <v>0.16666666666666666</v>
      </c>
      <c r="AE11" s="36">
        <f t="shared" si="6"/>
        <v>0.44793388429752062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40000</v>
      </c>
      <c r="J12" s="5">
        <v>5031</v>
      </c>
      <c r="K12" s="15">
        <f>L12+2299+960+4314+5153+4996</f>
        <v>22753</v>
      </c>
      <c r="L12" s="15">
        <f>2349+2682</f>
        <v>5031</v>
      </c>
      <c r="M12" s="15">
        <f t="shared" si="0"/>
        <v>5031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0.44793388429752062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126</v>
      </c>
      <c r="D13" s="52" t="s">
        <v>169</v>
      </c>
      <c r="E13" s="53" t="s">
        <v>168</v>
      </c>
      <c r="F13" s="30" t="s">
        <v>167</v>
      </c>
      <c r="G13" s="33" t="s">
        <v>170</v>
      </c>
      <c r="H13" s="35">
        <v>22</v>
      </c>
      <c r="I13" s="7">
        <v>2000</v>
      </c>
      <c r="J13" s="14">
        <v>1084</v>
      </c>
      <c r="K13" s="15">
        <f>L13</f>
        <v>1084</v>
      </c>
      <c r="L13" s="15">
        <f>1084</f>
        <v>1084</v>
      </c>
      <c r="M13" s="15">
        <f t="shared" si="0"/>
        <v>1084</v>
      </c>
      <c r="N13" s="15">
        <v>0</v>
      </c>
      <c r="O13" s="58">
        <f t="shared" si="1"/>
        <v>0</v>
      </c>
      <c r="P13" s="39">
        <f t="shared" si="2"/>
        <v>10</v>
      </c>
      <c r="Q13" s="40">
        <f t="shared" si="3"/>
        <v>14</v>
      </c>
      <c r="R13" s="7"/>
      <c r="S13" s="6">
        <v>14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0.41666666666666669</v>
      </c>
      <c r="AD13" s="10">
        <f t="shared" si="8"/>
        <v>0.41666666666666669</v>
      </c>
      <c r="AE13" s="36">
        <f t="shared" si="6"/>
        <v>0.44793388429752062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121</v>
      </c>
      <c r="E14" s="53" t="s">
        <v>174</v>
      </c>
      <c r="F14" s="30" t="s">
        <v>175</v>
      </c>
      <c r="G14" s="33">
        <v>1</v>
      </c>
      <c r="H14" s="35">
        <v>50</v>
      </c>
      <c r="I14" s="7">
        <v>200</v>
      </c>
      <c r="J14" s="5">
        <v>211</v>
      </c>
      <c r="K14" s="15">
        <f>L14+211</f>
        <v>211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0.44793388429752062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137</v>
      </c>
      <c r="E15" s="53" t="s">
        <v>177</v>
      </c>
      <c r="F15" s="30" t="s">
        <v>138</v>
      </c>
      <c r="G15" s="12">
        <v>2</v>
      </c>
      <c r="H15" s="13">
        <v>24</v>
      </c>
      <c r="I15" s="31">
        <f>74000+25000+40000</f>
        <v>139000</v>
      </c>
      <c r="J15" s="14">
        <v>11258</v>
      </c>
      <c r="K15" s="15">
        <f>L15+8206+11870+12258+12474+11882+10946+12064+12086+11982+11968</f>
        <v>126994</v>
      </c>
      <c r="L15" s="15">
        <f>3089*2+2540*2</f>
        <v>11258</v>
      </c>
      <c r="M15" s="15">
        <f t="shared" si="0"/>
        <v>11258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0.44793388429752062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112</v>
      </c>
      <c r="D16" s="52" t="s">
        <v>149</v>
      </c>
      <c r="E16" s="53" t="s">
        <v>164</v>
      </c>
      <c r="F16" s="30" t="s">
        <v>165</v>
      </c>
      <c r="G16" s="12">
        <v>2</v>
      </c>
      <c r="H16" s="13">
        <v>22</v>
      </c>
      <c r="I16" s="31">
        <f>72000+40000</f>
        <v>112000</v>
      </c>
      <c r="J16" s="5">
        <v>8950</v>
      </c>
      <c r="K16" s="15">
        <f>L16+4453+8440+10782+9098+8530+6582+6076+10824+10810+10874+10764</f>
        <v>106183</v>
      </c>
      <c r="L16" s="15">
        <f>2136*2+2339*2</f>
        <v>8950</v>
      </c>
      <c r="M16" s="15">
        <f t="shared" si="0"/>
        <v>8950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0.44793388429752062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126</v>
      </c>
      <c r="D17" s="52" t="s">
        <v>197</v>
      </c>
      <c r="E17" s="53" t="s">
        <v>176</v>
      </c>
      <c r="F17" s="30" t="s">
        <v>183</v>
      </c>
      <c r="G17" s="12">
        <v>4</v>
      </c>
      <c r="H17" s="13">
        <v>24</v>
      </c>
      <c r="I17" s="7">
        <v>20000</v>
      </c>
      <c r="J17" s="14">
        <v>14416</v>
      </c>
      <c r="K17" s="15">
        <f>L17</f>
        <v>14416</v>
      </c>
      <c r="L17" s="15">
        <f>2241*4+2726*2</f>
        <v>14416</v>
      </c>
      <c r="M17" s="15">
        <f t="shared" si="0"/>
        <v>14416</v>
      </c>
      <c r="N17" s="15">
        <v>0</v>
      </c>
      <c r="O17" s="58">
        <f t="shared" si="1"/>
        <v>0</v>
      </c>
      <c r="P17" s="39">
        <f t="shared" si="2"/>
        <v>22</v>
      </c>
      <c r="Q17" s="40">
        <f t="shared" si="3"/>
        <v>2</v>
      </c>
      <c r="R17" s="7"/>
      <c r="S17" s="6"/>
      <c r="T17" s="16">
        <v>2</v>
      </c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0.91666666666666663</v>
      </c>
      <c r="AD17" s="10">
        <f t="shared" si="8"/>
        <v>0.91666666666666663</v>
      </c>
      <c r="AE17" s="36">
        <f t="shared" si="6"/>
        <v>0.44793388429752062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112</v>
      </c>
      <c r="D18" s="52" t="s">
        <v>198</v>
      </c>
      <c r="E18" s="53" t="s">
        <v>189</v>
      </c>
      <c r="F18" s="30" t="s">
        <v>148</v>
      </c>
      <c r="G18" s="12">
        <v>1</v>
      </c>
      <c r="H18" s="13">
        <v>22</v>
      </c>
      <c r="I18" s="31">
        <v>8000</v>
      </c>
      <c r="J18" s="5">
        <v>5152</v>
      </c>
      <c r="K18" s="15">
        <f>L18</f>
        <v>5152</v>
      </c>
      <c r="L18" s="15">
        <f>2377+2775</f>
        <v>5152</v>
      </c>
      <c r="M18" s="15">
        <f t="shared" si="0"/>
        <v>5152</v>
      </c>
      <c r="N18" s="15">
        <v>0</v>
      </c>
      <c r="O18" s="58">
        <f t="shared" si="1"/>
        <v>0</v>
      </c>
      <c r="P18" s="39">
        <f t="shared" si="2"/>
        <v>23</v>
      </c>
      <c r="Q18" s="40">
        <f t="shared" si="3"/>
        <v>1</v>
      </c>
      <c r="R18" s="7"/>
      <c r="S18" s="6"/>
      <c r="T18" s="16">
        <v>1</v>
      </c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0.95833333333333337</v>
      </c>
      <c r="AD18" s="10">
        <f t="shared" si="8"/>
        <v>0.95833333333333337</v>
      </c>
      <c r="AE18" s="36">
        <f t="shared" si="6"/>
        <v>0.44793388429752062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112</v>
      </c>
      <c r="D19" s="52" t="s">
        <v>149</v>
      </c>
      <c r="E19" s="53" t="s">
        <v>190</v>
      </c>
      <c r="F19" s="30" t="s">
        <v>123</v>
      </c>
      <c r="G19" s="33">
        <v>1</v>
      </c>
      <c r="H19" s="35">
        <v>24</v>
      </c>
      <c r="I19" s="7">
        <v>350</v>
      </c>
      <c r="J19" s="14">
        <v>363</v>
      </c>
      <c r="K19" s="15">
        <f>L19</f>
        <v>363</v>
      </c>
      <c r="L19" s="15">
        <v>363</v>
      </c>
      <c r="M19" s="15">
        <f t="shared" ref="M19" si="9">L19-N19</f>
        <v>363</v>
      </c>
      <c r="N19" s="15">
        <v>0</v>
      </c>
      <c r="O19" s="58">
        <f t="shared" ref="O19" si="10">IF(L19=0,"0",N19/L19)</f>
        <v>0</v>
      </c>
      <c r="P19" s="39">
        <f t="shared" ref="P19" si="11">IF(L19=0,"0",(24-Q19))</f>
        <v>4</v>
      </c>
      <c r="Q19" s="40">
        <f t="shared" ref="Q19" si="12">SUM(R19:AA19)</f>
        <v>20</v>
      </c>
      <c r="R19" s="7"/>
      <c r="S19" s="6"/>
      <c r="T19" s="16"/>
      <c r="U19" s="16"/>
      <c r="V19" s="17"/>
      <c r="W19" s="5">
        <v>20</v>
      </c>
      <c r="X19" s="16"/>
      <c r="Y19" s="16"/>
      <c r="Z19" s="16"/>
      <c r="AA19" s="18"/>
      <c r="AB19" s="8">
        <f t="shared" ref="AB19" si="13">IF(J19=0,"0",(L19/J19))</f>
        <v>1</v>
      </c>
      <c r="AC19" s="9">
        <f t="shared" ref="AC19" si="14">IF(P19=0,"0",(P19/24))</f>
        <v>0.16666666666666666</v>
      </c>
      <c r="AD19" s="10">
        <f t="shared" ref="AD19" si="15">AC19*AB19*(1-O19)</f>
        <v>0.16666666666666666</v>
      </c>
      <c r="AE19" s="36">
        <f t="shared" si="6"/>
        <v>0.44793388429752062</v>
      </c>
      <c r="AF19" s="81">
        <f t="shared" ref="AF19" si="16">A19</f>
        <v>14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115</v>
      </c>
      <c r="E20" s="53" t="s">
        <v>199</v>
      </c>
      <c r="F20" s="30" t="s">
        <v>122</v>
      </c>
      <c r="G20" s="33">
        <v>1</v>
      </c>
      <c r="H20" s="35">
        <v>24</v>
      </c>
      <c r="I20" s="7">
        <v>350</v>
      </c>
      <c r="J20" s="14">
        <v>363</v>
      </c>
      <c r="K20" s="15">
        <f>L20</f>
        <v>432</v>
      </c>
      <c r="L20" s="15">
        <v>432</v>
      </c>
      <c r="M20" s="15">
        <f t="shared" si="0"/>
        <v>432</v>
      </c>
      <c r="N20" s="15">
        <v>0</v>
      </c>
      <c r="O20" s="58">
        <f t="shared" si="1"/>
        <v>0</v>
      </c>
      <c r="P20" s="39">
        <f t="shared" si="2"/>
        <v>4</v>
      </c>
      <c r="Q20" s="40">
        <f t="shared" si="3"/>
        <v>20</v>
      </c>
      <c r="R20" s="7"/>
      <c r="S20" s="6"/>
      <c r="T20" s="16"/>
      <c r="U20" s="16"/>
      <c r="V20" s="17"/>
      <c r="W20" s="5">
        <v>20</v>
      </c>
      <c r="X20" s="16"/>
      <c r="Y20" s="16"/>
      <c r="Z20" s="16"/>
      <c r="AA20" s="18"/>
      <c r="AB20" s="8">
        <f t="shared" si="4"/>
        <v>1.1900826446280992</v>
      </c>
      <c r="AC20" s="9">
        <f t="shared" si="5"/>
        <v>0.16666666666666666</v>
      </c>
      <c r="AD20" s="10">
        <f t="shared" si="8"/>
        <v>0.19834710743801653</v>
      </c>
      <c r="AE20" s="36">
        <f t="shared" si="6"/>
        <v>0.44793388429752062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140</v>
      </c>
      <c r="F21" s="30" t="s">
        <v>135</v>
      </c>
      <c r="G21" s="33">
        <v>1</v>
      </c>
      <c r="H21" s="35">
        <v>24</v>
      </c>
      <c r="I21" s="7">
        <v>70000</v>
      </c>
      <c r="J21" s="14">
        <v>8040</v>
      </c>
      <c r="K21" s="15">
        <f>L21+3150+7466+4534+7764+11032+11156+11220+10030+4886+5156+5465+5493+1986</f>
        <v>97378</v>
      </c>
      <c r="L21" s="15">
        <f>2833*2+1187*2</f>
        <v>8040</v>
      </c>
      <c r="M21" s="15">
        <f t="shared" si="0"/>
        <v>8040</v>
      </c>
      <c r="N21" s="15">
        <v>0</v>
      </c>
      <c r="O21" s="58">
        <f t="shared" si="1"/>
        <v>0</v>
      </c>
      <c r="P21" s="39">
        <f t="shared" si="2"/>
        <v>18</v>
      </c>
      <c r="Q21" s="40">
        <f t="shared" si="3"/>
        <v>6</v>
      </c>
      <c r="R21" s="7"/>
      <c r="S21" s="6">
        <v>6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0.75</v>
      </c>
      <c r="AD21" s="10">
        <f t="shared" si="8"/>
        <v>0.75</v>
      </c>
      <c r="AE21" s="36">
        <f t="shared" si="6"/>
        <v>0.44793388429752062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192</v>
      </c>
      <c r="F22" s="12" t="s">
        <v>114</v>
      </c>
      <c r="G22" s="12">
        <v>4</v>
      </c>
      <c r="H22" s="35">
        <v>20</v>
      </c>
      <c r="I22" s="7">
        <v>100000</v>
      </c>
      <c r="J22" s="14">
        <v>50936</v>
      </c>
      <c r="K22" s="15">
        <f>L22</f>
        <v>50936</v>
      </c>
      <c r="L22" s="15">
        <f>4429*4+8305*4</f>
        <v>50936</v>
      </c>
      <c r="M22" s="15">
        <f t="shared" si="0"/>
        <v>50936</v>
      </c>
      <c r="N22" s="15">
        <v>0</v>
      </c>
      <c r="O22" s="58">
        <f t="shared" si="1"/>
        <v>0</v>
      </c>
      <c r="P22" s="39">
        <f t="shared" si="2"/>
        <v>22</v>
      </c>
      <c r="Q22" s="40">
        <f t="shared" si="3"/>
        <v>2</v>
      </c>
      <c r="R22" s="7"/>
      <c r="S22" s="6"/>
      <c r="T22" s="16">
        <v>2</v>
      </c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0.91666666666666663</v>
      </c>
      <c r="AD22" s="10">
        <f t="shared" si="8"/>
        <v>0.91666666666666663</v>
      </c>
      <c r="AE22" s="36">
        <f t="shared" si="6"/>
        <v>0.44793388429752062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0.44793388429752062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179</v>
      </c>
      <c r="F24" s="12" t="s">
        <v>180</v>
      </c>
      <c r="G24" s="12">
        <v>4</v>
      </c>
      <c r="H24" s="35">
        <v>15</v>
      </c>
      <c r="I24" s="7">
        <v>6000</v>
      </c>
      <c r="J24" s="14">
        <v>7513</v>
      </c>
      <c r="K24" s="15">
        <f>L24+2732+12588+7513</f>
        <v>22833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0.44793388429752062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0.44793388429752062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32</v>
      </c>
      <c r="H26" s="35">
        <v>20</v>
      </c>
      <c r="I26" s="7">
        <v>1000000</v>
      </c>
      <c r="J26" s="14">
        <v>155736</v>
      </c>
      <c r="K26" s="15">
        <f>L26+75400+283575+206080</f>
        <v>720791</v>
      </c>
      <c r="L26" s="15">
        <f>5562*28</f>
        <v>155736</v>
      </c>
      <c r="M26" s="15">
        <f t="shared" si="0"/>
        <v>155736</v>
      </c>
      <c r="N26" s="15">
        <v>0</v>
      </c>
      <c r="O26" s="58">
        <f t="shared" si="1"/>
        <v>0</v>
      </c>
      <c r="P26" s="39">
        <f t="shared" si="2"/>
        <v>13</v>
      </c>
      <c r="Q26" s="40">
        <f t="shared" si="3"/>
        <v>11</v>
      </c>
      <c r="R26" s="7"/>
      <c r="S26" s="6"/>
      <c r="T26" s="16"/>
      <c r="U26" s="16"/>
      <c r="V26" s="17">
        <v>11</v>
      </c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0.54166666666666663</v>
      </c>
      <c r="AD26" s="10">
        <f t="shared" si="8"/>
        <v>0.54166666666666663</v>
      </c>
      <c r="AE26" s="36">
        <f t="shared" si="6"/>
        <v>0.44793388429752062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121</v>
      </c>
      <c r="E27" s="53" t="s">
        <v>184</v>
      </c>
      <c r="F27" s="12" t="s">
        <v>135</v>
      </c>
      <c r="G27" s="12">
        <v>3</v>
      </c>
      <c r="H27" s="35">
        <v>20</v>
      </c>
      <c r="I27" s="7">
        <v>4000</v>
      </c>
      <c r="J27" s="14">
        <v>13428</v>
      </c>
      <c r="K27" s="15">
        <f>L27+3951+13428</f>
        <v>17379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0.44793388429752062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115</v>
      </c>
      <c r="E28" s="53" t="s">
        <v>185</v>
      </c>
      <c r="F28" s="12" t="s">
        <v>124</v>
      </c>
      <c r="G28" s="12">
        <v>4</v>
      </c>
      <c r="H28" s="35">
        <v>20</v>
      </c>
      <c r="I28" s="7">
        <v>4000</v>
      </c>
      <c r="J28" s="14">
        <v>8984</v>
      </c>
      <c r="K28" s="15">
        <f>L28+8984</f>
        <v>8984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0.44793388429752062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125</v>
      </c>
      <c r="F29" s="12" t="s">
        <v>124</v>
      </c>
      <c r="G29" s="12">
        <v>4</v>
      </c>
      <c r="H29" s="35">
        <v>20</v>
      </c>
      <c r="I29" s="7">
        <v>50000</v>
      </c>
      <c r="J29" s="14">
        <v>26944</v>
      </c>
      <c r="K29" s="15">
        <f>L29+24592+26944+21716</f>
        <v>73252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0.44793388429752062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0.44793388429752062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17">SUM(I6:I30)</f>
        <v>2777650</v>
      </c>
      <c r="J31" s="19">
        <f t="shared" si="17"/>
        <v>438784</v>
      </c>
      <c r="K31" s="20">
        <f t="shared" si="17"/>
        <v>2145027</v>
      </c>
      <c r="L31" s="21">
        <f t="shared" si="17"/>
        <v>279945</v>
      </c>
      <c r="M31" s="20">
        <f t="shared" si="17"/>
        <v>279945</v>
      </c>
      <c r="N31" s="21">
        <f t="shared" si="17"/>
        <v>0</v>
      </c>
      <c r="O31" s="41">
        <f t="shared" si="1"/>
        <v>0</v>
      </c>
      <c r="P31" s="42">
        <f t="shared" ref="P31:AA31" si="18">SUM(P6:P30)</f>
        <v>268</v>
      </c>
      <c r="Q31" s="43">
        <f t="shared" si="18"/>
        <v>332</v>
      </c>
      <c r="R31" s="23">
        <f t="shared" si="18"/>
        <v>0</v>
      </c>
      <c r="S31" s="24">
        <f t="shared" si="18"/>
        <v>58</v>
      </c>
      <c r="T31" s="24">
        <f t="shared" si="18"/>
        <v>6</v>
      </c>
      <c r="U31" s="24">
        <f t="shared" si="18"/>
        <v>0</v>
      </c>
      <c r="V31" s="25">
        <f t="shared" si="18"/>
        <v>59</v>
      </c>
      <c r="W31" s="26">
        <f t="shared" si="18"/>
        <v>209</v>
      </c>
      <c r="X31" s="27">
        <f t="shared" si="18"/>
        <v>0</v>
      </c>
      <c r="Y31" s="27">
        <f t="shared" si="18"/>
        <v>0</v>
      </c>
      <c r="Z31" s="27">
        <f t="shared" si="18"/>
        <v>0</v>
      </c>
      <c r="AA31" s="27">
        <f t="shared" si="18"/>
        <v>0</v>
      </c>
      <c r="AB31" s="28">
        <f>AVERAGE(AB6:AB30)</f>
        <v>0.67458677685950408</v>
      </c>
      <c r="AC31" s="4">
        <f>AVERAGE(AC6:AC30)</f>
        <v>0.44666666666666666</v>
      </c>
      <c r="AD31" s="4">
        <f>AVERAGE(AD6:AD30)</f>
        <v>0.44793388429752062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155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156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127" t="s">
        <v>46</v>
      </c>
      <c r="D60" s="127" t="s">
        <v>47</v>
      </c>
      <c r="E60" s="127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127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126</v>
      </c>
      <c r="B61" s="431"/>
      <c r="C61" s="122" t="s">
        <v>139</v>
      </c>
      <c r="D61" s="122" t="s">
        <v>115</v>
      </c>
      <c r="E61" s="123" t="s">
        <v>194</v>
      </c>
      <c r="F61" s="432" t="s">
        <v>200</v>
      </c>
      <c r="G61" s="433"/>
      <c r="H61" s="433"/>
      <c r="I61" s="433"/>
      <c r="J61" s="433"/>
      <c r="K61" s="433"/>
      <c r="L61" s="433"/>
      <c r="M61" s="434"/>
      <c r="N61" s="126" t="s">
        <v>151</v>
      </c>
      <c r="O61" s="120" t="s">
        <v>160</v>
      </c>
      <c r="P61" s="447" t="s">
        <v>115</v>
      </c>
      <c r="Q61" s="448"/>
      <c r="R61" s="447" t="s">
        <v>158</v>
      </c>
      <c r="S61" s="449"/>
      <c r="T61" s="449"/>
      <c r="U61" s="448"/>
      <c r="V61" s="436" t="s">
        <v>141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151</v>
      </c>
      <c r="B62" s="431"/>
      <c r="C62" s="122" t="s">
        <v>160</v>
      </c>
      <c r="D62" s="122" t="s">
        <v>115</v>
      </c>
      <c r="E62" s="123" t="s">
        <v>158</v>
      </c>
      <c r="F62" s="432" t="s">
        <v>153</v>
      </c>
      <c r="G62" s="433"/>
      <c r="H62" s="433"/>
      <c r="I62" s="433"/>
      <c r="J62" s="433"/>
      <c r="K62" s="433"/>
      <c r="L62" s="433"/>
      <c r="M62" s="434"/>
      <c r="N62" s="126" t="s">
        <v>211</v>
      </c>
      <c r="O62" s="120" t="s">
        <v>212</v>
      </c>
      <c r="P62" s="447" t="s">
        <v>213</v>
      </c>
      <c r="Q62" s="448"/>
      <c r="R62" s="447" t="s">
        <v>210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112</v>
      </c>
      <c r="B63" s="431"/>
      <c r="C63" s="129" t="s">
        <v>146</v>
      </c>
      <c r="D63" s="129" t="s">
        <v>115</v>
      </c>
      <c r="E63" s="130" t="s">
        <v>201</v>
      </c>
      <c r="F63" s="432" t="s">
        <v>202</v>
      </c>
      <c r="G63" s="433"/>
      <c r="H63" s="433"/>
      <c r="I63" s="433"/>
      <c r="J63" s="433"/>
      <c r="K63" s="433"/>
      <c r="L63" s="433"/>
      <c r="M63" s="434"/>
      <c r="N63" s="126" t="s">
        <v>126</v>
      </c>
      <c r="O63" s="120" t="s">
        <v>215</v>
      </c>
      <c r="P63" s="447" t="s">
        <v>216</v>
      </c>
      <c r="Q63" s="448"/>
      <c r="R63" s="447" t="s">
        <v>214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112</v>
      </c>
      <c r="B64" s="431"/>
      <c r="C64" s="129" t="s">
        <v>142</v>
      </c>
      <c r="D64" s="129" t="s">
        <v>115</v>
      </c>
      <c r="E64" s="130" t="s">
        <v>187</v>
      </c>
      <c r="F64" s="432" t="s">
        <v>154</v>
      </c>
      <c r="G64" s="433"/>
      <c r="H64" s="433"/>
      <c r="I64" s="433"/>
      <c r="J64" s="433"/>
      <c r="K64" s="433"/>
      <c r="L64" s="433"/>
      <c r="M64" s="434"/>
      <c r="N64" s="126" t="s">
        <v>218</v>
      </c>
      <c r="O64" s="120" t="s">
        <v>219</v>
      </c>
      <c r="P64" s="447" t="s">
        <v>220</v>
      </c>
      <c r="Q64" s="448"/>
      <c r="R64" s="447" t="s">
        <v>217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112</v>
      </c>
      <c r="B65" s="431"/>
      <c r="C65" s="122" t="s">
        <v>166</v>
      </c>
      <c r="D65" s="122" t="s">
        <v>147</v>
      </c>
      <c r="E65" s="123" t="s">
        <v>188</v>
      </c>
      <c r="F65" s="432" t="s">
        <v>154</v>
      </c>
      <c r="G65" s="433"/>
      <c r="H65" s="433"/>
      <c r="I65" s="433"/>
      <c r="J65" s="433"/>
      <c r="K65" s="433"/>
      <c r="L65" s="433"/>
      <c r="M65" s="434"/>
      <c r="N65" s="126" t="s">
        <v>211</v>
      </c>
      <c r="O65" s="120" t="s">
        <v>208</v>
      </c>
      <c r="P65" s="447" t="s">
        <v>197</v>
      </c>
      <c r="Q65" s="448"/>
      <c r="R65" s="447" t="s">
        <v>221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112</v>
      </c>
      <c r="B66" s="431"/>
      <c r="C66" s="122" t="s">
        <v>191</v>
      </c>
      <c r="D66" s="122" t="s">
        <v>186</v>
      </c>
      <c r="E66" s="123" t="s">
        <v>140</v>
      </c>
      <c r="F66" s="432" t="s">
        <v>141</v>
      </c>
      <c r="G66" s="433"/>
      <c r="H66" s="433"/>
      <c r="I66" s="433"/>
      <c r="J66" s="433"/>
      <c r="K66" s="433"/>
      <c r="L66" s="433"/>
      <c r="M66" s="434"/>
      <c r="N66" s="126"/>
      <c r="O66" s="120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126</v>
      </c>
      <c r="B67" s="431"/>
      <c r="C67" s="122" t="s">
        <v>204</v>
      </c>
      <c r="D67" s="122" t="s">
        <v>197</v>
      </c>
      <c r="E67" s="123" t="s">
        <v>203</v>
      </c>
      <c r="F67" s="432" t="s">
        <v>154</v>
      </c>
      <c r="G67" s="433"/>
      <c r="H67" s="433"/>
      <c r="I67" s="433"/>
      <c r="J67" s="433"/>
      <c r="K67" s="433"/>
      <c r="L67" s="433"/>
      <c r="M67" s="434"/>
      <c r="N67" s="126"/>
      <c r="O67" s="120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112</v>
      </c>
      <c r="B68" s="431"/>
      <c r="C68" s="122" t="s">
        <v>205</v>
      </c>
      <c r="D68" s="122" t="s">
        <v>115</v>
      </c>
      <c r="E68" s="123" t="s">
        <v>206</v>
      </c>
      <c r="F68" s="432" t="s">
        <v>154</v>
      </c>
      <c r="G68" s="433"/>
      <c r="H68" s="433"/>
      <c r="I68" s="433"/>
      <c r="J68" s="433"/>
      <c r="K68" s="433"/>
      <c r="L68" s="433"/>
      <c r="M68" s="434"/>
      <c r="N68" s="126"/>
      <c r="O68" s="120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 t="s">
        <v>112</v>
      </c>
      <c r="B69" s="431"/>
      <c r="C69" s="122" t="s">
        <v>208</v>
      </c>
      <c r="D69" s="122" t="s">
        <v>209</v>
      </c>
      <c r="E69" s="123" t="s">
        <v>207</v>
      </c>
      <c r="F69" s="432" t="s">
        <v>154</v>
      </c>
      <c r="G69" s="433"/>
      <c r="H69" s="433"/>
      <c r="I69" s="433"/>
      <c r="J69" s="433"/>
      <c r="K69" s="433"/>
      <c r="L69" s="433"/>
      <c r="M69" s="434"/>
      <c r="N69" s="126"/>
      <c r="O69" s="120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124"/>
      <c r="D70" s="125"/>
      <c r="E70" s="124"/>
      <c r="F70" s="441"/>
      <c r="G70" s="442"/>
      <c r="H70" s="442"/>
      <c r="I70" s="442"/>
      <c r="J70" s="442"/>
      <c r="K70" s="442"/>
      <c r="L70" s="442"/>
      <c r="M70" s="443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157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121" t="s">
        <v>2</v>
      </c>
      <c r="D72" s="121" t="s">
        <v>37</v>
      </c>
      <c r="E72" s="121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121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/>
      <c r="D73" s="116"/>
      <c r="E73" s="119"/>
      <c r="F73" s="416"/>
      <c r="G73" s="406"/>
      <c r="H73" s="406"/>
      <c r="I73" s="406"/>
      <c r="J73" s="406"/>
      <c r="K73" s="406"/>
      <c r="L73" s="406"/>
      <c r="M73" s="51"/>
      <c r="N73" s="417"/>
      <c r="O73" s="417"/>
      <c r="P73" s="418"/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/>
      <c r="D74" s="116"/>
      <c r="E74" s="119"/>
      <c r="F74" s="420"/>
      <c r="G74" s="421"/>
      <c r="H74" s="421"/>
      <c r="I74" s="421"/>
      <c r="J74" s="422"/>
      <c r="K74" s="406"/>
      <c r="L74" s="406"/>
      <c r="M74" s="51"/>
      <c r="N74" s="417"/>
      <c r="O74" s="417"/>
      <c r="P74" s="418"/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/>
      <c r="D75" s="116"/>
      <c r="E75" s="119"/>
      <c r="F75" s="416"/>
      <c r="G75" s="406"/>
      <c r="H75" s="406"/>
      <c r="I75" s="406"/>
      <c r="J75" s="406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/>
      <c r="D76" s="116"/>
      <c r="E76" s="119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/>
      <c r="D77" s="116"/>
      <c r="E77" s="119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116"/>
      <c r="E78" s="119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116"/>
      <c r="E79" s="119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116"/>
      <c r="E80" s="119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116"/>
      <c r="E81" s="119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116"/>
      <c r="E82" s="119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161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118" t="s">
        <v>2</v>
      </c>
      <c r="D84" s="118" t="s">
        <v>37</v>
      </c>
      <c r="E84" s="118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117"/>
      <c r="D85" s="117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116"/>
      <c r="D86" s="116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9">A86+1</f>
        <v>3</v>
      </c>
      <c r="B87" s="374"/>
      <c r="C87" s="116"/>
      <c r="D87" s="116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9"/>
        <v>4</v>
      </c>
      <c r="B88" s="374"/>
      <c r="C88" s="116"/>
      <c r="D88" s="116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5</v>
      </c>
      <c r="B89" s="374"/>
      <c r="C89" s="116"/>
      <c r="D89" s="116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6</v>
      </c>
      <c r="B90" s="374"/>
      <c r="C90" s="116"/>
      <c r="D90" s="116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7</v>
      </c>
      <c r="B91" s="374"/>
      <c r="C91" s="116"/>
      <c r="D91" s="116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162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4E23-BBDE-4A58-A3F8-0AF8F975FC9D}">
  <sheetPr codeName="Sheet10">
    <pageSetUpPr fitToPage="1"/>
  </sheetPr>
  <dimension ref="A1:AF95"/>
  <sheetViews>
    <sheetView view="pageBreakPreview" zoomScale="70" zoomScaleNormal="72" zoomScaleSheetLayoutView="70" workbookViewId="0">
      <selection activeCell="A92" sqref="A92:B9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509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227" t="s">
        <v>17</v>
      </c>
      <c r="L5" s="227" t="s">
        <v>18</v>
      </c>
      <c r="M5" s="227" t="s">
        <v>19</v>
      </c>
      <c r="N5" s="22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197</v>
      </c>
      <c r="E6" s="53" t="s">
        <v>397</v>
      </c>
      <c r="F6" s="30" t="s">
        <v>150</v>
      </c>
      <c r="G6" s="12">
        <v>2</v>
      </c>
      <c r="H6" s="13">
        <v>24</v>
      </c>
      <c r="I6" s="31">
        <v>5500</v>
      </c>
      <c r="J6" s="14">
        <v>9700</v>
      </c>
      <c r="K6" s="15">
        <f>L6+9700</f>
        <v>9700</v>
      </c>
      <c r="L6" s="15"/>
      <c r="M6" s="15">
        <f t="shared" ref="M6:M29" si="0">L6-N6</f>
        <v>0</v>
      </c>
      <c r="N6" s="15">
        <v>0</v>
      </c>
      <c r="O6" s="58" t="str">
        <f t="shared" ref="O6:O30" si="1">IF(L6=0,"0",N6/L6)</f>
        <v>0</v>
      </c>
      <c r="P6" s="39" t="str">
        <f t="shared" ref="P6:P29" si="2">IF(L6=0,"0",(24-Q6))</f>
        <v>0</v>
      </c>
      <c r="Q6" s="40">
        <f t="shared" ref="Q6:Q29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9" si="4">IF(J6=0,"0",(L6/J6))</f>
        <v>0</v>
      </c>
      <c r="AC6" s="9">
        <f t="shared" ref="AC6:AC29" si="5">IF(P6=0,"0",(P6/24))</f>
        <v>0</v>
      </c>
      <c r="AD6" s="10">
        <f>AC6*AB6*(1-O6)</f>
        <v>0</v>
      </c>
      <c r="AE6" s="36">
        <f t="shared" ref="AE6:AE29" si="6">$AD$30</f>
        <v>0.47916666666666669</v>
      </c>
      <c r="AF6" s="81">
        <f t="shared" ref="AF6:AF29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115</v>
      </c>
      <c r="E7" s="53" t="s">
        <v>463</v>
      </c>
      <c r="F7" s="30" t="s">
        <v>136</v>
      </c>
      <c r="G7" s="12">
        <v>1</v>
      </c>
      <c r="H7" s="13">
        <v>24</v>
      </c>
      <c r="I7" s="31">
        <v>100</v>
      </c>
      <c r="J7" s="14">
        <v>221</v>
      </c>
      <c r="K7" s="15">
        <f>L7+221</f>
        <v>221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ref="AD7:AD29" si="8">AC7*AB7*(1-O7)</f>
        <v>0</v>
      </c>
      <c r="AE7" s="36">
        <f t="shared" si="6"/>
        <v>0.47916666666666669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392</v>
      </c>
      <c r="F8" s="30" t="s">
        <v>152</v>
      </c>
      <c r="G8" s="12">
        <v>1</v>
      </c>
      <c r="H8" s="13">
        <v>35</v>
      </c>
      <c r="I8" s="31">
        <v>3000</v>
      </c>
      <c r="J8" s="5">
        <v>259</v>
      </c>
      <c r="K8" s="15">
        <f>L8+587+104+747+1518</f>
        <v>3215</v>
      </c>
      <c r="L8" s="15">
        <f>229+30</f>
        <v>259</v>
      </c>
      <c r="M8" s="15">
        <f t="shared" si="0"/>
        <v>259</v>
      </c>
      <c r="N8" s="15">
        <v>0</v>
      </c>
      <c r="O8" s="58">
        <f t="shared" si="1"/>
        <v>0</v>
      </c>
      <c r="P8" s="39">
        <f t="shared" si="2"/>
        <v>4</v>
      </c>
      <c r="Q8" s="40">
        <f t="shared" si="3"/>
        <v>20</v>
      </c>
      <c r="R8" s="7"/>
      <c r="S8" s="6">
        <v>20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0.16666666666666666</v>
      </c>
      <c r="AD8" s="10">
        <f t="shared" si="8"/>
        <v>0.16666666666666666</v>
      </c>
      <c r="AE8" s="36">
        <f t="shared" si="6"/>
        <v>0.47916666666666669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324</v>
      </c>
      <c r="F9" s="30" t="s">
        <v>348</v>
      </c>
      <c r="G9" s="12">
        <v>1</v>
      </c>
      <c r="H9" s="13">
        <v>24</v>
      </c>
      <c r="I9" s="7">
        <v>260000</v>
      </c>
      <c r="J9" s="14">
        <v>3735</v>
      </c>
      <c r="K9" s="15">
        <f>L9+4269+5331+5350+4338+5606</f>
        <v>28629</v>
      </c>
      <c r="L9" s="15">
        <f>988+2747</f>
        <v>3735</v>
      </c>
      <c r="M9" s="15">
        <f t="shared" si="0"/>
        <v>3735</v>
      </c>
      <c r="N9" s="15">
        <v>0</v>
      </c>
      <c r="O9" s="58">
        <f t="shared" si="1"/>
        <v>0</v>
      </c>
      <c r="P9" s="39">
        <f t="shared" si="2"/>
        <v>18</v>
      </c>
      <c r="Q9" s="40">
        <f t="shared" si="3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0.75</v>
      </c>
      <c r="AD9" s="10">
        <f t="shared" si="8"/>
        <v>0.75</v>
      </c>
      <c r="AE9" s="36">
        <f t="shared" si="6"/>
        <v>0.47916666666666669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452</v>
      </c>
      <c r="D10" s="52"/>
      <c r="E10" s="53" t="s">
        <v>492</v>
      </c>
      <c r="F10" s="30" t="s">
        <v>148</v>
      </c>
      <c r="G10" s="33">
        <v>1</v>
      </c>
      <c r="H10" s="35">
        <v>24</v>
      </c>
      <c r="I10" s="7">
        <v>2000</v>
      </c>
      <c r="J10" s="14">
        <v>3999</v>
      </c>
      <c r="K10" s="15">
        <f>L10</f>
        <v>3999</v>
      </c>
      <c r="L10" s="15">
        <f>1391+2608</f>
        <v>3999</v>
      </c>
      <c r="M10" s="15">
        <f t="shared" si="0"/>
        <v>3999</v>
      </c>
      <c r="N10" s="15">
        <v>0</v>
      </c>
      <c r="O10" s="58">
        <f t="shared" si="1"/>
        <v>0</v>
      </c>
      <c r="P10" s="39">
        <f t="shared" si="2"/>
        <v>20</v>
      </c>
      <c r="Q10" s="40">
        <f t="shared" si="3"/>
        <v>4</v>
      </c>
      <c r="R10" s="7">
        <v>4</v>
      </c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0.83333333333333337</v>
      </c>
      <c r="AD10" s="10">
        <f t="shared" si="8"/>
        <v>0.83333333333333337</v>
      </c>
      <c r="AE10" s="36">
        <f t="shared" si="6"/>
        <v>0.47916666666666669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121</v>
      </c>
      <c r="E11" s="53" t="s">
        <v>464</v>
      </c>
      <c r="F11" s="30" t="s">
        <v>165</v>
      </c>
      <c r="G11" s="33">
        <v>1</v>
      </c>
      <c r="H11" s="35">
        <v>24</v>
      </c>
      <c r="I11" s="7">
        <v>6000</v>
      </c>
      <c r="J11" s="14">
        <v>4778</v>
      </c>
      <c r="K11" s="15">
        <f>L11+4759</f>
        <v>9537</v>
      </c>
      <c r="L11" s="15">
        <f>2136+2642</f>
        <v>4778</v>
      </c>
      <c r="M11" s="15">
        <f t="shared" si="0"/>
        <v>4778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8"/>
        <v>1</v>
      </c>
      <c r="AE11" s="36">
        <f t="shared" si="6"/>
        <v>0.47916666666666669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80000</v>
      </c>
      <c r="J12" s="5">
        <v>4806</v>
      </c>
      <c r="K12" s="15">
        <f>L12+2299+960+4314+5153+4996+5031+573+5044+5157+4963+4296+5172+5278+5197</f>
        <v>63239</v>
      </c>
      <c r="L12" s="15">
        <f>2212+2594</f>
        <v>4806</v>
      </c>
      <c r="M12" s="15">
        <f t="shared" si="0"/>
        <v>4806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0.47916666666666669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112</v>
      </c>
      <c r="D13" s="52" t="s">
        <v>147</v>
      </c>
      <c r="E13" s="53" t="s">
        <v>272</v>
      </c>
      <c r="F13" s="30" t="s">
        <v>148</v>
      </c>
      <c r="G13" s="33">
        <v>1</v>
      </c>
      <c r="H13" s="35">
        <v>22</v>
      </c>
      <c r="I13" s="7">
        <v>15000</v>
      </c>
      <c r="J13" s="14">
        <v>5340</v>
      </c>
      <c r="K13" s="15">
        <f>L13+4941+5660+5559+5974+5731+3993</f>
        <v>37198</v>
      </c>
      <c r="L13" s="15">
        <f>2304+3036</f>
        <v>5340</v>
      </c>
      <c r="M13" s="15">
        <f t="shared" si="0"/>
        <v>5340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0.47916666666666669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121</v>
      </c>
      <c r="E14" s="53" t="s">
        <v>174</v>
      </c>
      <c r="F14" s="30" t="s">
        <v>175</v>
      </c>
      <c r="G14" s="33">
        <v>1</v>
      </c>
      <c r="H14" s="35">
        <v>50</v>
      </c>
      <c r="I14" s="7">
        <v>350</v>
      </c>
      <c r="J14" s="5">
        <v>421</v>
      </c>
      <c r="K14" s="15">
        <f>L14+421</f>
        <v>421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0.47916666666666669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126</v>
      </c>
      <c r="D15" s="52"/>
      <c r="E15" s="53" t="s">
        <v>400</v>
      </c>
      <c r="F15" s="30" t="s">
        <v>411</v>
      </c>
      <c r="G15" s="12">
        <v>4</v>
      </c>
      <c r="H15" s="13">
        <v>24</v>
      </c>
      <c r="I15" s="31">
        <v>200000</v>
      </c>
      <c r="J15" s="14">
        <v>31964</v>
      </c>
      <c r="K15" s="15">
        <f>L15+22472+34740+34160</f>
        <v>123336</v>
      </c>
      <c r="L15" s="15">
        <f>3704*4+4287*4</f>
        <v>31964</v>
      </c>
      <c r="M15" s="15">
        <f t="shared" si="0"/>
        <v>31964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0.47916666666666669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197</v>
      </c>
      <c r="E16" s="53" t="s">
        <v>366</v>
      </c>
      <c r="F16" s="30" t="s">
        <v>123</v>
      </c>
      <c r="G16" s="12">
        <v>2</v>
      </c>
      <c r="H16" s="13">
        <v>22</v>
      </c>
      <c r="I16" s="31">
        <v>260000</v>
      </c>
      <c r="J16" s="5">
        <v>9694</v>
      </c>
      <c r="K16" s="15">
        <f>L16+9350+9873+10572+11420</f>
        <v>50909</v>
      </c>
      <c r="L16" s="15">
        <f>2013*2+2834*2</f>
        <v>9694</v>
      </c>
      <c r="M16" s="15">
        <f t="shared" si="0"/>
        <v>9694</v>
      </c>
      <c r="N16" s="15">
        <v>0</v>
      </c>
      <c r="O16" s="58">
        <f t="shared" si="1"/>
        <v>0</v>
      </c>
      <c r="P16" s="39">
        <f t="shared" si="2"/>
        <v>21</v>
      </c>
      <c r="Q16" s="40">
        <f t="shared" si="3"/>
        <v>3</v>
      </c>
      <c r="R16" s="7"/>
      <c r="S16" s="6">
        <v>3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0.875</v>
      </c>
      <c r="AD16" s="10">
        <f t="shared" si="8"/>
        <v>0.875</v>
      </c>
      <c r="AE16" s="36">
        <f t="shared" si="6"/>
        <v>0.47916666666666669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116</v>
      </c>
      <c r="D17" s="52" t="s">
        <v>137</v>
      </c>
      <c r="E17" s="53" t="s">
        <v>477</v>
      </c>
      <c r="F17" s="30" t="s">
        <v>478</v>
      </c>
      <c r="G17" s="12">
        <v>1</v>
      </c>
      <c r="H17" s="13">
        <v>24</v>
      </c>
      <c r="I17" s="7">
        <v>500</v>
      </c>
      <c r="J17" s="14">
        <v>852</v>
      </c>
      <c r="K17" s="15">
        <f>L17+853</f>
        <v>853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0.47916666666666669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371</v>
      </c>
      <c r="F18" s="30" t="s">
        <v>135</v>
      </c>
      <c r="G18" s="12">
        <v>2</v>
      </c>
      <c r="H18" s="13">
        <v>22</v>
      </c>
      <c r="I18" s="31">
        <v>260000</v>
      </c>
      <c r="J18" s="5">
        <v>10368</v>
      </c>
      <c r="K18" s="15">
        <f>L18+10480+11444+11648+11082</f>
        <v>55022</v>
      </c>
      <c r="L18" s="15">
        <f>2409*2+2775*2</f>
        <v>10368</v>
      </c>
      <c r="M18" s="15">
        <f t="shared" si="0"/>
        <v>10368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0.47916666666666669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112</v>
      </c>
      <c r="D19" s="52" t="s">
        <v>149</v>
      </c>
      <c r="E19" s="53" t="s">
        <v>469</v>
      </c>
      <c r="F19" s="30" t="s">
        <v>123</v>
      </c>
      <c r="G19" s="33">
        <v>1</v>
      </c>
      <c r="H19" s="35">
        <v>24</v>
      </c>
      <c r="I19" s="7">
        <v>15000</v>
      </c>
      <c r="J19" s="14">
        <v>5131</v>
      </c>
      <c r="K19" s="15">
        <f>L19+5078</f>
        <v>10209</v>
      </c>
      <c r="L19" s="15">
        <f>2362+2769</f>
        <v>5131</v>
      </c>
      <c r="M19" s="15">
        <f t="shared" si="0"/>
        <v>5131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0.47916666666666669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490</v>
      </c>
      <c r="E20" s="53" t="s">
        <v>491</v>
      </c>
      <c r="F20" s="30" t="s">
        <v>510</v>
      </c>
      <c r="G20" s="33">
        <v>1</v>
      </c>
      <c r="H20" s="35">
        <v>24</v>
      </c>
      <c r="I20" s="7">
        <v>3000</v>
      </c>
      <c r="J20" s="14">
        <v>4978</v>
      </c>
      <c r="K20" s="15">
        <f>L20</f>
        <v>4978</v>
      </c>
      <c r="L20" s="15">
        <f>2175+2803</f>
        <v>4978</v>
      </c>
      <c r="M20" s="15">
        <f t="shared" si="0"/>
        <v>4978</v>
      </c>
      <c r="N20" s="15">
        <v>0</v>
      </c>
      <c r="O20" s="58">
        <f t="shared" si="1"/>
        <v>0</v>
      </c>
      <c r="P20" s="39">
        <f t="shared" si="2"/>
        <v>21</v>
      </c>
      <c r="Q20" s="40">
        <f t="shared" si="3"/>
        <v>3</v>
      </c>
      <c r="R20" s="7"/>
      <c r="S20" s="6"/>
      <c r="T20" s="16"/>
      <c r="U20" s="16"/>
      <c r="V20" s="17"/>
      <c r="W20" s="5"/>
      <c r="X20" s="16"/>
      <c r="Y20" s="16"/>
      <c r="Z20" s="16"/>
      <c r="AA20" s="18">
        <v>3</v>
      </c>
      <c r="AB20" s="8">
        <f t="shared" si="4"/>
        <v>1</v>
      </c>
      <c r="AC20" s="9">
        <f t="shared" si="5"/>
        <v>0.875</v>
      </c>
      <c r="AD20" s="10">
        <f t="shared" si="8"/>
        <v>0.875</v>
      </c>
      <c r="AE20" s="36">
        <f t="shared" si="6"/>
        <v>0.47916666666666669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352</v>
      </c>
      <c r="F21" s="12" t="s">
        <v>114</v>
      </c>
      <c r="G21" s="12">
        <v>4</v>
      </c>
      <c r="H21" s="35">
        <v>20</v>
      </c>
      <c r="I21" s="7">
        <v>2000000</v>
      </c>
      <c r="J21" s="14">
        <v>61324</v>
      </c>
      <c r="K21" s="15">
        <f>L21+43956+57712+63776+65248+68932</f>
        <v>360948</v>
      </c>
      <c r="L21" s="15">
        <f>6876*4+8455*4</f>
        <v>61324</v>
      </c>
      <c r="M21" s="15">
        <f t="shared" si="0"/>
        <v>61324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0.47916666666666669</v>
      </c>
      <c r="AF21" s="81">
        <f t="shared" si="7"/>
        <v>16</v>
      </c>
    </row>
    <row r="22" spans="1:32" ht="26.25" customHeight="1">
      <c r="A22" s="115">
        <v>17</v>
      </c>
      <c r="B22" s="11" t="s">
        <v>57</v>
      </c>
      <c r="C22" s="11"/>
      <c r="D22" s="52"/>
      <c r="E22" s="53"/>
      <c r="F22" s="12"/>
      <c r="G22" s="12"/>
      <c r="H22" s="35"/>
      <c r="I22" s="7">
        <v>0</v>
      </c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0.47916666666666669</v>
      </c>
      <c r="AF22" s="81">
        <f t="shared" si="7"/>
        <v>17</v>
      </c>
    </row>
    <row r="23" spans="1:32" ht="26.25" customHeight="1">
      <c r="A23" s="115">
        <v>18</v>
      </c>
      <c r="B23" s="11" t="s">
        <v>57</v>
      </c>
      <c r="C23" s="11" t="s">
        <v>116</v>
      </c>
      <c r="D23" s="52" t="s">
        <v>178</v>
      </c>
      <c r="E23" s="53" t="s">
        <v>353</v>
      </c>
      <c r="F23" s="12" t="s">
        <v>180</v>
      </c>
      <c r="G23" s="12">
        <v>4</v>
      </c>
      <c r="H23" s="35">
        <v>15</v>
      </c>
      <c r="I23" s="7">
        <v>20000</v>
      </c>
      <c r="J23" s="14">
        <v>4864</v>
      </c>
      <c r="K23" s="15">
        <f>L23+14040+7084+2888+25304</f>
        <v>54180</v>
      </c>
      <c r="L23" s="15">
        <f>1216*4</f>
        <v>4864</v>
      </c>
      <c r="M23" s="15">
        <f t="shared" si="0"/>
        <v>4864</v>
      </c>
      <c r="N23" s="15">
        <v>0</v>
      </c>
      <c r="O23" s="58">
        <f t="shared" si="1"/>
        <v>0</v>
      </c>
      <c r="P23" s="39">
        <f t="shared" si="2"/>
        <v>6</v>
      </c>
      <c r="Q23" s="40">
        <f t="shared" si="3"/>
        <v>18</v>
      </c>
      <c r="R23" s="7"/>
      <c r="S23" s="6"/>
      <c r="T23" s="16"/>
      <c r="U23" s="16"/>
      <c r="V23" s="17">
        <v>18</v>
      </c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0.25</v>
      </c>
      <c r="AD23" s="10">
        <f t="shared" si="8"/>
        <v>0.25</v>
      </c>
      <c r="AE23" s="36">
        <f t="shared" si="6"/>
        <v>0.47916666666666669</v>
      </c>
      <c r="AF23" s="81">
        <f t="shared" si="7"/>
        <v>18</v>
      </c>
    </row>
    <row r="24" spans="1:32" ht="21.75" customHeight="1">
      <c r="A24" s="92">
        <v>31</v>
      </c>
      <c r="B24" s="11" t="s">
        <v>57</v>
      </c>
      <c r="C24" s="11" t="s">
        <v>116</v>
      </c>
      <c r="D24" s="52" t="s">
        <v>115</v>
      </c>
      <c r="E24" s="53" t="s">
        <v>143</v>
      </c>
      <c r="F24" s="12" t="s">
        <v>135</v>
      </c>
      <c r="G24" s="12">
        <v>4</v>
      </c>
      <c r="H24" s="35">
        <v>20</v>
      </c>
      <c r="I24" s="7">
        <v>70000</v>
      </c>
      <c r="J24" s="14">
        <v>22300</v>
      </c>
      <c r="K24" s="15">
        <f>L24+22300</f>
        <v>22300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0.47916666666666669</v>
      </c>
      <c r="AF24" s="81">
        <f t="shared" si="7"/>
        <v>31</v>
      </c>
    </row>
    <row r="25" spans="1:32" ht="21.75" customHeight="1">
      <c r="A25" s="92">
        <v>32</v>
      </c>
      <c r="B25" s="11" t="s">
        <v>57</v>
      </c>
      <c r="C25" s="11" t="s">
        <v>172</v>
      </c>
      <c r="D25" s="52"/>
      <c r="E25" s="53" t="s">
        <v>413</v>
      </c>
      <c r="F25" s="12" t="s">
        <v>173</v>
      </c>
      <c r="G25" s="12">
        <v>2</v>
      </c>
      <c r="H25" s="35">
        <v>20</v>
      </c>
      <c r="I25" s="7">
        <v>24000</v>
      </c>
      <c r="J25" s="14">
        <v>30240</v>
      </c>
      <c r="K25" s="15">
        <f>L25+30240</f>
        <v>30240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0.47916666666666669</v>
      </c>
      <c r="AF25" s="81">
        <f t="shared" si="7"/>
        <v>32</v>
      </c>
    </row>
    <row r="26" spans="1:32" ht="21.75" customHeight="1">
      <c r="A26" s="92">
        <v>33</v>
      </c>
      <c r="B26" s="11" t="s">
        <v>57</v>
      </c>
      <c r="C26" s="11" t="s">
        <v>116</v>
      </c>
      <c r="D26" s="52" t="s">
        <v>115</v>
      </c>
      <c r="E26" s="53" t="s">
        <v>414</v>
      </c>
      <c r="F26" s="12" t="s">
        <v>135</v>
      </c>
      <c r="G26" s="12">
        <v>3</v>
      </c>
      <c r="H26" s="35">
        <v>20</v>
      </c>
      <c r="I26" s="7">
        <v>130000</v>
      </c>
      <c r="J26" s="14">
        <v>6507</v>
      </c>
      <c r="K26" s="15">
        <f>L26+15220+23840+22923</f>
        <v>68490</v>
      </c>
      <c r="L26" s="15">
        <f>2169*3</f>
        <v>6507</v>
      </c>
      <c r="M26" s="15">
        <f t="shared" si="0"/>
        <v>6507</v>
      </c>
      <c r="N26" s="15">
        <v>0</v>
      </c>
      <c r="O26" s="58">
        <f t="shared" si="1"/>
        <v>0</v>
      </c>
      <c r="P26" s="39">
        <f t="shared" si="2"/>
        <v>9</v>
      </c>
      <c r="Q26" s="40">
        <f t="shared" si="3"/>
        <v>15</v>
      </c>
      <c r="R26" s="7"/>
      <c r="S26" s="6"/>
      <c r="T26" s="16"/>
      <c r="U26" s="16"/>
      <c r="V26" s="114">
        <v>15</v>
      </c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0.375</v>
      </c>
      <c r="AD26" s="10">
        <f t="shared" si="8"/>
        <v>0.375</v>
      </c>
      <c r="AE26" s="36">
        <f t="shared" si="6"/>
        <v>0.47916666666666669</v>
      </c>
      <c r="AF26" s="81">
        <f t="shared" si="7"/>
        <v>33</v>
      </c>
    </row>
    <row r="27" spans="1:32" ht="21.75" customHeight="1">
      <c r="A27" s="92">
        <v>34</v>
      </c>
      <c r="B27" s="11" t="s">
        <v>57</v>
      </c>
      <c r="C27" s="11" t="s">
        <v>116</v>
      </c>
      <c r="D27" s="52" t="s">
        <v>197</v>
      </c>
      <c r="E27" s="53" t="s">
        <v>415</v>
      </c>
      <c r="F27" s="12" t="s">
        <v>124</v>
      </c>
      <c r="G27" s="12">
        <v>2</v>
      </c>
      <c r="H27" s="35">
        <v>20</v>
      </c>
      <c r="I27" s="7">
        <v>130000</v>
      </c>
      <c r="J27" s="14">
        <v>1958</v>
      </c>
      <c r="K27" s="15">
        <f>L27+15632+12648+1958</f>
        <v>30238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>
        <v>24</v>
      </c>
      <c r="T27" s="16"/>
      <c r="U27" s="16"/>
      <c r="V27" s="114"/>
      <c r="W27" s="5"/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0.47916666666666669</v>
      </c>
      <c r="AF27" s="81">
        <f t="shared" si="7"/>
        <v>34</v>
      </c>
    </row>
    <row r="28" spans="1:32" ht="21.75" customHeight="1">
      <c r="A28" s="92">
        <v>35</v>
      </c>
      <c r="B28" s="11" t="s">
        <v>57</v>
      </c>
      <c r="C28" s="11" t="s">
        <v>116</v>
      </c>
      <c r="D28" s="52" t="s">
        <v>121</v>
      </c>
      <c r="E28" s="53" t="s">
        <v>416</v>
      </c>
      <c r="F28" s="12" t="s">
        <v>124</v>
      </c>
      <c r="G28" s="12">
        <v>4</v>
      </c>
      <c r="H28" s="35">
        <v>20</v>
      </c>
      <c r="I28" s="7">
        <v>130000</v>
      </c>
      <c r="J28" s="14">
        <v>10704</v>
      </c>
      <c r="K28" s="15">
        <f>L28+27916+29980</f>
        <v>68600</v>
      </c>
      <c r="L28" s="15">
        <f>2676*4</f>
        <v>10704</v>
      </c>
      <c r="M28" s="15">
        <f t="shared" si="0"/>
        <v>10704</v>
      </c>
      <c r="N28" s="15">
        <v>0</v>
      </c>
      <c r="O28" s="58">
        <f t="shared" si="1"/>
        <v>0</v>
      </c>
      <c r="P28" s="39">
        <f t="shared" si="2"/>
        <v>9</v>
      </c>
      <c r="Q28" s="40">
        <f t="shared" si="3"/>
        <v>15</v>
      </c>
      <c r="R28" s="7"/>
      <c r="S28" s="6"/>
      <c r="T28" s="16"/>
      <c r="U28" s="16"/>
      <c r="V28" s="114">
        <v>15</v>
      </c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0.375</v>
      </c>
      <c r="AD28" s="10">
        <f t="shared" si="8"/>
        <v>0.375</v>
      </c>
      <c r="AE28" s="36">
        <f t="shared" si="6"/>
        <v>0.47916666666666669</v>
      </c>
      <c r="AF28" s="81">
        <f t="shared" si="7"/>
        <v>35</v>
      </c>
    </row>
    <row r="29" spans="1:32" ht="21.75" customHeight="1" thickBot="1">
      <c r="A29" s="92">
        <v>36</v>
      </c>
      <c r="B29" s="11" t="s">
        <v>57</v>
      </c>
      <c r="C29" s="11" t="s">
        <v>113</v>
      </c>
      <c r="D29" s="52"/>
      <c r="E29" s="53" t="s">
        <v>144</v>
      </c>
      <c r="F29" s="12" t="s">
        <v>114</v>
      </c>
      <c r="G29" s="12">
        <v>4</v>
      </c>
      <c r="H29" s="35">
        <v>20</v>
      </c>
      <c r="I29" s="7">
        <v>1000000</v>
      </c>
      <c r="J29" s="14">
        <v>79328</v>
      </c>
      <c r="K29" s="15">
        <f>L29+28388+70816+76368+81764+83428+47688+53180+83092+82192+79328</f>
        <v>686244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>
        <v>24</v>
      </c>
      <c r="W29" s="5"/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0.47916666666666669</v>
      </c>
      <c r="AF29" s="81">
        <f t="shared" si="7"/>
        <v>36</v>
      </c>
    </row>
    <row r="30" spans="1:32" ht="19.5" thickBot="1">
      <c r="A30" s="452" t="s">
        <v>34</v>
      </c>
      <c r="B30" s="453"/>
      <c r="C30" s="453"/>
      <c r="D30" s="453"/>
      <c r="E30" s="453"/>
      <c r="F30" s="453"/>
      <c r="G30" s="453"/>
      <c r="H30" s="454"/>
      <c r="I30" s="22">
        <f t="shared" ref="I30:N30" si="9">SUM(I6:I29)</f>
        <v>4614450</v>
      </c>
      <c r="J30" s="19">
        <f t="shared" si="9"/>
        <v>313471</v>
      </c>
      <c r="K30" s="20">
        <f t="shared" si="9"/>
        <v>1722706</v>
      </c>
      <c r="L30" s="21">
        <f t="shared" si="9"/>
        <v>168451</v>
      </c>
      <c r="M30" s="20">
        <f t="shared" si="9"/>
        <v>168451</v>
      </c>
      <c r="N30" s="21">
        <f t="shared" si="9"/>
        <v>0</v>
      </c>
      <c r="O30" s="41">
        <f t="shared" si="1"/>
        <v>0</v>
      </c>
      <c r="P30" s="42">
        <f t="shared" ref="P30:AA30" si="10">SUM(P6:P29)</f>
        <v>276</v>
      </c>
      <c r="Q30" s="43">
        <f t="shared" si="10"/>
        <v>300</v>
      </c>
      <c r="R30" s="23">
        <f t="shared" si="10"/>
        <v>4</v>
      </c>
      <c r="S30" s="24">
        <f t="shared" si="10"/>
        <v>53</v>
      </c>
      <c r="T30" s="24">
        <f t="shared" si="10"/>
        <v>0</v>
      </c>
      <c r="U30" s="24">
        <f t="shared" si="10"/>
        <v>0</v>
      </c>
      <c r="V30" s="25">
        <f t="shared" si="10"/>
        <v>96</v>
      </c>
      <c r="W30" s="26">
        <f t="shared" si="10"/>
        <v>144</v>
      </c>
      <c r="X30" s="27">
        <f t="shared" si="10"/>
        <v>0</v>
      </c>
      <c r="Y30" s="27">
        <f t="shared" si="10"/>
        <v>0</v>
      </c>
      <c r="Z30" s="27">
        <f t="shared" si="10"/>
        <v>0</v>
      </c>
      <c r="AA30" s="27">
        <f t="shared" si="10"/>
        <v>3</v>
      </c>
      <c r="AB30" s="28">
        <f>AVERAGE(AB6:AB29)</f>
        <v>0.65217391304347827</v>
      </c>
      <c r="AC30" s="4">
        <f>AVERAGE(AC6:AC29)</f>
        <v>0.47916666666666669</v>
      </c>
      <c r="AD30" s="4">
        <f>AVERAGE(AD6:AD29)</f>
        <v>0.47916666666666669</v>
      </c>
      <c r="AE30" s="29"/>
    </row>
    <row r="31" spans="1:32">
      <c r="T31" s="50" t="s">
        <v>127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128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2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455" t="s">
        <v>45</v>
      </c>
      <c r="B57" s="455"/>
      <c r="C57" s="455"/>
      <c r="D57" s="455"/>
      <c r="E57" s="455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456" t="s">
        <v>511</v>
      </c>
      <c r="B58" s="457"/>
      <c r="C58" s="457"/>
      <c r="D58" s="457"/>
      <c r="E58" s="457"/>
      <c r="F58" s="457"/>
      <c r="G58" s="457"/>
      <c r="H58" s="457"/>
      <c r="I58" s="457"/>
      <c r="J58" s="457"/>
      <c r="K58" s="457"/>
      <c r="L58" s="457"/>
      <c r="M58" s="458"/>
      <c r="N58" s="459" t="s">
        <v>514</v>
      </c>
      <c r="O58" s="460"/>
      <c r="P58" s="460"/>
      <c r="Q58" s="460"/>
      <c r="R58" s="460"/>
      <c r="S58" s="460"/>
      <c r="T58" s="460"/>
      <c r="U58" s="460"/>
      <c r="V58" s="460"/>
      <c r="W58" s="460"/>
      <c r="X58" s="460"/>
      <c r="Y58" s="460"/>
      <c r="Z58" s="460"/>
      <c r="AA58" s="460"/>
      <c r="AB58" s="460"/>
      <c r="AC58" s="460"/>
      <c r="AD58" s="461"/>
    </row>
    <row r="59" spans="1:32" ht="27" customHeight="1">
      <c r="A59" s="462" t="s">
        <v>2</v>
      </c>
      <c r="B59" s="463"/>
      <c r="C59" s="226" t="s">
        <v>46</v>
      </c>
      <c r="D59" s="226" t="s">
        <v>47</v>
      </c>
      <c r="E59" s="226" t="s">
        <v>107</v>
      </c>
      <c r="F59" s="464" t="s">
        <v>106</v>
      </c>
      <c r="G59" s="465"/>
      <c r="H59" s="465"/>
      <c r="I59" s="465"/>
      <c r="J59" s="465"/>
      <c r="K59" s="465"/>
      <c r="L59" s="465"/>
      <c r="M59" s="466"/>
      <c r="N59" s="67" t="s">
        <v>110</v>
      </c>
      <c r="O59" s="226" t="s">
        <v>46</v>
      </c>
      <c r="P59" s="464" t="s">
        <v>47</v>
      </c>
      <c r="Q59" s="467"/>
      <c r="R59" s="464" t="s">
        <v>38</v>
      </c>
      <c r="S59" s="465"/>
      <c r="T59" s="465"/>
      <c r="U59" s="467"/>
      <c r="V59" s="464" t="s">
        <v>48</v>
      </c>
      <c r="W59" s="465"/>
      <c r="X59" s="465"/>
      <c r="Y59" s="465"/>
      <c r="Z59" s="465"/>
      <c r="AA59" s="465"/>
      <c r="AB59" s="465"/>
      <c r="AC59" s="465"/>
      <c r="AD59" s="466"/>
    </row>
    <row r="60" spans="1:32" ht="27" customHeight="1">
      <c r="A60" s="430" t="s">
        <v>112</v>
      </c>
      <c r="B60" s="431"/>
      <c r="C60" s="228" t="s">
        <v>146</v>
      </c>
      <c r="D60" s="228" t="s">
        <v>115</v>
      </c>
      <c r="E60" s="229" t="s">
        <v>392</v>
      </c>
      <c r="F60" s="432" t="s">
        <v>512</v>
      </c>
      <c r="G60" s="433"/>
      <c r="H60" s="433"/>
      <c r="I60" s="433"/>
      <c r="J60" s="433"/>
      <c r="K60" s="433"/>
      <c r="L60" s="433"/>
      <c r="M60" s="434"/>
      <c r="N60" s="141" t="s">
        <v>112</v>
      </c>
      <c r="O60" s="220" t="s">
        <v>146</v>
      </c>
      <c r="P60" s="447" t="s">
        <v>115</v>
      </c>
      <c r="Q60" s="448"/>
      <c r="R60" s="447" t="s">
        <v>392</v>
      </c>
      <c r="S60" s="449"/>
      <c r="T60" s="449"/>
      <c r="U60" s="448"/>
      <c r="V60" s="436" t="s">
        <v>141</v>
      </c>
      <c r="W60" s="437"/>
      <c r="X60" s="437"/>
      <c r="Y60" s="437"/>
      <c r="Z60" s="437"/>
      <c r="AA60" s="437"/>
      <c r="AB60" s="437"/>
      <c r="AC60" s="437"/>
      <c r="AD60" s="438"/>
    </row>
    <row r="61" spans="1:32" ht="27" customHeight="1">
      <c r="A61" s="430" t="s">
        <v>452</v>
      </c>
      <c r="B61" s="431"/>
      <c r="C61" s="222" t="s">
        <v>442</v>
      </c>
      <c r="D61" s="222"/>
      <c r="E61" s="223" t="s">
        <v>492</v>
      </c>
      <c r="F61" s="436" t="s">
        <v>154</v>
      </c>
      <c r="G61" s="437"/>
      <c r="H61" s="437"/>
      <c r="I61" s="437"/>
      <c r="J61" s="437"/>
      <c r="K61" s="437"/>
      <c r="L61" s="437"/>
      <c r="M61" s="438"/>
      <c r="N61" s="141" t="s">
        <v>112</v>
      </c>
      <c r="O61" s="220" t="s">
        <v>525</v>
      </c>
      <c r="P61" s="447" t="s">
        <v>526</v>
      </c>
      <c r="Q61" s="448"/>
      <c r="R61" s="447" t="s">
        <v>515</v>
      </c>
      <c r="S61" s="449"/>
      <c r="T61" s="449"/>
      <c r="U61" s="448"/>
      <c r="V61" s="436" t="s">
        <v>154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112</v>
      </c>
      <c r="B62" s="431"/>
      <c r="C62" s="222" t="s">
        <v>191</v>
      </c>
      <c r="D62" s="222" t="s">
        <v>513</v>
      </c>
      <c r="E62" s="223" t="s">
        <v>491</v>
      </c>
      <c r="F62" s="432" t="s">
        <v>154</v>
      </c>
      <c r="G62" s="433"/>
      <c r="H62" s="433"/>
      <c r="I62" s="433"/>
      <c r="J62" s="433"/>
      <c r="K62" s="433"/>
      <c r="L62" s="433"/>
      <c r="M62" s="434"/>
      <c r="N62" s="141" t="s">
        <v>516</v>
      </c>
      <c r="O62" s="220" t="s">
        <v>517</v>
      </c>
      <c r="P62" s="447" t="s">
        <v>518</v>
      </c>
      <c r="Q62" s="448"/>
      <c r="R62" s="447" t="s">
        <v>519</v>
      </c>
      <c r="S62" s="449"/>
      <c r="T62" s="449"/>
      <c r="U62" s="448"/>
      <c r="V62" s="436" t="s">
        <v>141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516</v>
      </c>
      <c r="B63" s="431"/>
      <c r="C63" s="222" t="s">
        <v>517</v>
      </c>
      <c r="D63" s="222" t="s">
        <v>518</v>
      </c>
      <c r="E63" s="223" t="s">
        <v>519</v>
      </c>
      <c r="F63" s="436" t="s">
        <v>520</v>
      </c>
      <c r="G63" s="437"/>
      <c r="H63" s="437"/>
      <c r="I63" s="437"/>
      <c r="J63" s="437"/>
      <c r="K63" s="437"/>
      <c r="L63" s="437"/>
      <c r="M63" s="438"/>
      <c r="N63" s="141" t="s">
        <v>516</v>
      </c>
      <c r="O63" s="220" t="s">
        <v>521</v>
      </c>
      <c r="P63" s="447" t="s">
        <v>522</v>
      </c>
      <c r="Q63" s="448"/>
      <c r="R63" s="447" t="s">
        <v>523</v>
      </c>
      <c r="S63" s="449"/>
      <c r="T63" s="449"/>
      <c r="U63" s="448"/>
      <c r="V63" s="436" t="s">
        <v>141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516</v>
      </c>
      <c r="B64" s="431"/>
      <c r="C64" s="222" t="s">
        <v>521</v>
      </c>
      <c r="D64" s="222" t="s">
        <v>522</v>
      </c>
      <c r="E64" s="223" t="s">
        <v>523</v>
      </c>
      <c r="F64" s="436" t="s">
        <v>524</v>
      </c>
      <c r="G64" s="437"/>
      <c r="H64" s="437"/>
      <c r="I64" s="437"/>
      <c r="J64" s="437"/>
      <c r="K64" s="437"/>
      <c r="L64" s="437"/>
      <c r="M64" s="438"/>
      <c r="N64" s="141" t="s">
        <v>516</v>
      </c>
      <c r="O64" s="220" t="s">
        <v>528</v>
      </c>
      <c r="P64" s="447" t="s">
        <v>529</v>
      </c>
      <c r="Q64" s="448"/>
      <c r="R64" s="447" t="s">
        <v>527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/>
      <c r="B65" s="431"/>
      <c r="C65" s="222"/>
      <c r="D65" s="222"/>
      <c r="E65" s="223"/>
      <c r="F65" s="432"/>
      <c r="G65" s="433"/>
      <c r="H65" s="433"/>
      <c r="I65" s="433"/>
      <c r="J65" s="433"/>
      <c r="K65" s="433"/>
      <c r="L65" s="433"/>
      <c r="M65" s="434"/>
      <c r="N65" s="141" t="s">
        <v>112</v>
      </c>
      <c r="O65" s="220" t="s">
        <v>531</v>
      </c>
      <c r="P65" s="447" t="s">
        <v>115</v>
      </c>
      <c r="Q65" s="448"/>
      <c r="R65" s="447" t="s">
        <v>530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/>
      <c r="B66" s="431"/>
      <c r="C66" s="222"/>
      <c r="D66" s="222"/>
      <c r="E66" s="223"/>
      <c r="F66" s="436"/>
      <c r="G66" s="437"/>
      <c r="H66" s="437"/>
      <c r="I66" s="437"/>
      <c r="J66" s="437"/>
      <c r="K66" s="437"/>
      <c r="L66" s="437"/>
      <c r="M66" s="438"/>
      <c r="N66" s="141" t="s">
        <v>516</v>
      </c>
      <c r="O66" s="220" t="s">
        <v>534</v>
      </c>
      <c r="P66" s="447" t="s">
        <v>526</v>
      </c>
      <c r="Q66" s="448"/>
      <c r="R66" s="447" t="s">
        <v>532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/>
      <c r="B67" s="431"/>
      <c r="C67" s="222"/>
      <c r="D67" s="222"/>
      <c r="E67" s="223"/>
      <c r="F67" s="436"/>
      <c r="G67" s="437"/>
      <c r="H67" s="437"/>
      <c r="I67" s="437"/>
      <c r="J67" s="437"/>
      <c r="K67" s="437"/>
      <c r="L67" s="437"/>
      <c r="M67" s="438"/>
      <c r="N67" s="141" t="s">
        <v>516</v>
      </c>
      <c r="O67" s="220" t="s">
        <v>535</v>
      </c>
      <c r="P67" s="447" t="s">
        <v>529</v>
      </c>
      <c r="Q67" s="448"/>
      <c r="R67" s="447" t="s">
        <v>533</v>
      </c>
      <c r="S67" s="449"/>
      <c r="T67" s="449"/>
      <c r="U67" s="448"/>
      <c r="V67" s="436" t="s">
        <v>154</v>
      </c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222"/>
      <c r="D68" s="222"/>
      <c r="E68" s="223"/>
      <c r="F68" s="436"/>
      <c r="G68" s="437"/>
      <c r="H68" s="437"/>
      <c r="I68" s="437"/>
      <c r="J68" s="437"/>
      <c r="K68" s="437"/>
      <c r="L68" s="437"/>
      <c r="M68" s="438"/>
      <c r="N68" s="141" t="s">
        <v>516</v>
      </c>
      <c r="O68" s="220" t="s">
        <v>536</v>
      </c>
      <c r="P68" s="435" t="s">
        <v>522</v>
      </c>
      <c r="Q68" s="435"/>
      <c r="R68" s="435" t="s">
        <v>537</v>
      </c>
      <c r="S68" s="435"/>
      <c r="T68" s="435"/>
      <c r="U68" s="435"/>
      <c r="V68" s="436" t="s">
        <v>154</v>
      </c>
      <c r="W68" s="437"/>
      <c r="X68" s="437"/>
      <c r="Y68" s="437"/>
      <c r="Z68" s="437"/>
      <c r="AA68" s="437"/>
      <c r="AB68" s="437"/>
      <c r="AC68" s="437"/>
      <c r="AD68" s="438"/>
      <c r="AF68" s="81">
        <f>8*3000</f>
        <v>24000</v>
      </c>
    </row>
    <row r="69" spans="1:32" ht="27" customHeight="1" thickBot="1">
      <c r="A69" s="439"/>
      <c r="B69" s="440"/>
      <c r="C69" s="224"/>
      <c r="D69" s="225"/>
      <c r="E69" s="224"/>
      <c r="F69" s="490"/>
      <c r="G69" s="491"/>
      <c r="H69" s="491"/>
      <c r="I69" s="491"/>
      <c r="J69" s="491"/>
      <c r="K69" s="491"/>
      <c r="L69" s="491"/>
      <c r="M69" s="492"/>
      <c r="N69" s="105"/>
      <c r="O69" s="97"/>
      <c r="P69" s="444"/>
      <c r="Q69" s="444"/>
      <c r="R69" s="444"/>
      <c r="S69" s="444"/>
      <c r="T69" s="444"/>
      <c r="U69" s="444"/>
      <c r="V69" s="445"/>
      <c r="W69" s="445"/>
      <c r="X69" s="445"/>
      <c r="Y69" s="445"/>
      <c r="Z69" s="445"/>
      <c r="AA69" s="445"/>
      <c r="AB69" s="445"/>
      <c r="AC69" s="445"/>
      <c r="AD69" s="446"/>
      <c r="AF69" s="81">
        <f>16*3000</f>
        <v>48000</v>
      </c>
    </row>
    <row r="70" spans="1:32" ht="27.75" thickBot="1">
      <c r="A70" s="428" t="s">
        <v>538</v>
      </c>
      <c r="B70" s="428"/>
      <c r="C70" s="428"/>
      <c r="D70" s="428"/>
      <c r="E70" s="428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1">
        <v>24000</v>
      </c>
    </row>
    <row r="71" spans="1:32" ht="29.25" customHeight="1" thickBot="1">
      <c r="A71" s="429" t="s">
        <v>111</v>
      </c>
      <c r="B71" s="426"/>
      <c r="C71" s="221" t="s">
        <v>2</v>
      </c>
      <c r="D71" s="221" t="s">
        <v>37</v>
      </c>
      <c r="E71" s="221" t="s">
        <v>3</v>
      </c>
      <c r="F71" s="426" t="s">
        <v>109</v>
      </c>
      <c r="G71" s="426"/>
      <c r="H71" s="426"/>
      <c r="I71" s="426"/>
      <c r="J71" s="426"/>
      <c r="K71" s="426" t="s">
        <v>39</v>
      </c>
      <c r="L71" s="426"/>
      <c r="M71" s="221" t="s">
        <v>40</v>
      </c>
      <c r="N71" s="426" t="s">
        <v>41</v>
      </c>
      <c r="O71" s="426"/>
      <c r="P71" s="423" t="s">
        <v>42</v>
      </c>
      <c r="Q71" s="425"/>
      <c r="R71" s="423" t="s">
        <v>43</v>
      </c>
      <c r="S71" s="424"/>
      <c r="T71" s="424"/>
      <c r="U71" s="424"/>
      <c r="V71" s="424"/>
      <c r="W71" s="424"/>
      <c r="X71" s="424"/>
      <c r="Y71" s="424"/>
      <c r="Z71" s="424"/>
      <c r="AA71" s="425"/>
      <c r="AB71" s="426" t="s">
        <v>44</v>
      </c>
      <c r="AC71" s="426"/>
      <c r="AD71" s="427"/>
      <c r="AF71" s="81">
        <f>SUM(AF68:AF70)</f>
        <v>96000</v>
      </c>
    </row>
    <row r="72" spans="1:32" ht="25.5" customHeight="1">
      <c r="A72" s="414">
        <v>1</v>
      </c>
      <c r="B72" s="415"/>
      <c r="C72" s="98" t="s">
        <v>112</v>
      </c>
      <c r="D72" s="216"/>
      <c r="E72" s="219" t="s">
        <v>539</v>
      </c>
      <c r="F72" s="416" t="s">
        <v>540</v>
      </c>
      <c r="G72" s="406"/>
      <c r="H72" s="406"/>
      <c r="I72" s="406"/>
      <c r="J72" s="406"/>
      <c r="K72" s="406" t="s">
        <v>541</v>
      </c>
      <c r="L72" s="406"/>
      <c r="M72" s="51" t="s">
        <v>500</v>
      </c>
      <c r="N72" s="417" t="s">
        <v>191</v>
      </c>
      <c r="O72" s="417"/>
      <c r="P72" s="418">
        <v>100</v>
      </c>
      <c r="Q72" s="418"/>
      <c r="R72" s="419" t="s">
        <v>300</v>
      </c>
      <c r="S72" s="419"/>
      <c r="T72" s="419"/>
      <c r="U72" s="419"/>
      <c r="V72" s="419"/>
      <c r="W72" s="419"/>
      <c r="X72" s="419"/>
      <c r="Y72" s="419"/>
      <c r="Z72" s="419"/>
      <c r="AA72" s="419"/>
      <c r="AB72" s="406"/>
      <c r="AC72" s="406"/>
      <c r="AD72" s="407"/>
      <c r="AF72" s="50"/>
    </row>
    <row r="73" spans="1:32" ht="25.5" customHeight="1">
      <c r="A73" s="414">
        <v>2</v>
      </c>
      <c r="B73" s="415"/>
      <c r="C73" s="98"/>
      <c r="D73" s="216"/>
      <c r="E73" s="219"/>
      <c r="F73" s="420"/>
      <c r="G73" s="421"/>
      <c r="H73" s="421"/>
      <c r="I73" s="421"/>
      <c r="J73" s="422"/>
      <c r="K73" s="406"/>
      <c r="L73" s="406"/>
      <c r="M73" s="51"/>
      <c r="N73" s="417"/>
      <c r="O73" s="417"/>
      <c r="P73" s="418"/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3</v>
      </c>
      <c r="B74" s="415"/>
      <c r="C74" s="98"/>
      <c r="D74" s="216"/>
      <c r="E74" s="219"/>
      <c r="F74" s="416"/>
      <c r="G74" s="406"/>
      <c r="H74" s="406"/>
      <c r="I74" s="406"/>
      <c r="J74" s="406"/>
      <c r="K74" s="406"/>
      <c r="L74" s="406"/>
      <c r="M74" s="51"/>
      <c r="N74" s="417"/>
      <c r="O74" s="417"/>
      <c r="P74" s="418"/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4</v>
      </c>
      <c r="B75" s="415"/>
      <c r="C75" s="98"/>
      <c r="D75" s="216"/>
      <c r="E75" s="219"/>
      <c r="F75" s="420"/>
      <c r="G75" s="421"/>
      <c r="H75" s="421"/>
      <c r="I75" s="421"/>
      <c r="J75" s="422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5</v>
      </c>
      <c r="B76" s="415"/>
      <c r="C76" s="98"/>
      <c r="D76" s="216"/>
      <c r="E76" s="219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6</v>
      </c>
      <c r="B77" s="415"/>
      <c r="C77" s="98"/>
      <c r="D77" s="216"/>
      <c r="E77" s="219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7</v>
      </c>
      <c r="B78" s="415"/>
      <c r="C78" s="98"/>
      <c r="D78" s="216"/>
      <c r="E78" s="219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8</v>
      </c>
      <c r="B79" s="415"/>
      <c r="C79" s="98"/>
      <c r="D79" s="216"/>
      <c r="E79" s="219"/>
      <c r="F79" s="416"/>
      <c r="G79" s="406"/>
      <c r="H79" s="406"/>
      <c r="I79" s="406"/>
      <c r="J79" s="406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9</v>
      </c>
      <c r="B80" s="415"/>
      <c r="C80" s="98"/>
      <c r="D80" s="216"/>
      <c r="E80" s="219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10</v>
      </c>
      <c r="B81" s="415"/>
      <c r="C81" s="98"/>
      <c r="D81" s="216"/>
      <c r="E81" s="219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6.25" customHeight="1" thickBot="1">
      <c r="A82" s="386" t="s">
        <v>542</v>
      </c>
      <c r="B82" s="386"/>
      <c r="C82" s="386"/>
      <c r="D82" s="386"/>
      <c r="E82" s="386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408" t="s">
        <v>111</v>
      </c>
      <c r="B83" s="409"/>
      <c r="C83" s="218" t="s">
        <v>2</v>
      </c>
      <c r="D83" s="218" t="s">
        <v>37</v>
      </c>
      <c r="E83" s="218" t="s">
        <v>120</v>
      </c>
      <c r="F83" s="388" t="s">
        <v>38</v>
      </c>
      <c r="G83" s="388"/>
      <c r="H83" s="388"/>
      <c r="I83" s="388"/>
      <c r="J83" s="388"/>
      <c r="K83" s="410" t="s">
        <v>58</v>
      </c>
      <c r="L83" s="411"/>
      <c r="M83" s="411"/>
      <c r="N83" s="411"/>
      <c r="O83" s="411"/>
      <c r="P83" s="411"/>
      <c r="Q83" s="411"/>
      <c r="R83" s="411"/>
      <c r="S83" s="412"/>
      <c r="T83" s="388" t="s">
        <v>49</v>
      </c>
      <c r="U83" s="388"/>
      <c r="V83" s="410" t="s">
        <v>50</v>
      </c>
      <c r="W83" s="412"/>
      <c r="X83" s="411" t="s">
        <v>51</v>
      </c>
      <c r="Y83" s="411"/>
      <c r="Z83" s="411"/>
      <c r="AA83" s="411"/>
      <c r="AB83" s="411"/>
      <c r="AC83" s="411"/>
      <c r="AD83" s="413"/>
      <c r="AF83" s="50"/>
    </row>
    <row r="84" spans="1:32" ht="33.75" customHeight="1">
      <c r="A84" s="380">
        <v>1</v>
      </c>
      <c r="B84" s="381"/>
      <c r="C84" s="217"/>
      <c r="D84" s="217"/>
      <c r="E84" s="65"/>
      <c r="F84" s="395"/>
      <c r="G84" s="396"/>
      <c r="H84" s="396"/>
      <c r="I84" s="396"/>
      <c r="J84" s="397"/>
      <c r="K84" s="398"/>
      <c r="L84" s="399"/>
      <c r="M84" s="399"/>
      <c r="N84" s="399"/>
      <c r="O84" s="399"/>
      <c r="P84" s="399"/>
      <c r="Q84" s="399"/>
      <c r="R84" s="399"/>
      <c r="S84" s="400"/>
      <c r="T84" s="401"/>
      <c r="U84" s="402"/>
      <c r="V84" s="403"/>
      <c r="W84" s="403"/>
      <c r="X84" s="404"/>
      <c r="Y84" s="404"/>
      <c r="Z84" s="404"/>
      <c r="AA84" s="404"/>
      <c r="AB84" s="404"/>
      <c r="AC84" s="404"/>
      <c r="AD84" s="405"/>
      <c r="AF84" s="50"/>
    </row>
    <row r="85" spans="1:32" ht="30" customHeight="1">
      <c r="A85" s="373">
        <f>A84+1</f>
        <v>2</v>
      </c>
      <c r="B85" s="374"/>
      <c r="C85" s="216"/>
      <c r="D85" s="216"/>
      <c r="E85" s="32"/>
      <c r="F85" s="374"/>
      <c r="G85" s="374"/>
      <c r="H85" s="374"/>
      <c r="I85" s="374"/>
      <c r="J85" s="374"/>
      <c r="K85" s="389"/>
      <c r="L85" s="390"/>
      <c r="M85" s="390"/>
      <c r="N85" s="390"/>
      <c r="O85" s="390"/>
      <c r="P85" s="390"/>
      <c r="Q85" s="390"/>
      <c r="R85" s="390"/>
      <c r="S85" s="391"/>
      <c r="T85" s="392"/>
      <c r="U85" s="392"/>
      <c r="V85" s="392"/>
      <c r="W85" s="392"/>
      <c r="X85" s="393"/>
      <c r="Y85" s="393"/>
      <c r="Z85" s="393"/>
      <c r="AA85" s="393"/>
      <c r="AB85" s="393"/>
      <c r="AC85" s="393"/>
      <c r="AD85" s="394"/>
      <c r="AF85" s="50"/>
    </row>
    <row r="86" spans="1:32" ht="30" customHeight="1">
      <c r="A86" s="373">
        <f t="shared" ref="A86:A90" si="11">A85+1</f>
        <v>3</v>
      </c>
      <c r="B86" s="374"/>
      <c r="C86" s="216"/>
      <c r="D86" s="216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si="11"/>
        <v>4</v>
      </c>
      <c r="B87" s="374"/>
      <c r="C87" s="216"/>
      <c r="D87" s="216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1"/>
        <v>5</v>
      </c>
      <c r="B88" s="374"/>
      <c r="C88" s="216"/>
      <c r="D88" s="216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1"/>
        <v>6</v>
      </c>
      <c r="B89" s="374"/>
      <c r="C89" s="216"/>
      <c r="D89" s="216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1"/>
        <v>7</v>
      </c>
      <c r="B90" s="374"/>
      <c r="C90" s="216"/>
      <c r="D90" s="216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6" thickBot="1">
      <c r="A91" s="386" t="s">
        <v>543</v>
      </c>
      <c r="B91" s="386"/>
      <c r="C91" s="386"/>
      <c r="D91" s="386"/>
      <c r="E91" s="386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387" t="s">
        <v>111</v>
      </c>
      <c r="B92" s="388"/>
      <c r="C92" s="378" t="s">
        <v>52</v>
      </c>
      <c r="D92" s="378"/>
      <c r="E92" s="378" t="s">
        <v>53</v>
      </c>
      <c r="F92" s="378"/>
      <c r="G92" s="378"/>
      <c r="H92" s="378"/>
      <c r="I92" s="378"/>
      <c r="J92" s="378"/>
      <c r="K92" s="378" t="s">
        <v>54</v>
      </c>
      <c r="L92" s="378"/>
      <c r="M92" s="378"/>
      <c r="N92" s="378"/>
      <c r="O92" s="378"/>
      <c r="P92" s="378"/>
      <c r="Q92" s="378"/>
      <c r="R92" s="378"/>
      <c r="S92" s="378"/>
      <c r="T92" s="378" t="s">
        <v>55</v>
      </c>
      <c r="U92" s="378"/>
      <c r="V92" s="378" t="s">
        <v>56</v>
      </c>
      <c r="W92" s="378"/>
      <c r="X92" s="378"/>
      <c r="Y92" s="378" t="s">
        <v>51</v>
      </c>
      <c r="Z92" s="378"/>
      <c r="AA92" s="378"/>
      <c r="AB92" s="378"/>
      <c r="AC92" s="378"/>
      <c r="AD92" s="379"/>
      <c r="AF92" s="50"/>
    </row>
    <row r="93" spans="1:32" ht="30.75" customHeight="1">
      <c r="A93" s="380">
        <v>1</v>
      </c>
      <c r="B93" s="381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3"/>
      <c r="W93" s="383"/>
      <c r="X93" s="383"/>
      <c r="Y93" s="384"/>
      <c r="Z93" s="384"/>
      <c r="AA93" s="384"/>
      <c r="AB93" s="384"/>
      <c r="AC93" s="384"/>
      <c r="AD93" s="385"/>
      <c r="AF93" s="50"/>
    </row>
    <row r="94" spans="1:32" ht="30.75" customHeight="1">
      <c r="A94" s="373">
        <v>2</v>
      </c>
      <c r="B94" s="374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6"/>
      <c r="U94" s="376"/>
      <c r="V94" s="377"/>
      <c r="W94" s="377"/>
      <c r="X94" s="377"/>
      <c r="Y94" s="365"/>
      <c r="Z94" s="365"/>
      <c r="AA94" s="365"/>
      <c r="AB94" s="365"/>
      <c r="AC94" s="365"/>
      <c r="AD94" s="366"/>
      <c r="AF94" s="50"/>
    </row>
    <row r="95" spans="1:32" ht="30.75" customHeight="1" thickBot="1">
      <c r="A95" s="367">
        <v>3</v>
      </c>
      <c r="B95" s="368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70"/>
      <c r="W95" s="370"/>
      <c r="X95" s="370"/>
      <c r="Y95" s="371"/>
      <c r="Z95" s="371"/>
      <c r="AA95" s="371"/>
      <c r="AB95" s="371"/>
      <c r="AC95" s="371"/>
      <c r="AD95" s="372"/>
      <c r="AF95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72D3-98E3-4C5B-8EB0-573DB96B7693}">
  <sheetPr codeName="Sheet11">
    <pageSetUpPr fitToPage="1"/>
  </sheetPr>
  <dimension ref="A1:AF98"/>
  <sheetViews>
    <sheetView view="pageBreakPreview" topLeftCell="A10" zoomScale="70" zoomScaleNormal="72" zoomScaleSheetLayoutView="70" workbookViewId="0">
      <selection activeCell="I28" sqref="I28:M2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544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241" t="s">
        <v>17</v>
      </c>
      <c r="L5" s="241" t="s">
        <v>18</v>
      </c>
      <c r="M5" s="241" t="s">
        <v>19</v>
      </c>
      <c r="N5" s="24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112</v>
      </c>
      <c r="D6" s="52" t="s">
        <v>224</v>
      </c>
      <c r="E6" s="53" t="s">
        <v>515</v>
      </c>
      <c r="F6" s="30" t="s">
        <v>138</v>
      </c>
      <c r="G6" s="12">
        <v>1</v>
      </c>
      <c r="H6" s="13">
        <v>24</v>
      </c>
      <c r="I6" s="31">
        <v>1000</v>
      </c>
      <c r="J6" s="14">
        <v>2658</v>
      </c>
      <c r="K6" s="15">
        <f>L6</f>
        <v>2658</v>
      </c>
      <c r="L6" s="15">
        <f>2256+402</f>
        <v>2658</v>
      </c>
      <c r="M6" s="15">
        <f t="shared" ref="M6:M32" si="0">L6-N6</f>
        <v>2658</v>
      </c>
      <c r="N6" s="15">
        <v>0</v>
      </c>
      <c r="O6" s="58">
        <f t="shared" ref="O6:O33" si="1">IF(L6=0,"0",N6/L6)</f>
        <v>0</v>
      </c>
      <c r="P6" s="39">
        <f t="shared" ref="P6:P32" si="2">IF(L6=0,"0",(24-Q6))</f>
        <v>16</v>
      </c>
      <c r="Q6" s="40">
        <f t="shared" ref="Q6:Q32" si="3">SUM(R6:AA6)</f>
        <v>8</v>
      </c>
      <c r="R6" s="7"/>
      <c r="S6" s="6">
        <v>6</v>
      </c>
      <c r="T6" s="16"/>
      <c r="U6" s="16"/>
      <c r="V6" s="17"/>
      <c r="W6" s="5">
        <v>2</v>
      </c>
      <c r="X6" s="16"/>
      <c r="Y6" s="16"/>
      <c r="Z6" s="16"/>
      <c r="AA6" s="18"/>
      <c r="AB6" s="8">
        <f t="shared" ref="AB6:AB32" si="4">IF(J6=0,"0",(L6/J6))</f>
        <v>1</v>
      </c>
      <c r="AC6" s="9">
        <f t="shared" ref="AC6:AC32" si="5">IF(P6=0,"0",(P6/24))</f>
        <v>0.66666666666666663</v>
      </c>
      <c r="AD6" s="10">
        <f>AC6*AB6*(1-O6)</f>
        <v>0.66666666666666663</v>
      </c>
      <c r="AE6" s="36">
        <f t="shared" ref="AE6:AE32" si="6">$AD$33</f>
        <v>0.56327160493827155</v>
      </c>
      <c r="AF6" s="81">
        <f t="shared" ref="AF6:AF32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115</v>
      </c>
      <c r="E7" s="53" t="s">
        <v>463</v>
      </c>
      <c r="F7" s="30" t="s">
        <v>136</v>
      </c>
      <c r="G7" s="12">
        <v>1</v>
      </c>
      <c r="H7" s="13">
        <v>24</v>
      </c>
      <c r="I7" s="31">
        <v>100</v>
      </c>
      <c r="J7" s="14">
        <v>221</v>
      </c>
      <c r="K7" s="15">
        <f>L7+221</f>
        <v>221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ref="AD7:AD32" si="8">AC7*AB7*(1-O7)</f>
        <v>0</v>
      </c>
      <c r="AE7" s="36">
        <f t="shared" si="6"/>
        <v>0.56327160493827155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392</v>
      </c>
      <c r="F8" s="30" t="s">
        <v>152</v>
      </c>
      <c r="G8" s="12">
        <v>1</v>
      </c>
      <c r="H8" s="13">
        <v>35</v>
      </c>
      <c r="I8" s="31">
        <v>3000</v>
      </c>
      <c r="J8" s="5">
        <v>1382</v>
      </c>
      <c r="K8" s="15">
        <f>L8+587+104+747+1518+259</f>
        <v>4597</v>
      </c>
      <c r="L8" s="15">
        <f>407+975</f>
        <v>1382</v>
      </c>
      <c r="M8" s="15">
        <f t="shared" si="0"/>
        <v>1382</v>
      </c>
      <c r="N8" s="15">
        <v>0</v>
      </c>
      <c r="O8" s="58">
        <f t="shared" si="1"/>
        <v>0</v>
      </c>
      <c r="P8" s="39">
        <f t="shared" si="2"/>
        <v>10</v>
      </c>
      <c r="Q8" s="40">
        <f t="shared" si="3"/>
        <v>14</v>
      </c>
      <c r="R8" s="7"/>
      <c r="S8" s="6">
        <v>14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0.41666666666666669</v>
      </c>
      <c r="AD8" s="10">
        <f t="shared" si="8"/>
        <v>0.41666666666666669</v>
      </c>
      <c r="AE8" s="36">
        <f t="shared" si="6"/>
        <v>0.56327160493827155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324</v>
      </c>
      <c r="F9" s="30" t="s">
        <v>348</v>
      </c>
      <c r="G9" s="12">
        <v>1</v>
      </c>
      <c r="H9" s="13">
        <v>24</v>
      </c>
      <c r="I9" s="7">
        <v>260000</v>
      </c>
      <c r="J9" s="14">
        <v>4837</v>
      </c>
      <c r="K9" s="15">
        <f>L9+4269+5331+5350+4338+5606+3735</f>
        <v>33466</v>
      </c>
      <c r="L9" s="15">
        <f>2877+1960</f>
        <v>4837</v>
      </c>
      <c r="M9" s="15">
        <f t="shared" si="0"/>
        <v>4837</v>
      </c>
      <c r="N9" s="15">
        <v>0</v>
      </c>
      <c r="O9" s="58">
        <f t="shared" si="1"/>
        <v>0</v>
      </c>
      <c r="P9" s="39">
        <f t="shared" si="2"/>
        <v>21</v>
      </c>
      <c r="Q9" s="40">
        <f t="shared" si="3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0.875</v>
      </c>
      <c r="AD9" s="10">
        <f t="shared" si="8"/>
        <v>0.875</v>
      </c>
      <c r="AE9" s="36">
        <f t="shared" si="6"/>
        <v>0.56327160493827155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115</v>
      </c>
      <c r="E10" s="53" t="s">
        <v>530</v>
      </c>
      <c r="F10" s="30" t="s">
        <v>196</v>
      </c>
      <c r="G10" s="33">
        <v>1</v>
      </c>
      <c r="H10" s="35">
        <v>24</v>
      </c>
      <c r="I10" s="7">
        <v>5000</v>
      </c>
      <c r="J10" s="14">
        <v>5155</v>
      </c>
      <c r="K10" s="15">
        <f>L10</f>
        <v>5155</v>
      </c>
      <c r="L10" s="15">
        <f>2831+2324</f>
        <v>5155</v>
      </c>
      <c r="M10" s="15">
        <f t="shared" si="0"/>
        <v>5155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0.56327160493827155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116</v>
      </c>
      <c r="D11" s="52" t="s">
        <v>307</v>
      </c>
      <c r="E11" s="53" t="s">
        <v>527</v>
      </c>
      <c r="F11" s="30" t="s">
        <v>165</v>
      </c>
      <c r="G11" s="33">
        <v>2</v>
      </c>
      <c r="H11" s="35">
        <v>24</v>
      </c>
      <c r="I11" s="7">
        <v>1000</v>
      </c>
      <c r="J11" s="14">
        <v>8026</v>
      </c>
      <c r="K11" s="15">
        <f>L11</f>
        <v>8026</v>
      </c>
      <c r="L11" s="15">
        <f>2320*2+1693*2</f>
        <v>8026</v>
      </c>
      <c r="M11" s="15">
        <f t="shared" si="0"/>
        <v>8026</v>
      </c>
      <c r="N11" s="15">
        <v>0</v>
      </c>
      <c r="O11" s="58">
        <f t="shared" si="1"/>
        <v>0</v>
      </c>
      <c r="P11" s="39">
        <f t="shared" si="2"/>
        <v>21</v>
      </c>
      <c r="Q11" s="40">
        <f t="shared" si="3"/>
        <v>3</v>
      </c>
      <c r="R11" s="7"/>
      <c r="S11" s="6"/>
      <c r="T11" s="16"/>
      <c r="U11" s="16"/>
      <c r="V11" s="17"/>
      <c r="W11" s="5">
        <v>3</v>
      </c>
      <c r="X11" s="16"/>
      <c r="Y11" s="16"/>
      <c r="Z11" s="16"/>
      <c r="AA11" s="18"/>
      <c r="AB11" s="8">
        <f t="shared" si="4"/>
        <v>1</v>
      </c>
      <c r="AC11" s="9">
        <f t="shared" si="5"/>
        <v>0.875</v>
      </c>
      <c r="AD11" s="10">
        <f t="shared" si="8"/>
        <v>0.875</v>
      </c>
      <c r="AE11" s="36">
        <f t="shared" si="6"/>
        <v>0.56327160493827155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80000</v>
      </c>
      <c r="J12" s="5">
        <v>5013</v>
      </c>
      <c r="K12" s="15">
        <f>L12+2299+960+4314+5153+4996+5031+573+5044+5157+4963+4296+5172+5278+5197+4806</f>
        <v>68252</v>
      </c>
      <c r="L12" s="15">
        <f>2651+2362</f>
        <v>5013</v>
      </c>
      <c r="M12" s="15">
        <f t="shared" si="0"/>
        <v>5013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0.56327160493827155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116</v>
      </c>
      <c r="D13" s="52" t="s">
        <v>307</v>
      </c>
      <c r="E13" s="53" t="s">
        <v>533</v>
      </c>
      <c r="F13" s="30" t="s">
        <v>165</v>
      </c>
      <c r="G13" s="33">
        <v>2</v>
      </c>
      <c r="H13" s="35">
        <v>22</v>
      </c>
      <c r="I13" s="7">
        <v>200</v>
      </c>
      <c r="J13" s="14">
        <v>2402</v>
      </c>
      <c r="K13" s="15">
        <f>L13</f>
        <v>2402</v>
      </c>
      <c r="L13" s="15">
        <f>1201*2</f>
        <v>2402</v>
      </c>
      <c r="M13" s="15">
        <f t="shared" si="0"/>
        <v>2402</v>
      </c>
      <c r="N13" s="15">
        <v>0</v>
      </c>
      <c r="O13" s="58">
        <f t="shared" si="1"/>
        <v>0</v>
      </c>
      <c r="P13" s="39">
        <f t="shared" si="2"/>
        <v>6</v>
      </c>
      <c r="Q13" s="40">
        <f t="shared" si="3"/>
        <v>18</v>
      </c>
      <c r="R13" s="7"/>
      <c r="S13" s="6"/>
      <c r="T13" s="16"/>
      <c r="U13" s="16"/>
      <c r="V13" s="17"/>
      <c r="W13" s="5">
        <v>18</v>
      </c>
      <c r="X13" s="16"/>
      <c r="Y13" s="16"/>
      <c r="Z13" s="16"/>
      <c r="AA13" s="18"/>
      <c r="AB13" s="8">
        <f t="shared" si="4"/>
        <v>1</v>
      </c>
      <c r="AC13" s="9">
        <f t="shared" si="5"/>
        <v>0.25</v>
      </c>
      <c r="AD13" s="10">
        <f t="shared" si="8"/>
        <v>0.25</v>
      </c>
      <c r="AE13" s="36">
        <f t="shared" si="6"/>
        <v>0.56327160493827155</v>
      </c>
      <c r="AF13" s="81">
        <f t="shared" si="7"/>
        <v>8</v>
      </c>
    </row>
    <row r="14" spans="1:32" ht="27" customHeight="1">
      <c r="A14" s="92">
        <v>8</v>
      </c>
      <c r="B14" s="11" t="s">
        <v>57</v>
      </c>
      <c r="C14" s="11" t="s">
        <v>112</v>
      </c>
      <c r="D14" s="52" t="s">
        <v>115</v>
      </c>
      <c r="E14" s="53" t="s">
        <v>545</v>
      </c>
      <c r="F14" s="30" t="s">
        <v>122</v>
      </c>
      <c r="G14" s="33">
        <v>1</v>
      </c>
      <c r="H14" s="35">
        <v>22</v>
      </c>
      <c r="I14" s="7">
        <v>6000</v>
      </c>
      <c r="J14" s="14">
        <v>3754</v>
      </c>
      <c r="K14" s="15">
        <f>L14</f>
        <v>3754</v>
      </c>
      <c r="L14" s="15">
        <f>2962+792</f>
        <v>3754</v>
      </c>
      <c r="M14" s="15">
        <f t="shared" ref="M14" si="9">L14-N14</f>
        <v>3754</v>
      </c>
      <c r="N14" s="15">
        <v>0</v>
      </c>
      <c r="O14" s="58">
        <f t="shared" ref="O14" si="10">IF(L14=0,"0",N14/L14)</f>
        <v>0</v>
      </c>
      <c r="P14" s="39">
        <f t="shared" ref="P14" si="11">IF(L14=0,"0",(24-Q14))</f>
        <v>16</v>
      </c>
      <c r="Q14" s="40">
        <f t="shared" ref="Q14" si="12">SUM(R14:AA14)</f>
        <v>8</v>
      </c>
      <c r="R14" s="7"/>
      <c r="S14" s="6"/>
      <c r="T14" s="16">
        <v>8</v>
      </c>
      <c r="U14" s="16"/>
      <c r="V14" s="17"/>
      <c r="W14" s="5"/>
      <c r="X14" s="16"/>
      <c r="Y14" s="16"/>
      <c r="Z14" s="16"/>
      <c r="AA14" s="18"/>
      <c r="AB14" s="8">
        <f t="shared" ref="AB14" si="13">IF(J14=0,"0",(L14/J14))</f>
        <v>1</v>
      </c>
      <c r="AC14" s="9">
        <f t="shared" ref="AC14" si="14">IF(P14=0,"0",(P14/24))</f>
        <v>0.66666666666666663</v>
      </c>
      <c r="AD14" s="10">
        <f t="shared" ref="AD14" si="15">AC14*AB14*(1-O14)</f>
        <v>0.66666666666666663</v>
      </c>
      <c r="AE14" s="36">
        <f t="shared" si="6"/>
        <v>0.56327160493827155</v>
      </c>
      <c r="AF14" s="81">
        <f t="shared" ref="AF14" si="16">A14</f>
        <v>8</v>
      </c>
    </row>
    <row r="15" spans="1:32" ht="27" customHeight="1">
      <c r="A15" s="99">
        <v>9</v>
      </c>
      <c r="B15" s="11" t="s">
        <v>57</v>
      </c>
      <c r="C15" s="34" t="s">
        <v>112</v>
      </c>
      <c r="D15" s="52" t="s">
        <v>121</v>
      </c>
      <c r="E15" s="53" t="s">
        <v>174</v>
      </c>
      <c r="F15" s="30" t="s">
        <v>175</v>
      </c>
      <c r="G15" s="33">
        <v>1</v>
      </c>
      <c r="H15" s="35">
        <v>50</v>
      </c>
      <c r="I15" s="7">
        <v>350</v>
      </c>
      <c r="J15" s="5">
        <v>421</v>
      </c>
      <c r="K15" s="15">
        <f>L15+421</f>
        <v>421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0.56327160493827155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126</v>
      </c>
      <c r="D16" s="52"/>
      <c r="E16" s="53" t="s">
        <v>400</v>
      </c>
      <c r="F16" s="30" t="s">
        <v>411</v>
      </c>
      <c r="G16" s="12">
        <v>4</v>
      </c>
      <c r="H16" s="13">
        <v>24</v>
      </c>
      <c r="I16" s="31">
        <v>200000</v>
      </c>
      <c r="J16" s="14">
        <v>32884</v>
      </c>
      <c r="K16" s="15">
        <f>L16+22472+34740+34160+31964</f>
        <v>156220</v>
      </c>
      <c r="L16" s="15">
        <f>4642*4+3579*4</f>
        <v>32884</v>
      </c>
      <c r="M16" s="15">
        <f t="shared" si="0"/>
        <v>32884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0.56327160493827155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197</v>
      </c>
      <c r="E17" s="53" t="s">
        <v>366</v>
      </c>
      <c r="F17" s="30" t="s">
        <v>123</v>
      </c>
      <c r="G17" s="12">
        <v>2</v>
      </c>
      <c r="H17" s="13">
        <v>22</v>
      </c>
      <c r="I17" s="31">
        <v>260000</v>
      </c>
      <c r="J17" s="5">
        <v>7670</v>
      </c>
      <c r="K17" s="15">
        <f>L17+9350+9873+10572+11420+9694</f>
        <v>58579</v>
      </c>
      <c r="L17" s="15">
        <f>2780*2+1055*2</f>
        <v>7670</v>
      </c>
      <c r="M17" s="15">
        <f t="shared" si="0"/>
        <v>7670</v>
      </c>
      <c r="N17" s="15">
        <v>0</v>
      </c>
      <c r="O17" s="58">
        <f t="shared" si="1"/>
        <v>0</v>
      </c>
      <c r="P17" s="39">
        <f t="shared" si="2"/>
        <v>20</v>
      </c>
      <c r="Q17" s="40">
        <f t="shared" si="3"/>
        <v>4</v>
      </c>
      <c r="R17" s="7"/>
      <c r="S17" s="6">
        <v>4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0.83333333333333337</v>
      </c>
      <c r="AD17" s="10">
        <f t="shared" si="8"/>
        <v>0.83333333333333337</v>
      </c>
      <c r="AE17" s="36">
        <f t="shared" si="6"/>
        <v>0.56327160493827155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116</v>
      </c>
      <c r="D18" s="52" t="s">
        <v>137</v>
      </c>
      <c r="E18" s="53" t="s">
        <v>532</v>
      </c>
      <c r="F18" s="30" t="s">
        <v>478</v>
      </c>
      <c r="G18" s="12">
        <v>1</v>
      </c>
      <c r="H18" s="13">
        <v>24</v>
      </c>
      <c r="I18" s="7">
        <v>300</v>
      </c>
      <c r="J18" s="14">
        <v>1191</v>
      </c>
      <c r="K18" s="15">
        <f>L18</f>
        <v>1191</v>
      </c>
      <c r="L18" s="15">
        <f>1191</f>
        <v>1191</v>
      </c>
      <c r="M18" s="15">
        <f t="shared" si="0"/>
        <v>1191</v>
      </c>
      <c r="N18" s="15">
        <v>0</v>
      </c>
      <c r="O18" s="58">
        <f t="shared" si="1"/>
        <v>0</v>
      </c>
      <c r="P18" s="39">
        <f t="shared" si="2"/>
        <v>6</v>
      </c>
      <c r="Q18" s="40">
        <f t="shared" si="3"/>
        <v>18</v>
      </c>
      <c r="R18" s="7"/>
      <c r="S18" s="6"/>
      <c r="T18" s="16"/>
      <c r="U18" s="16"/>
      <c r="V18" s="17"/>
      <c r="W18" s="5">
        <v>18</v>
      </c>
      <c r="X18" s="16"/>
      <c r="Y18" s="16"/>
      <c r="Z18" s="16"/>
      <c r="AA18" s="18"/>
      <c r="AB18" s="8">
        <f t="shared" si="4"/>
        <v>1</v>
      </c>
      <c r="AC18" s="9">
        <f t="shared" si="5"/>
        <v>0.25</v>
      </c>
      <c r="AD18" s="10">
        <f t="shared" si="8"/>
        <v>0.25</v>
      </c>
      <c r="AE18" s="36">
        <f t="shared" si="6"/>
        <v>0.56327160493827155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116</v>
      </c>
      <c r="D19" s="52" t="s">
        <v>115</v>
      </c>
      <c r="E19" s="53" t="s">
        <v>371</v>
      </c>
      <c r="F19" s="30" t="s">
        <v>135</v>
      </c>
      <c r="G19" s="12">
        <v>2</v>
      </c>
      <c r="H19" s="13">
        <v>22</v>
      </c>
      <c r="I19" s="31">
        <v>260000</v>
      </c>
      <c r="J19" s="5">
        <v>10658</v>
      </c>
      <c r="K19" s="15">
        <f>L19+10480+11444+11648+11082+10368</f>
        <v>65680</v>
      </c>
      <c r="L19" s="15">
        <f>2831*2+2498*2</f>
        <v>10658</v>
      </c>
      <c r="M19" s="15">
        <f t="shared" si="0"/>
        <v>10658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0.56327160493827155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149</v>
      </c>
      <c r="E20" s="53" t="s">
        <v>469</v>
      </c>
      <c r="F20" s="30" t="s">
        <v>123</v>
      </c>
      <c r="G20" s="33">
        <v>1</v>
      </c>
      <c r="H20" s="35">
        <v>24</v>
      </c>
      <c r="I20" s="7">
        <v>15000</v>
      </c>
      <c r="J20" s="14">
        <v>5231</v>
      </c>
      <c r="K20" s="15">
        <f>L20+5078+5131</f>
        <v>15440</v>
      </c>
      <c r="L20" s="15">
        <f>2866+2365</f>
        <v>5231</v>
      </c>
      <c r="M20" s="15">
        <f t="shared" si="0"/>
        <v>5231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0.56327160493827155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116</v>
      </c>
      <c r="D21" s="52" t="s">
        <v>197</v>
      </c>
      <c r="E21" s="53" t="s">
        <v>537</v>
      </c>
      <c r="F21" s="30" t="s">
        <v>306</v>
      </c>
      <c r="G21" s="33">
        <v>1</v>
      </c>
      <c r="H21" s="35">
        <v>24</v>
      </c>
      <c r="I21" s="7">
        <v>300</v>
      </c>
      <c r="J21" s="14">
        <v>850</v>
      </c>
      <c r="K21" s="15">
        <f>L21</f>
        <v>850</v>
      </c>
      <c r="L21" s="15">
        <v>850</v>
      </c>
      <c r="M21" s="15">
        <f t="shared" si="0"/>
        <v>850</v>
      </c>
      <c r="N21" s="15">
        <v>0</v>
      </c>
      <c r="O21" s="58">
        <f t="shared" si="1"/>
        <v>0</v>
      </c>
      <c r="P21" s="39">
        <f t="shared" si="2"/>
        <v>5</v>
      </c>
      <c r="Q21" s="40">
        <f t="shared" si="3"/>
        <v>19</v>
      </c>
      <c r="R21" s="7"/>
      <c r="S21" s="6"/>
      <c r="T21" s="16"/>
      <c r="U21" s="16"/>
      <c r="V21" s="17"/>
      <c r="W21" s="5">
        <v>19</v>
      </c>
      <c r="X21" s="16"/>
      <c r="Y21" s="16"/>
      <c r="Z21" s="16"/>
      <c r="AA21" s="18"/>
      <c r="AB21" s="8">
        <f t="shared" si="4"/>
        <v>1</v>
      </c>
      <c r="AC21" s="9">
        <f t="shared" si="5"/>
        <v>0.20833333333333334</v>
      </c>
      <c r="AD21" s="10">
        <f t="shared" si="8"/>
        <v>0.20833333333333334</v>
      </c>
      <c r="AE21" s="36">
        <f t="shared" si="6"/>
        <v>0.56327160493827155</v>
      </c>
      <c r="AF21" s="81">
        <f t="shared" si="7"/>
        <v>15</v>
      </c>
    </row>
    <row r="22" spans="1:32" ht="27" customHeight="1">
      <c r="A22" s="106">
        <v>15</v>
      </c>
      <c r="B22" s="11" t="s">
        <v>57</v>
      </c>
      <c r="C22" s="11" t="s">
        <v>116</v>
      </c>
      <c r="D22" s="52" t="s">
        <v>115</v>
      </c>
      <c r="E22" s="53" t="s">
        <v>546</v>
      </c>
      <c r="F22" s="30" t="s">
        <v>159</v>
      </c>
      <c r="G22" s="33">
        <v>1</v>
      </c>
      <c r="H22" s="35">
        <v>24</v>
      </c>
      <c r="I22" s="7">
        <v>300</v>
      </c>
      <c r="J22" s="14">
        <v>550</v>
      </c>
      <c r="K22" s="15">
        <f>L22</f>
        <v>550</v>
      </c>
      <c r="L22" s="15">
        <v>550</v>
      </c>
      <c r="M22" s="15">
        <f t="shared" ref="M22" si="17">L22-N22</f>
        <v>550</v>
      </c>
      <c r="N22" s="15">
        <v>0</v>
      </c>
      <c r="O22" s="58">
        <f t="shared" ref="O22" si="18">IF(L22=0,"0",N22/L22)</f>
        <v>0</v>
      </c>
      <c r="P22" s="39">
        <f t="shared" ref="P22" si="19">IF(L22=0,"0",(24-Q22))</f>
        <v>4</v>
      </c>
      <c r="Q22" s="40">
        <f t="shared" ref="Q22" si="20">SUM(R22:AA22)</f>
        <v>20</v>
      </c>
      <c r="R22" s="7"/>
      <c r="S22" s="6"/>
      <c r="T22" s="16"/>
      <c r="U22" s="16"/>
      <c r="V22" s="17"/>
      <c r="W22" s="5">
        <v>20</v>
      </c>
      <c r="X22" s="16"/>
      <c r="Y22" s="16"/>
      <c r="Z22" s="16"/>
      <c r="AA22" s="18"/>
      <c r="AB22" s="8">
        <f t="shared" ref="AB22" si="21">IF(J22=0,"0",(L22/J22))</f>
        <v>1</v>
      </c>
      <c r="AC22" s="9">
        <f t="shared" ref="AC22" si="22">IF(P22=0,"0",(P22/24))</f>
        <v>0.16666666666666666</v>
      </c>
      <c r="AD22" s="10">
        <f t="shared" ref="AD22" si="23">AC22*AB22*(1-O22)</f>
        <v>0.16666666666666666</v>
      </c>
      <c r="AE22" s="36">
        <f t="shared" si="6"/>
        <v>0.56327160493827155</v>
      </c>
      <c r="AF22" s="81">
        <f t="shared" ref="AF22" si="24">A22</f>
        <v>15</v>
      </c>
    </row>
    <row r="23" spans="1:32" ht="27" customHeight="1">
      <c r="A23" s="106">
        <v>15</v>
      </c>
      <c r="B23" s="11" t="s">
        <v>57</v>
      </c>
      <c r="C23" s="11" t="s">
        <v>126</v>
      </c>
      <c r="D23" s="52"/>
      <c r="E23" s="53" t="s">
        <v>547</v>
      </c>
      <c r="F23" s="30" t="s">
        <v>123</v>
      </c>
      <c r="G23" s="33">
        <v>1</v>
      </c>
      <c r="H23" s="35">
        <v>24</v>
      </c>
      <c r="I23" s="7">
        <v>2000</v>
      </c>
      <c r="J23" s="14">
        <v>5702</v>
      </c>
      <c r="K23" s="15">
        <f>L23</f>
        <v>5702</v>
      </c>
      <c r="L23" s="15">
        <f>367*2+2484*2</f>
        <v>5702</v>
      </c>
      <c r="M23" s="15">
        <f t="shared" ref="M23" si="25">L23-N23</f>
        <v>5702</v>
      </c>
      <c r="N23" s="15">
        <v>0</v>
      </c>
      <c r="O23" s="58">
        <f t="shared" ref="O23" si="26">IF(L23=0,"0",N23/L23)</f>
        <v>0</v>
      </c>
      <c r="P23" s="39">
        <f t="shared" ref="P23" si="27">IF(L23=0,"0",(24-Q23))</f>
        <v>14</v>
      </c>
      <c r="Q23" s="40">
        <f t="shared" ref="Q23" si="28">SUM(R23:AA23)</f>
        <v>10</v>
      </c>
      <c r="R23" s="7"/>
      <c r="S23" s="6"/>
      <c r="T23" s="16">
        <v>10</v>
      </c>
      <c r="U23" s="16"/>
      <c r="V23" s="17"/>
      <c r="W23" s="5"/>
      <c r="X23" s="16"/>
      <c r="Y23" s="16"/>
      <c r="Z23" s="16"/>
      <c r="AA23" s="18"/>
      <c r="AB23" s="8">
        <f t="shared" ref="AB23" si="29">IF(J23=0,"0",(L23/J23))</f>
        <v>1</v>
      </c>
      <c r="AC23" s="9">
        <f t="shared" ref="AC23" si="30">IF(P23=0,"0",(P23/24))</f>
        <v>0.58333333333333337</v>
      </c>
      <c r="AD23" s="10">
        <f t="shared" ref="AD23" si="31">AC23*AB23*(1-O23)</f>
        <v>0.58333333333333337</v>
      </c>
      <c r="AE23" s="36">
        <f t="shared" si="6"/>
        <v>0.56327160493827155</v>
      </c>
      <c r="AF23" s="81">
        <f t="shared" ref="AF23" si="32">A23</f>
        <v>15</v>
      </c>
    </row>
    <row r="24" spans="1:32" ht="26.25" customHeight="1">
      <c r="A24" s="92">
        <v>16</v>
      </c>
      <c r="B24" s="11" t="s">
        <v>57</v>
      </c>
      <c r="C24" s="11" t="s">
        <v>113</v>
      </c>
      <c r="D24" s="52"/>
      <c r="E24" s="53" t="s">
        <v>352</v>
      </c>
      <c r="F24" s="12" t="s">
        <v>114</v>
      </c>
      <c r="G24" s="12">
        <v>4</v>
      </c>
      <c r="H24" s="35">
        <v>20</v>
      </c>
      <c r="I24" s="7">
        <v>2000000</v>
      </c>
      <c r="J24" s="14">
        <v>57148</v>
      </c>
      <c r="K24" s="15">
        <f>L24+43956+57712+63776+65248+68932+61324</f>
        <v>418096</v>
      </c>
      <c r="L24" s="15">
        <f>8216*4+6071*4</f>
        <v>57148</v>
      </c>
      <c r="M24" s="15">
        <f t="shared" si="0"/>
        <v>57148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8"/>
        <v>1</v>
      </c>
      <c r="AE24" s="36">
        <f t="shared" si="6"/>
        <v>0.56327160493827155</v>
      </c>
      <c r="AF24" s="81">
        <f t="shared" si="7"/>
        <v>16</v>
      </c>
    </row>
    <row r="25" spans="1:32" ht="26.25" customHeight="1">
      <c r="A25" s="115">
        <v>17</v>
      </c>
      <c r="B25" s="11" t="s">
        <v>57</v>
      </c>
      <c r="C25" s="11"/>
      <c r="D25" s="52"/>
      <c r="E25" s="53"/>
      <c r="F25" s="12"/>
      <c r="G25" s="12"/>
      <c r="H25" s="35"/>
      <c r="I25" s="7">
        <v>0</v>
      </c>
      <c r="J25" s="14">
        <v>0</v>
      </c>
      <c r="K25" s="15">
        <f>L25</f>
        <v>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/>
      <c r="W25" s="5">
        <v>24</v>
      </c>
      <c r="X25" s="16"/>
      <c r="Y25" s="16"/>
      <c r="Z25" s="16"/>
      <c r="AA25" s="18"/>
      <c r="AB25" s="8" t="str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0.56327160493827155</v>
      </c>
      <c r="AF25" s="81">
        <f t="shared" si="7"/>
        <v>17</v>
      </c>
    </row>
    <row r="26" spans="1:32" ht="26.25" customHeight="1">
      <c r="A26" s="115">
        <v>18</v>
      </c>
      <c r="B26" s="11" t="s">
        <v>57</v>
      </c>
      <c r="C26" s="11" t="s">
        <v>116</v>
      </c>
      <c r="D26" s="52" t="s">
        <v>178</v>
      </c>
      <c r="E26" s="53" t="s">
        <v>353</v>
      </c>
      <c r="F26" s="12" t="s">
        <v>180</v>
      </c>
      <c r="G26" s="12">
        <v>4</v>
      </c>
      <c r="H26" s="35">
        <v>15</v>
      </c>
      <c r="I26" s="7">
        <v>20000</v>
      </c>
      <c r="J26" s="14">
        <v>24024</v>
      </c>
      <c r="K26" s="15">
        <f>L26+14040+7084+2888+25304+4864</f>
        <v>78204</v>
      </c>
      <c r="L26" s="15">
        <f>3105*4+2901*4</f>
        <v>24024</v>
      </c>
      <c r="M26" s="15">
        <f t="shared" si="0"/>
        <v>24024</v>
      </c>
      <c r="N26" s="15">
        <v>0</v>
      </c>
      <c r="O26" s="58">
        <f t="shared" si="1"/>
        <v>0</v>
      </c>
      <c r="P26" s="39">
        <f t="shared" si="2"/>
        <v>16</v>
      </c>
      <c r="Q26" s="40">
        <f t="shared" si="3"/>
        <v>8</v>
      </c>
      <c r="R26" s="7"/>
      <c r="S26" s="6"/>
      <c r="T26" s="16"/>
      <c r="U26" s="16"/>
      <c r="V26" s="17"/>
      <c r="W26" s="5">
        <v>8</v>
      </c>
      <c r="X26" s="16"/>
      <c r="Y26" s="16"/>
      <c r="Z26" s="16"/>
      <c r="AA26" s="18"/>
      <c r="AB26" s="8">
        <f t="shared" si="4"/>
        <v>1</v>
      </c>
      <c r="AC26" s="9">
        <f t="shared" si="5"/>
        <v>0.66666666666666663</v>
      </c>
      <c r="AD26" s="10">
        <f t="shared" si="8"/>
        <v>0.66666666666666663</v>
      </c>
      <c r="AE26" s="36">
        <f t="shared" si="6"/>
        <v>0.56327160493827155</v>
      </c>
      <c r="AF26" s="81">
        <f t="shared" si="7"/>
        <v>18</v>
      </c>
    </row>
    <row r="27" spans="1:32" ht="21.75" customHeight="1">
      <c r="A27" s="92">
        <v>31</v>
      </c>
      <c r="B27" s="11" t="s">
        <v>57</v>
      </c>
      <c r="C27" s="11" t="s">
        <v>116</v>
      </c>
      <c r="D27" s="52" t="s">
        <v>115</v>
      </c>
      <c r="E27" s="53" t="s">
        <v>143</v>
      </c>
      <c r="F27" s="12" t="s">
        <v>135</v>
      </c>
      <c r="G27" s="12">
        <v>4</v>
      </c>
      <c r="H27" s="35">
        <v>20</v>
      </c>
      <c r="I27" s="7">
        <v>70000</v>
      </c>
      <c r="J27" s="14">
        <v>22300</v>
      </c>
      <c r="K27" s="15">
        <f>L27+22300</f>
        <v>22300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7">
        <v>24</v>
      </c>
      <c r="W27" s="5"/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0.56327160493827155</v>
      </c>
      <c r="AF27" s="81">
        <f t="shared" si="7"/>
        <v>31</v>
      </c>
    </row>
    <row r="28" spans="1:32" ht="21.75" customHeight="1">
      <c r="A28" s="92">
        <v>32</v>
      </c>
      <c r="B28" s="11" t="s">
        <v>57</v>
      </c>
      <c r="C28" s="11" t="s">
        <v>172</v>
      </c>
      <c r="D28" s="52"/>
      <c r="E28" s="53" t="s">
        <v>171</v>
      </c>
      <c r="F28" s="12" t="s">
        <v>173</v>
      </c>
      <c r="G28" s="12">
        <v>30</v>
      </c>
      <c r="H28" s="35">
        <v>20</v>
      </c>
      <c r="I28" s="7">
        <v>1000000</v>
      </c>
      <c r="J28" s="14">
        <v>322260</v>
      </c>
      <c r="K28" s="15">
        <f>L28</f>
        <v>322260</v>
      </c>
      <c r="L28" s="15">
        <f>1777*30+8965*30</f>
        <v>322260</v>
      </c>
      <c r="M28" s="15">
        <f t="shared" si="0"/>
        <v>322260</v>
      </c>
      <c r="N28" s="15">
        <v>0</v>
      </c>
      <c r="O28" s="58">
        <f t="shared" si="1"/>
        <v>0</v>
      </c>
      <c r="P28" s="39">
        <f t="shared" si="2"/>
        <v>18</v>
      </c>
      <c r="Q28" s="40">
        <f t="shared" si="3"/>
        <v>6</v>
      </c>
      <c r="R28" s="7"/>
      <c r="S28" s="6"/>
      <c r="T28" s="16">
        <v>6</v>
      </c>
      <c r="U28" s="16"/>
      <c r="V28" s="17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0.75</v>
      </c>
      <c r="AD28" s="10">
        <f t="shared" si="8"/>
        <v>0.75</v>
      </c>
      <c r="AE28" s="36">
        <f t="shared" si="6"/>
        <v>0.56327160493827155</v>
      </c>
      <c r="AF28" s="81">
        <f t="shared" si="7"/>
        <v>32</v>
      </c>
    </row>
    <row r="29" spans="1:32" ht="21.75" customHeight="1">
      <c r="A29" s="92">
        <v>33</v>
      </c>
      <c r="B29" s="11" t="s">
        <v>57</v>
      </c>
      <c r="C29" s="11" t="s">
        <v>116</v>
      </c>
      <c r="D29" s="52" t="s">
        <v>115</v>
      </c>
      <c r="E29" s="53" t="s">
        <v>414</v>
      </c>
      <c r="F29" s="12" t="s">
        <v>135</v>
      </c>
      <c r="G29" s="12">
        <v>3</v>
      </c>
      <c r="H29" s="35">
        <v>20</v>
      </c>
      <c r="I29" s="7">
        <v>130000</v>
      </c>
      <c r="J29" s="14">
        <v>15501</v>
      </c>
      <c r="K29" s="15">
        <f>L29+15220+23840+22923+6507</f>
        <v>83991</v>
      </c>
      <c r="L29" s="15">
        <f>2115*3+3052*3</f>
        <v>15501</v>
      </c>
      <c r="M29" s="15">
        <f t="shared" si="0"/>
        <v>15501</v>
      </c>
      <c r="N29" s="15">
        <v>0</v>
      </c>
      <c r="O29" s="58">
        <f t="shared" si="1"/>
        <v>0</v>
      </c>
      <c r="P29" s="39">
        <f t="shared" si="2"/>
        <v>24</v>
      </c>
      <c r="Q29" s="40">
        <f t="shared" si="3"/>
        <v>0</v>
      </c>
      <c r="R29" s="7"/>
      <c r="S29" s="6"/>
      <c r="T29" s="16"/>
      <c r="U29" s="16"/>
      <c r="V29" s="114"/>
      <c r="W29" s="5"/>
      <c r="X29" s="16"/>
      <c r="Y29" s="16"/>
      <c r="Z29" s="16"/>
      <c r="AA29" s="18"/>
      <c r="AB29" s="8">
        <f t="shared" si="4"/>
        <v>1</v>
      </c>
      <c r="AC29" s="9">
        <f t="shared" si="5"/>
        <v>1</v>
      </c>
      <c r="AD29" s="10">
        <f t="shared" si="8"/>
        <v>1</v>
      </c>
      <c r="AE29" s="36">
        <f t="shared" si="6"/>
        <v>0.56327160493827155</v>
      </c>
      <c r="AF29" s="81">
        <f t="shared" si="7"/>
        <v>33</v>
      </c>
    </row>
    <row r="30" spans="1:32" ht="21.75" customHeight="1">
      <c r="A30" s="92">
        <v>34</v>
      </c>
      <c r="B30" s="11" t="s">
        <v>57</v>
      </c>
      <c r="C30" s="11" t="s">
        <v>116</v>
      </c>
      <c r="D30" s="52" t="s">
        <v>197</v>
      </c>
      <c r="E30" s="53" t="s">
        <v>415</v>
      </c>
      <c r="F30" s="12" t="s">
        <v>124</v>
      </c>
      <c r="G30" s="12">
        <v>2</v>
      </c>
      <c r="H30" s="35">
        <v>20</v>
      </c>
      <c r="I30" s="7">
        <v>130000</v>
      </c>
      <c r="J30" s="14">
        <v>1958</v>
      </c>
      <c r="K30" s="15">
        <f>L30+15632+12648+1958</f>
        <v>30238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>
        <v>24</v>
      </c>
      <c r="T30" s="16"/>
      <c r="U30" s="16"/>
      <c r="V30" s="114"/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0.56327160493827155</v>
      </c>
      <c r="AF30" s="81">
        <f t="shared" si="7"/>
        <v>34</v>
      </c>
    </row>
    <row r="31" spans="1:32" ht="21.75" customHeight="1">
      <c r="A31" s="92">
        <v>35</v>
      </c>
      <c r="B31" s="11" t="s">
        <v>57</v>
      </c>
      <c r="C31" s="11" t="s">
        <v>116</v>
      </c>
      <c r="D31" s="52" t="s">
        <v>121</v>
      </c>
      <c r="E31" s="53" t="s">
        <v>416</v>
      </c>
      <c r="F31" s="12" t="s">
        <v>124</v>
      </c>
      <c r="G31" s="12">
        <v>4</v>
      </c>
      <c r="H31" s="35">
        <v>20</v>
      </c>
      <c r="I31" s="7">
        <v>130000</v>
      </c>
      <c r="J31" s="14">
        <v>25528</v>
      </c>
      <c r="K31" s="15">
        <f>L31+27916+29980+10704</f>
        <v>94128</v>
      </c>
      <c r="L31" s="15">
        <f>2610*4+3772*4</f>
        <v>25528</v>
      </c>
      <c r="M31" s="15">
        <f t="shared" si="0"/>
        <v>25528</v>
      </c>
      <c r="N31" s="15">
        <v>0</v>
      </c>
      <c r="O31" s="58">
        <f t="shared" si="1"/>
        <v>0</v>
      </c>
      <c r="P31" s="39">
        <f t="shared" si="2"/>
        <v>24</v>
      </c>
      <c r="Q31" s="40">
        <f t="shared" si="3"/>
        <v>0</v>
      </c>
      <c r="R31" s="7"/>
      <c r="S31" s="6"/>
      <c r="T31" s="16"/>
      <c r="U31" s="16"/>
      <c r="V31" s="114"/>
      <c r="W31" s="5"/>
      <c r="X31" s="16"/>
      <c r="Y31" s="16"/>
      <c r="Z31" s="16"/>
      <c r="AA31" s="18"/>
      <c r="AB31" s="8">
        <f t="shared" si="4"/>
        <v>1</v>
      </c>
      <c r="AC31" s="9">
        <f t="shared" si="5"/>
        <v>1</v>
      </c>
      <c r="AD31" s="10">
        <f t="shared" si="8"/>
        <v>1</v>
      </c>
      <c r="AE31" s="36">
        <f t="shared" si="6"/>
        <v>0.56327160493827155</v>
      </c>
      <c r="AF31" s="81">
        <f t="shared" si="7"/>
        <v>35</v>
      </c>
    </row>
    <row r="32" spans="1:32" ht="21.75" customHeight="1" thickBot="1">
      <c r="A32" s="92">
        <v>36</v>
      </c>
      <c r="B32" s="11" t="s">
        <v>57</v>
      </c>
      <c r="C32" s="11" t="s">
        <v>113</v>
      </c>
      <c r="D32" s="52"/>
      <c r="E32" s="53" t="s">
        <v>144</v>
      </c>
      <c r="F32" s="12" t="s">
        <v>114</v>
      </c>
      <c r="G32" s="12">
        <v>4</v>
      </c>
      <c r="H32" s="35">
        <v>20</v>
      </c>
      <c r="I32" s="7">
        <v>1000000</v>
      </c>
      <c r="J32" s="14">
        <v>79328</v>
      </c>
      <c r="K32" s="15">
        <f>L32+28388+70816+76368+81764+83428+47688+53180+83092+82192+79328</f>
        <v>686244</v>
      </c>
      <c r="L32" s="15"/>
      <c r="M32" s="15">
        <f t="shared" si="0"/>
        <v>0</v>
      </c>
      <c r="N32" s="15">
        <v>0</v>
      </c>
      <c r="O32" s="58" t="str">
        <f t="shared" si="1"/>
        <v>0</v>
      </c>
      <c r="P32" s="39" t="str">
        <f t="shared" si="2"/>
        <v>0</v>
      </c>
      <c r="Q32" s="40">
        <f t="shared" si="3"/>
        <v>24</v>
      </c>
      <c r="R32" s="7"/>
      <c r="S32" s="6"/>
      <c r="T32" s="16"/>
      <c r="U32" s="16"/>
      <c r="V32" s="114">
        <v>24</v>
      </c>
      <c r="W32" s="5"/>
      <c r="X32" s="16"/>
      <c r="Y32" s="16"/>
      <c r="Z32" s="16"/>
      <c r="AA32" s="18"/>
      <c r="AB32" s="8">
        <f t="shared" si="4"/>
        <v>0</v>
      </c>
      <c r="AC32" s="9">
        <f t="shared" si="5"/>
        <v>0</v>
      </c>
      <c r="AD32" s="10">
        <f t="shared" si="8"/>
        <v>0</v>
      </c>
      <c r="AE32" s="36">
        <f t="shared" si="6"/>
        <v>0.56327160493827155</v>
      </c>
      <c r="AF32" s="81">
        <f t="shared" si="7"/>
        <v>36</v>
      </c>
    </row>
    <row r="33" spans="1:32" ht="19.5" thickBot="1">
      <c r="A33" s="452" t="s">
        <v>34</v>
      </c>
      <c r="B33" s="453"/>
      <c r="C33" s="453"/>
      <c r="D33" s="453"/>
      <c r="E33" s="453"/>
      <c r="F33" s="453"/>
      <c r="G33" s="453"/>
      <c r="H33" s="454"/>
      <c r="I33" s="22">
        <f t="shared" ref="I33:N33" si="33">SUM(I6:I32)</f>
        <v>5574550</v>
      </c>
      <c r="J33" s="19">
        <f t="shared" si="33"/>
        <v>646652</v>
      </c>
      <c r="K33" s="20">
        <f t="shared" si="33"/>
        <v>2168625</v>
      </c>
      <c r="L33" s="21">
        <f t="shared" si="33"/>
        <v>542424</v>
      </c>
      <c r="M33" s="20">
        <f t="shared" si="33"/>
        <v>542424</v>
      </c>
      <c r="N33" s="21">
        <f t="shared" si="33"/>
        <v>0</v>
      </c>
      <c r="O33" s="41">
        <f t="shared" si="1"/>
        <v>0</v>
      </c>
      <c r="P33" s="42">
        <f t="shared" ref="P33:AA33" si="34">SUM(P6:P32)</f>
        <v>365</v>
      </c>
      <c r="Q33" s="43">
        <f t="shared" si="34"/>
        <v>283</v>
      </c>
      <c r="R33" s="23">
        <f t="shared" si="34"/>
        <v>0</v>
      </c>
      <c r="S33" s="24">
        <f t="shared" si="34"/>
        <v>51</v>
      </c>
      <c r="T33" s="24">
        <f t="shared" si="34"/>
        <v>24</v>
      </c>
      <c r="U33" s="24">
        <f t="shared" si="34"/>
        <v>0</v>
      </c>
      <c r="V33" s="25">
        <f t="shared" si="34"/>
        <v>48</v>
      </c>
      <c r="W33" s="26">
        <f t="shared" si="34"/>
        <v>160</v>
      </c>
      <c r="X33" s="27">
        <f t="shared" si="34"/>
        <v>0</v>
      </c>
      <c r="Y33" s="27">
        <f t="shared" si="34"/>
        <v>0</v>
      </c>
      <c r="Z33" s="27">
        <f t="shared" si="34"/>
        <v>0</v>
      </c>
      <c r="AA33" s="27">
        <f t="shared" si="34"/>
        <v>0</v>
      </c>
      <c r="AB33" s="28">
        <f>AVERAGE(AB6:AB32)</f>
        <v>0.80769230769230771</v>
      </c>
      <c r="AC33" s="4">
        <f>AVERAGE(AC6:AC32)</f>
        <v>0.56327160493827155</v>
      </c>
      <c r="AD33" s="4">
        <f>AVERAGE(AD6:AD32)</f>
        <v>0.56327160493827155</v>
      </c>
      <c r="AE33" s="29"/>
    </row>
    <row r="34" spans="1:32">
      <c r="T34" s="50" t="s">
        <v>127</v>
      </c>
    </row>
    <row r="35" spans="1:32" ht="18.75">
      <c r="A35" s="2"/>
      <c r="B35" s="2" t="s">
        <v>35</v>
      </c>
      <c r="C35" s="2"/>
      <c r="D35" s="2"/>
      <c r="E35" s="2"/>
      <c r="F35" s="2"/>
      <c r="G35" s="2"/>
      <c r="H35" s="3"/>
      <c r="I35" s="3"/>
      <c r="J35" s="2"/>
      <c r="K35" s="2"/>
      <c r="L35" s="2"/>
      <c r="M35" s="2"/>
      <c r="N35" s="2" t="s">
        <v>36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1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 t="s">
        <v>128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82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7">
      <c r="A50" s="59"/>
      <c r="B50" s="59"/>
      <c r="C50" s="59"/>
      <c r="D50" s="59"/>
      <c r="E50" s="59"/>
      <c r="F50" s="37"/>
      <c r="G50" s="37"/>
      <c r="H50" s="38"/>
      <c r="I50" s="38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F50" s="50"/>
    </row>
    <row r="51" spans="1:32" ht="29.25" customHeight="1">
      <c r="A51" s="60"/>
      <c r="B51" s="60"/>
      <c r="C51" s="61"/>
      <c r="D51" s="61"/>
      <c r="E51" s="61"/>
      <c r="F51" s="60"/>
      <c r="G51" s="60"/>
      <c r="H51" s="60"/>
      <c r="I51" s="60"/>
      <c r="J51" s="60"/>
      <c r="K51" s="60"/>
      <c r="L51" s="60"/>
      <c r="M51" s="61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29.25" customHeight="1">
      <c r="A57" s="60"/>
      <c r="B57" s="60"/>
      <c r="C57" s="62"/>
      <c r="D57" s="61"/>
      <c r="E57" s="61"/>
      <c r="F57" s="60"/>
      <c r="G57" s="60"/>
      <c r="H57" s="60"/>
      <c r="I57" s="60"/>
      <c r="J57" s="60"/>
      <c r="K57" s="60"/>
      <c r="L57" s="60"/>
      <c r="M57" s="62"/>
      <c r="N57" s="60"/>
      <c r="O57" s="60"/>
      <c r="P57" s="63"/>
      <c r="Q57" s="63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0"/>
      <c r="AC57" s="60"/>
      <c r="AD57" s="60"/>
      <c r="AF57" s="50"/>
    </row>
    <row r="58" spans="1:32" ht="29.25" customHeight="1">
      <c r="A58" s="60"/>
      <c r="B58" s="60"/>
      <c r="C58" s="62"/>
      <c r="D58" s="61"/>
      <c r="E58" s="61"/>
      <c r="F58" s="60"/>
      <c r="G58" s="60"/>
      <c r="H58" s="60"/>
      <c r="I58" s="60"/>
      <c r="J58" s="60"/>
      <c r="K58" s="60"/>
      <c r="L58" s="60"/>
      <c r="M58" s="62"/>
      <c r="N58" s="60"/>
      <c r="O58" s="60"/>
      <c r="P58" s="63"/>
      <c r="Q58" s="63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0"/>
      <c r="AC58" s="60"/>
      <c r="AD58" s="60"/>
      <c r="AF58" s="50"/>
    </row>
    <row r="59" spans="1:32" ht="14.2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F59" s="50"/>
    </row>
    <row r="60" spans="1:32" ht="36" thickBot="1">
      <c r="A60" s="455" t="s">
        <v>45</v>
      </c>
      <c r="B60" s="455"/>
      <c r="C60" s="455"/>
      <c r="D60" s="455"/>
      <c r="E60" s="455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F60" s="50"/>
    </row>
    <row r="61" spans="1:32" ht="26.25" thickBot="1">
      <c r="A61" s="456" t="s">
        <v>548</v>
      </c>
      <c r="B61" s="457"/>
      <c r="C61" s="457"/>
      <c r="D61" s="457"/>
      <c r="E61" s="457"/>
      <c r="F61" s="457"/>
      <c r="G61" s="457"/>
      <c r="H61" s="457"/>
      <c r="I61" s="457"/>
      <c r="J61" s="457"/>
      <c r="K61" s="457"/>
      <c r="L61" s="457"/>
      <c r="M61" s="458"/>
      <c r="N61" s="459" t="s">
        <v>550</v>
      </c>
      <c r="O61" s="460"/>
      <c r="P61" s="460"/>
      <c r="Q61" s="460"/>
      <c r="R61" s="460"/>
      <c r="S61" s="460"/>
      <c r="T61" s="460"/>
      <c r="U61" s="460"/>
      <c r="V61" s="460"/>
      <c r="W61" s="460"/>
      <c r="X61" s="460"/>
      <c r="Y61" s="460"/>
      <c r="Z61" s="460"/>
      <c r="AA61" s="460"/>
      <c r="AB61" s="460"/>
      <c r="AC61" s="460"/>
      <c r="AD61" s="461"/>
    </row>
    <row r="62" spans="1:32" ht="27" customHeight="1">
      <c r="A62" s="462" t="s">
        <v>2</v>
      </c>
      <c r="B62" s="463"/>
      <c r="C62" s="240" t="s">
        <v>46</v>
      </c>
      <c r="D62" s="240" t="s">
        <v>47</v>
      </c>
      <c r="E62" s="240" t="s">
        <v>107</v>
      </c>
      <c r="F62" s="464" t="s">
        <v>106</v>
      </c>
      <c r="G62" s="465"/>
      <c r="H62" s="465"/>
      <c r="I62" s="465"/>
      <c r="J62" s="465"/>
      <c r="K62" s="465"/>
      <c r="L62" s="465"/>
      <c r="M62" s="466"/>
      <c r="N62" s="67" t="s">
        <v>110</v>
      </c>
      <c r="O62" s="240" t="s">
        <v>46</v>
      </c>
      <c r="P62" s="464" t="s">
        <v>47</v>
      </c>
      <c r="Q62" s="467"/>
      <c r="R62" s="464" t="s">
        <v>38</v>
      </c>
      <c r="S62" s="465"/>
      <c r="T62" s="465"/>
      <c r="U62" s="467"/>
      <c r="V62" s="464" t="s">
        <v>48</v>
      </c>
      <c r="W62" s="465"/>
      <c r="X62" s="465"/>
      <c r="Y62" s="465"/>
      <c r="Z62" s="465"/>
      <c r="AA62" s="465"/>
      <c r="AB62" s="465"/>
      <c r="AC62" s="465"/>
      <c r="AD62" s="466"/>
    </row>
    <row r="63" spans="1:32" ht="27" customHeight="1">
      <c r="A63" s="430" t="s">
        <v>112</v>
      </c>
      <c r="B63" s="431"/>
      <c r="C63" s="236" t="s">
        <v>146</v>
      </c>
      <c r="D63" s="236" t="s">
        <v>115</v>
      </c>
      <c r="E63" s="237" t="s">
        <v>392</v>
      </c>
      <c r="F63" s="432" t="s">
        <v>420</v>
      </c>
      <c r="G63" s="433"/>
      <c r="H63" s="433"/>
      <c r="I63" s="433"/>
      <c r="J63" s="433"/>
      <c r="K63" s="433"/>
      <c r="L63" s="433"/>
      <c r="M63" s="434"/>
      <c r="N63" s="141" t="s">
        <v>112</v>
      </c>
      <c r="O63" s="234" t="s">
        <v>146</v>
      </c>
      <c r="P63" s="447" t="s">
        <v>115</v>
      </c>
      <c r="Q63" s="448"/>
      <c r="R63" s="447" t="s">
        <v>551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112</v>
      </c>
      <c r="B64" s="431"/>
      <c r="C64" s="236" t="s">
        <v>139</v>
      </c>
      <c r="D64" s="236" t="s">
        <v>224</v>
      </c>
      <c r="E64" s="237" t="s">
        <v>515</v>
      </c>
      <c r="F64" s="436" t="s">
        <v>549</v>
      </c>
      <c r="G64" s="437"/>
      <c r="H64" s="437"/>
      <c r="I64" s="437"/>
      <c r="J64" s="437"/>
      <c r="K64" s="437"/>
      <c r="L64" s="437"/>
      <c r="M64" s="438"/>
      <c r="N64" s="141" t="s">
        <v>126</v>
      </c>
      <c r="O64" s="234" t="s">
        <v>166</v>
      </c>
      <c r="P64" s="447" t="s">
        <v>290</v>
      </c>
      <c r="Q64" s="448"/>
      <c r="R64" s="447" t="s">
        <v>552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112</v>
      </c>
      <c r="B65" s="431"/>
      <c r="C65" s="236" t="s">
        <v>442</v>
      </c>
      <c r="D65" s="236" t="s">
        <v>115</v>
      </c>
      <c r="E65" s="237" t="s">
        <v>530</v>
      </c>
      <c r="F65" s="432" t="s">
        <v>154</v>
      </c>
      <c r="G65" s="433"/>
      <c r="H65" s="433"/>
      <c r="I65" s="433"/>
      <c r="J65" s="433"/>
      <c r="K65" s="433"/>
      <c r="L65" s="433"/>
      <c r="M65" s="434"/>
      <c r="N65" s="141" t="s">
        <v>116</v>
      </c>
      <c r="O65" s="234" t="s">
        <v>191</v>
      </c>
      <c r="P65" s="447" t="s">
        <v>147</v>
      </c>
      <c r="Q65" s="448"/>
      <c r="R65" s="447" t="s">
        <v>553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112</v>
      </c>
      <c r="B66" s="431"/>
      <c r="C66" s="236" t="s">
        <v>261</v>
      </c>
      <c r="D66" s="236" t="s">
        <v>115</v>
      </c>
      <c r="E66" s="237" t="s">
        <v>545</v>
      </c>
      <c r="F66" s="432" t="s">
        <v>154</v>
      </c>
      <c r="G66" s="433"/>
      <c r="H66" s="433"/>
      <c r="I66" s="433"/>
      <c r="J66" s="433"/>
      <c r="K66" s="433"/>
      <c r="L66" s="433"/>
      <c r="M66" s="434"/>
      <c r="N66" s="141" t="s">
        <v>116</v>
      </c>
      <c r="O66" s="234" t="s">
        <v>191</v>
      </c>
      <c r="P66" s="447" t="s">
        <v>121</v>
      </c>
      <c r="Q66" s="448"/>
      <c r="R66" s="447" t="s">
        <v>554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116</v>
      </c>
      <c r="B67" s="431"/>
      <c r="C67" s="236" t="s">
        <v>166</v>
      </c>
      <c r="D67" s="236" t="s">
        <v>307</v>
      </c>
      <c r="E67" s="237" t="s">
        <v>527</v>
      </c>
      <c r="F67" s="432" t="s">
        <v>154</v>
      </c>
      <c r="G67" s="433"/>
      <c r="H67" s="433"/>
      <c r="I67" s="433"/>
      <c r="J67" s="433"/>
      <c r="K67" s="433"/>
      <c r="L67" s="433"/>
      <c r="M67" s="434"/>
      <c r="N67" s="141" t="s">
        <v>116</v>
      </c>
      <c r="O67" s="234" t="s">
        <v>555</v>
      </c>
      <c r="P67" s="447" t="s">
        <v>197</v>
      </c>
      <c r="Q67" s="448"/>
      <c r="R67" s="447" t="s">
        <v>415</v>
      </c>
      <c r="S67" s="449"/>
      <c r="T67" s="449"/>
      <c r="U67" s="448"/>
      <c r="V67" s="436" t="s">
        <v>154</v>
      </c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116</v>
      </c>
      <c r="B68" s="431"/>
      <c r="C68" s="236" t="s">
        <v>261</v>
      </c>
      <c r="D68" s="236" t="s">
        <v>307</v>
      </c>
      <c r="E68" s="237" t="s">
        <v>533</v>
      </c>
      <c r="F68" s="432" t="s">
        <v>154</v>
      </c>
      <c r="G68" s="433"/>
      <c r="H68" s="433"/>
      <c r="I68" s="433"/>
      <c r="J68" s="433"/>
      <c r="K68" s="433"/>
      <c r="L68" s="433"/>
      <c r="M68" s="434"/>
      <c r="N68" s="141"/>
      <c r="O68" s="234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 t="s">
        <v>116</v>
      </c>
      <c r="B69" s="431"/>
      <c r="C69" s="236" t="s">
        <v>368</v>
      </c>
      <c r="D69" s="236" t="s">
        <v>197</v>
      </c>
      <c r="E69" s="237" t="s">
        <v>366</v>
      </c>
      <c r="F69" s="432" t="s">
        <v>141</v>
      </c>
      <c r="G69" s="433"/>
      <c r="H69" s="433"/>
      <c r="I69" s="433"/>
      <c r="J69" s="433"/>
      <c r="K69" s="433"/>
      <c r="L69" s="433"/>
      <c r="M69" s="434"/>
      <c r="N69" s="141"/>
      <c r="O69" s="234"/>
      <c r="P69" s="447"/>
      <c r="Q69" s="448"/>
      <c r="R69" s="447"/>
      <c r="S69" s="449"/>
      <c r="T69" s="449"/>
      <c r="U69" s="448"/>
      <c r="V69" s="436"/>
      <c r="W69" s="437"/>
      <c r="X69" s="437"/>
      <c r="Y69" s="437"/>
      <c r="Z69" s="437"/>
      <c r="AA69" s="437"/>
      <c r="AB69" s="437"/>
      <c r="AC69" s="437"/>
      <c r="AD69" s="438"/>
    </row>
    <row r="70" spans="1:32" ht="27" customHeight="1">
      <c r="A70" s="430" t="s">
        <v>116</v>
      </c>
      <c r="B70" s="431"/>
      <c r="C70" s="236" t="s">
        <v>204</v>
      </c>
      <c r="D70" s="236" t="s">
        <v>137</v>
      </c>
      <c r="E70" s="237" t="s">
        <v>532</v>
      </c>
      <c r="F70" s="432" t="s">
        <v>154</v>
      </c>
      <c r="G70" s="433"/>
      <c r="H70" s="433"/>
      <c r="I70" s="433"/>
      <c r="J70" s="433"/>
      <c r="K70" s="433"/>
      <c r="L70" s="433"/>
      <c r="M70" s="434"/>
      <c r="N70" s="141"/>
      <c r="O70" s="234"/>
      <c r="P70" s="447"/>
      <c r="Q70" s="448"/>
      <c r="R70" s="447"/>
      <c r="S70" s="449"/>
      <c r="T70" s="449"/>
      <c r="U70" s="448"/>
      <c r="V70" s="436"/>
      <c r="W70" s="437"/>
      <c r="X70" s="437"/>
      <c r="Y70" s="437"/>
      <c r="Z70" s="437"/>
      <c r="AA70" s="437"/>
      <c r="AB70" s="437"/>
      <c r="AC70" s="437"/>
      <c r="AD70" s="438"/>
    </row>
    <row r="71" spans="1:32" ht="27" customHeight="1">
      <c r="A71" s="430" t="s">
        <v>116</v>
      </c>
      <c r="B71" s="431"/>
      <c r="C71" s="236" t="s">
        <v>191</v>
      </c>
      <c r="D71" s="236" t="s">
        <v>115</v>
      </c>
      <c r="E71" s="237" t="s">
        <v>546</v>
      </c>
      <c r="F71" s="432" t="s">
        <v>154</v>
      </c>
      <c r="G71" s="433"/>
      <c r="H71" s="433"/>
      <c r="I71" s="433"/>
      <c r="J71" s="433"/>
      <c r="K71" s="433"/>
      <c r="L71" s="433"/>
      <c r="M71" s="434"/>
      <c r="N71" s="141"/>
      <c r="O71" s="234"/>
      <c r="P71" s="435"/>
      <c r="Q71" s="435"/>
      <c r="R71" s="435"/>
      <c r="S71" s="435"/>
      <c r="T71" s="435"/>
      <c r="U71" s="435"/>
      <c r="V71" s="436"/>
      <c r="W71" s="437"/>
      <c r="X71" s="437"/>
      <c r="Y71" s="437"/>
      <c r="Z71" s="437"/>
      <c r="AA71" s="437"/>
      <c r="AB71" s="437"/>
      <c r="AC71" s="437"/>
      <c r="AD71" s="438"/>
      <c r="AF71" s="81">
        <f>8*3000</f>
        <v>24000</v>
      </c>
    </row>
    <row r="72" spans="1:32" ht="27" customHeight="1" thickBot="1">
      <c r="A72" s="439" t="s">
        <v>126</v>
      </c>
      <c r="B72" s="440"/>
      <c r="C72" s="238" t="s">
        <v>191</v>
      </c>
      <c r="D72" s="239"/>
      <c r="E72" s="238" t="s">
        <v>547</v>
      </c>
      <c r="F72" s="490" t="s">
        <v>154</v>
      </c>
      <c r="G72" s="491"/>
      <c r="H72" s="491"/>
      <c r="I72" s="491"/>
      <c r="J72" s="491"/>
      <c r="K72" s="491"/>
      <c r="L72" s="491"/>
      <c r="M72" s="492"/>
      <c r="N72" s="105"/>
      <c r="O72" s="97"/>
      <c r="P72" s="444"/>
      <c r="Q72" s="444"/>
      <c r="R72" s="444"/>
      <c r="S72" s="444"/>
      <c r="T72" s="444"/>
      <c r="U72" s="444"/>
      <c r="V72" s="445"/>
      <c r="W72" s="445"/>
      <c r="X72" s="445"/>
      <c r="Y72" s="445"/>
      <c r="Z72" s="445"/>
      <c r="AA72" s="445"/>
      <c r="AB72" s="445"/>
      <c r="AC72" s="445"/>
      <c r="AD72" s="446"/>
      <c r="AF72" s="81">
        <f>16*3000</f>
        <v>48000</v>
      </c>
    </row>
    <row r="73" spans="1:32" ht="27.75" thickBot="1">
      <c r="A73" s="428" t="s">
        <v>556</v>
      </c>
      <c r="B73" s="428"/>
      <c r="C73" s="428"/>
      <c r="D73" s="428"/>
      <c r="E73" s="428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81">
        <v>24000</v>
      </c>
    </row>
    <row r="74" spans="1:32" ht="29.25" customHeight="1" thickBot="1">
      <c r="A74" s="429" t="s">
        <v>111</v>
      </c>
      <c r="B74" s="426"/>
      <c r="C74" s="235" t="s">
        <v>2</v>
      </c>
      <c r="D74" s="235" t="s">
        <v>37</v>
      </c>
      <c r="E74" s="235" t="s">
        <v>3</v>
      </c>
      <c r="F74" s="426" t="s">
        <v>109</v>
      </c>
      <c r="G74" s="426"/>
      <c r="H74" s="426"/>
      <c r="I74" s="426"/>
      <c r="J74" s="426"/>
      <c r="K74" s="426" t="s">
        <v>39</v>
      </c>
      <c r="L74" s="426"/>
      <c r="M74" s="235" t="s">
        <v>40</v>
      </c>
      <c r="N74" s="426" t="s">
        <v>41</v>
      </c>
      <c r="O74" s="426"/>
      <c r="P74" s="423" t="s">
        <v>42</v>
      </c>
      <c r="Q74" s="425"/>
      <c r="R74" s="423" t="s">
        <v>43</v>
      </c>
      <c r="S74" s="424"/>
      <c r="T74" s="424"/>
      <c r="U74" s="424"/>
      <c r="V74" s="424"/>
      <c r="W74" s="424"/>
      <c r="X74" s="424"/>
      <c r="Y74" s="424"/>
      <c r="Z74" s="424"/>
      <c r="AA74" s="425"/>
      <c r="AB74" s="426" t="s">
        <v>44</v>
      </c>
      <c r="AC74" s="426"/>
      <c r="AD74" s="427"/>
      <c r="AF74" s="81">
        <f>SUM(AF71:AF73)</f>
        <v>96000</v>
      </c>
    </row>
    <row r="75" spans="1:32" ht="25.5" customHeight="1">
      <c r="A75" s="414">
        <v>1</v>
      </c>
      <c r="B75" s="415"/>
      <c r="C75" s="98" t="s">
        <v>116</v>
      </c>
      <c r="D75" s="230"/>
      <c r="E75" s="233" t="s">
        <v>115</v>
      </c>
      <c r="F75" s="416" t="s">
        <v>546</v>
      </c>
      <c r="G75" s="406"/>
      <c r="H75" s="406"/>
      <c r="I75" s="406"/>
      <c r="J75" s="406"/>
      <c r="K75" s="406" t="s">
        <v>159</v>
      </c>
      <c r="L75" s="406"/>
      <c r="M75" s="51" t="s">
        <v>557</v>
      </c>
      <c r="N75" s="417" t="s">
        <v>191</v>
      </c>
      <c r="O75" s="417"/>
      <c r="P75" s="418">
        <v>50</v>
      </c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2</v>
      </c>
      <c r="B76" s="415"/>
      <c r="C76" s="98"/>
      <c r="D76" s="230"/>
      <c r="E76" s="233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3</v>
      </c>
      <c r="B77" s="415"/>
      <c r="C77" s="98"/>
      <c r="D77" s="230"/>
      <c r="E77" s="233"/>
      <c r="F77" s="416"/>
      <c r="G77" s="406"/>
      <c r="H77" s="406"/>
      <c r="I77" s="406"/>
      <c r="J77" s="406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4</v>
      </c>
      <c r="B78" s="415"/>
      <c r="C78" s="98"/>
      <c r="D78" s="230"/>
      <c r="E78" s="233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5</v>
      </c>
      <c r="B79" s="415"/>
      <c r="C79" s="98"/>
      <c r="D79" s="230"/>
      <c r="E79" s="233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6</v>
      </c>
      <c r="B80" s="415"/>
      <c r="C80" s="98"/>
      <c r="D80" s="230"/>
      <c r="E80" s="233"/>
      <c r="F80" s="420"/>
      <c r="G80" s="421"/>
      <c r="H80" s="421"/>
      <c r="I80" s="421"/>
      <c r="J80" s="422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7</v>
      </c>
      <c r="B81" s="415"/>
      <c r="C81" s="98"/>
      <c r="D81" s="230"/>
      <c r="E81" s="233"/>
      <c r="F81" s="420"/>
      <c r="G81" s="421"/>
      <c r="H81" s="421"/>
      <c r="I81" s="421"/>
      <c r="J81" s="422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8</v>
      </c>
      <c r="B82" s="415"/>
      <c r="C82" s="98"/>
      <c r="D82" s="230"/>
      <c r="E82" s="233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5.5" customHeight="1">
      <c r="A83" s="414">
        <v>9</v>
      </c>
      <c r="B83" s="415"/>
      <c r="C83" s="98"/>
      <c r="D83" s="230"/>
      <c r="E83" s="233"/>
      <c r="F83" s="416"/>
      <c r="G83" s="406"/>
      <c r="H83" s="406"/>
      <c r="I83" s="406"/>
      <c r="J83" s="406"/>
      <c r="K83" s="406"/>
      <c r="L83" s="406"/>
      <c r="M83" s="51"/>
      <c r="N83" s="417"/>
      <c r="O83" s="417"/>
      <c r="P83" s="418"/>
      <c r="Q83" s="418"/>
      <c r="R83" s="419"/>
      <c r="S83" s="419"/>
      <c r="T83" s="419"/>
      <c r="U83" s="419"/>
      <c r="V83" s="419"/>
      <c r="W83" s="419"/>
      <c r="X83" s="419"/>
      <c r="Y83" s="419"/>
      <c r="Z83" s="419"/>
      <c r="AA83" s="419"/>
      <c r="AB83" s="406"/>
      <c r="AC83" s="406"/>
      <c r="AD83" s="407"/>
      <c r="AF83" s="50"/>
    </row>
    <row r="84" spans="1:32" ht="25.5" customHeight="1">
      <c r="A84" s="414">
        <v>10</v>
      </c>
      <c r="B84" s="415"/>
      <c r="C84" s="98"/>
      <c r="D84" s="230"/>
      <c r="E84" s="233"/>
      <c r="F84" s="416"/>
      <c r="G84" s="406"/>
      <c r="H84" s="406"/>
      <c r="I84" s="406"/>
      <c r="J84" s="406"/>
      <c r="K84" s="406"/>
      <c r="L84" s="406"/>
      <c r="M84" s="51"/>
      <c r="N84" s="417"/>
      <c r="O84" s="417"/>
      <c r="P84" s="418"/>
      <c r="Q84" s="418"/>
      <c r="R84" s="419"/>
      <c r="S84" s="419"/>
      <c r="T84" s="419"/>
      <c r="U84" s="419"/>
      <c r="V84" s="419"/>
      <c r="W84" s="419"/>
      <c r="X84" s="419"/>
      <c r="Y84" s="419"/>
      <c r="Z84" s="419"/>
      <c r="AA84" s="419"/>
      <c r="AB84" s="406"/>
      <c r="AC84" s="406"/>
      <c r="AD84" s="407"/>
      <c r="AF84" s="50"/>
    </row>
    <row r="85" spans="1:32" ht="26.25" customHeight="1" thickBot="1">
      <c r="A85" s="386" t="s">
        <v>558</v>
      </c>
      <c r="B85" s="386"/>
      <c r="C85" s="386"/>
      <c r="D85" s="386"/>
      <c r="E85" s="386"/>
      <c r="F85" s="37"/>
      <c r="G85" s="37"/>
      <c r="H85" s="38"/>
      <c r="I85" s="38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F85" s="50"/>
    </row>
    <row r="86" spans="1:32" ht="23.25" thickBot="1">
      <c r="A86" s="408" t="s">
        <v>111</v>
      </c>
      <c r="B86" s="409"/>
      <c r="C86" s="232" t="s">
        <v>2</v>
      </c>
      <c r="D86" s="232" t="s">
        <v>37</v>
      </c>
      <c r="E86" s="232" t="s">
        <v>120</v>
      </c>
      <c r="F86" s="388" t="s">
        <v>38</v>
      </c>
      <c r="G86" s="388"/>
      <c r="H86" s="388"/>
      <c r="I86" s="388"/>
      <c r="J86" s="388"/>
      <c r="K86" s="410" t="s">
        <v>58</v>
      </c>
      <c r="L86" s="411"/>
      <c r="M86" s="411"/>
      <c r="N86" s="411"/>
      <c r="O86" s="411"/>
      <c r="P86" s="411"/>
      <c r="Q86" s="411"/>
      <c r="R86" s="411"/>
      <c r="S86" s="412"/>
      <c r="T86" s="388" t="s">
        <v>49</v>
      </c>
      <c r="U86" s="388"/>
      <c r="V86" s="410" t="s">
        <v>50</v>
      </c>
      <c r="W86" s="412"/>
      <c r="X86" s="411" t="s">
        <v>51</v>
      </c>
      <c r="Y86" s="411"/>
      <c r="Z86" s="411"/>
      <c r="AA86" s="411"/>
      <c r="AB86" s="411"/>
      <c r="AC86" s="411"/>
      <c r="AD86" s="413"/>
      <c r="AF86" s="50"/>
    </row>
    <row r="87" spans="1:32" ht="33.75" customHeight="1">
      <c r="A87" s="380">
        <v>1</v>
      </c>
      <c r="B87" s="381"/>
      <c r="C87" s="231"/>
      <c r="D87" s="231"/>
      <c r="E87" s="65"/>
      <c r="F87" s="395"/>
      <c r="G87" s="396"/>
      <c r="H87" s="396"/>
      <c r="I87" s="396"/>
      <c r="J87" s="397"/>
      <c r="K87" s="398"/>
      <c r="L87" s="399"/>
      <c r="M87" s="399"/>
      <c r="N87" s="399"/>
      <c r="O87" s="399"/>
      <c r="P87" s="399"/>
      <c r="Q87" s="399"/>
      <c r="R87" s="399"/>
      <c r="S87" s="400"/>
      <c r="T87" s="401"/>
      <c r="U87" s="402"/>
      <c r="V87" s="403"/>
      <c r="W87" s="403"/>
      <c r="X87" s="404"/>
      <c r="Y87" s="404"/>
      <c r="Z87" s="404"/>
      <c r="AA87" s="404"/>
      <c r="AB87" s="404"/>
      <c r="AC87" s="404"/>
      <c r="AD87" s="405"/>
      <c r="AF87" s="50"/>
    </row>
    <row r="88" spans="1:32" ht="30" customHeight="1">
      <c r="A88" s="373">
        <f>A87+1</f>
        <v>2</v>
      </c>
      <c r="B88" s="374"/>
      <c r="C88" s="230"/>
      <c r="D88" s="230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ref="A89:A93" si="35">A88+1</f>
        <v>3</v>
      </c>
      <c r="B89" s="374"/>
      <c r="C89" s="230"/>
      <c r="D89" s="230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35"/>
        <v>4</v>
      </c>
      <c r="B90" s="374"/>
      <c r="C90" s="230"/>
      <c r="D90" s="230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35"/>
        <v>5</v>
      </c>
      <c r="B91" s="374"/>
      <c r="C91" s="230"/>
      <c r="D91" s="230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0" customHeight="1">
      <c r="A92" s="373">
        <f t="shared" si="35"/>
        <v>6</v>
      </c>
      <c r="B92" s="374"/>
      <c r="C92" s="230"/>
      <c r="D92" s="230"/>
      <c r="E92" s="32"/>
      <c r="F92" s="374"/>
      <c r="G92" s="374"/>
      <c r="H92" s="374"/>
      <c r="I92" s="374"/>
      <c r="J92" s="374"/>
      <c r="K92" s="389"/>
      <c r="L92" s="390"/>
      <c r="M92" s="390"/>
      <c r="N92" s="390"/>
      <c r="O92" s="390"/>
      <c r="P92" s="390"/>
      <c r="Q92" s="390"/>
      <c r="R92" s="390"/>
      <c r="S92" s="391"/>
      <c r="T92" s="392"/>
      <c r="U92" s="392"/>
      <c r="V92" s="392"/>
      <c r="W92" s="392"/>
      <c r="X92" s="393"/>
      <c r="Y92" s="393"/>
      <c r="Z92" s="393"/>
      <c r="AA92" s="393"/>
      <c r="AB92" s="393"/>
      <c r="AC92" s="393"/>
      <c r="AD92" s="394"/>
      <c r="AF92" s="50"/>
    </row>
    <row r="93" spans="1:32" ht="30" customHeight="1">
      <c r="A93" s="373">
        <f t="shared" si="35"/>
        <v>7</v>
      </c>
      <c r="B93" s="374"/>
      <c r="C93" s="230"/>
      <c r="D93" s="230"/>
      <c r="E93" s="32"/>
      <c r="F93" s="374"/>
      <c r="G93" s="374"/>
      <c r="H93" s="374"/>
      <c r="I93" s="374"/>
      <c r="J93" s="374"/>
      <c r="K93" s="389"/>
      <c r="L93" s="390"/>
      <c r="M93" s="390"/>
      <c r="N93" s="390"/>
      <c r="O93" s="390"/>
      <c r="P93" s="390"/>
      <c r="Q93" s="390"/>
      <c r="R93" s="390"/>
      <c r="S93" s="391"/>
      <c r="T93" s="392"/>
      <c r="U93" s="392"/>
      <c r="V93" s="392"/>
      <c r="W93" s="392"/>
      <c r="X93" s="393"/>
      <c r="Y93" s="393"/>
      <c r="Z93" s="393"/>
      <c r="AA93" s="393"/>
      <c r="AB93" s="393"/>
      <c r="AC93" s="393"/>
      <c r="AD93" s="394"/>
      <c r="AF93" s="50"/>
    </row>
    <row r="94" spans="1:32" ht="36" thickBot="1">
      <c r="A94" s="386" t="s">
        <v>559</v>
      </c>
      <c r="B94" s="386"/>
      <c r="C94" s="386"/>
      <c r="D94" s="386"/>
      <c r="E94" s="386"/>
      <c r="F94" s="37"/>
      <c r="G94" s="37"/>
      <c r="H94" s="38"/>
      <c r="I94" s="38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F94" s="50"/>
    </row>
    <row r="95" spans="1:32" ht="30.75" customHeight="1" thickBot="1">
      <c r="A95" s="387" t="s">
        <v>111</v>
      </c>
      <c r="B95" s="388"/>
      <c r="C95" s="378" t="s">
        <v>52</v>
      </c>
      <c r="D95" s="378"/>
      <c r="E95" s="378" t="s">
        <v>53</v>
      </c>
      <c r="F95" s="378"/>
      <c r="G95" s="378"/>
      <c r="H95" s="378"/>
      <c r="I95" s="378"/>
      <c r="J95" s="378"/>
      <c r="K95" s="378" t="s">
        <v>54</v>
      </c>
      <c r="L95" s="378"/>
      <c r="M95" s="378"/>
      <c r="N95" s="378"/>
      <c r="O95" s="378"/>
      <c r="P95" s="378"/>
      <c r="Q95" s="378"/>
      <c r="R95" s="378"/>
      <c r="S95" s="378"/>
      <c r="T95" s="378" t="s">
        <v>55</v>
      </c>
      <c r="U95" s="378"/>
      <c r="V95" s="378" t="s">
        <v>56</v>
      </c>
      <c r="W95" s="378"/>
      <c r="X95" s="378"/>
      <c r="Y95" s="378" t="s">
        <v>51</v>
      </c>
      <c r="Z95" s="378"/>
      <c r="AA95" s="378"/>
      <c r="AB95" s="378"/>
      <c r="AC95" s="378"/>
      <c r="AD95" s="379"/>
      <c r="AF95" s="50"/>
    </row>
    <row r="96" spans="1:32" ht="30.75" customHeight="1">
      <c r="A96" s="380">
        <v>1</v>
      </c>
      <c r="B96" s="381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3"/>
      <c r="W96" s="383"/>
      <c r="X96" s="383"/>
      <c r="Y96" s="384"/>
      <c r="Z96" s="384"/>
      <c r="AA96" s="384"/>
      <c r="AB96" s="384"/>
      <c r="AC96" s="384"/>
      <c r="AD96" s="385"/>
      <c r="AF96" s="50"/>
    </row>
    <row r="97" spans="1:32" ht="30.75" customHeight="1">
      <c r="A97" s="373">
        <v>2</v>
      </c>
      <c r="B97" s="374"/>
      <c r="C97" s="375"/>
      <c r="D97" s="375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5"/>
      <c r="P97" s="375"/>
      <c r="Q97" s="375"/>
      <c r="R97" s="375"/>
      <c r="S97" s="375"/>
      <c r="T97" s="376"/>
      <c r="U97" s="376"/>
      <c r="V97" s="377"/>
      <c r="W97" s="377"/>
      <c r="X97" s="377"/>
      <c r="Y97" s="365"/>
      <c r="Z97" s="365"/>
      <c r="AA97" s="365"/>
      <c r="AB97" s="365"/>
      <c r="AC97" s="365"/>
      <c r="AD97" s="366"/>
      <c r="AF97" s="50"/>
    </row>
    <row r="98" spans="1:32" ht="30.75" customHeight="1" thickBot="1">
      <c r="A98" s="367">
        <v>3</v>
      </c>
      <c r="B98" s="368"/>
      <c r="C98" s="369"/>
      <c r="D98" s="369"/>
      <c r="E98" s="369"/>
      <c r="F98" s="369"/>
      <c r="G98" s="369"/>
      <c r="H98" s="369"/>
      <c r="I98" s="369"/>
      <c r="J98" s="369"/>
      <c r="K98" s="369"/>
      <c r="L98" s="369"/>
      <c r="M98" s="369"/>
      <c r="N98" s="369"/>
      <c r="O98" s="369"/>
      <c r="P98" s="369"/>
      <c r="Q98" s="369"/>
      <c r="R98" s="369"/>
      <c r="S98" s="369"/>
      <c r="T98" s="369"/>
      <c r="U98" s="369"/>
      <c r="V98" s="370"/>
      <c r="W98" s="370"/>
      <c r="X98" s="370"/>
      <c r="Y98" s="371"/>
      <c r="Z98" s="371"/>
      <c r="AA98" s="371"/>
      <c r="AB98" s="371"/>
      <c r="AC98" s="371"/>
      <c r="AD98" s="372"/>
      <c r="AF98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3:H33"/>
    <mergeCell ref="A60:E60"/>
    <mergeCell ref="A61:M61"/>
    <mergeCell ref="N61:AD61"/>
    <mergeCell ref="A62:B62"/>
    <mergeCell ref="F62:M62"/>
    <mergeCell ref="P62:Q62"/>
    <mergeCell ref="R62:U62"/>
    <mergeCell ref="V62:AD62"/>
    <mergeCell ref="I4:O4"/>
    <mergeCell ref="P4:Q4"/>
    <mergeCell ref="R4:V4"/>
    <mergeCell ref="W4:AA4"/>
    <mergeCell ref="AB4:AB5"/>
    <mergeCell ref="AC4:AC5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R71:U71"/>
    <mergeCell ref="V71:AD71"/>
    <mergeCell ref="A72:B72"/>
    <mergeCell ref="F72:M72"/>
    <mergeCell ref="P72:Q72"/>
    <mergeCell ref="R72:U72"/>
    <mergeCell ref="V72:AD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73:E73"/>
    <mergeCell ref="A74:B74"/>
    <mergeCell ref="F74:J74"/>
    <mergeCell ref="K74:L74"/>
    <mergeCell ref="N74:O74"/>
    <mergeCell ref="P74:Q74"/>
    <mergeCell ref="A71:B71"/>
    <mergeCell ref="F71:M71"/>
    <mergeCell ref="P71:Q71"/>
    <mergeCell ref="R74:AA74"/>
    <mergeCell ref="AB74:AD74"/>
    <mergeCell ref="A75:B75"/>
    <mergeCell ref="F75:J75"/>
    <mergeCell ref="K75:L75"/>
    <mergeCell ref="N75:O75"/>
    <mergeCell ref="P75:Q75"/>
    <mergeCell ref="R75:AA75"/>
    <mergeCell ref="AB75:AD75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B83"/>
    <mergeCell ref="F83:J83"/>
    <mergeCell ref="K83:L83"/>
    <mergeCell ref="N83:O83"/>
    <mergeCell ref="P83:Q83"/>
    <mergeCell ref="R83:AA83"/>
    <mergeCell ref="AB83:AD83"/>
    <mergeCell ref="A82:B82"/>
    <mergeCell ref="F82:J82"/>
    <mergeCell ref="K82:L82"/>
    <mergeCell ref="N82:O82"/>
    <mergeCell ref="P82:Q82"/>
    <mergeCell ref="R82:AA82"/>
    <mergeCell ref="AB84:AD84"/>
    <mergeCell ref="A85:E85"/>
    <mergeCell ref="A86:B86"/>
    <mergeCell ref="F86:J86"/>
    <mergeCell ref="K86:S86"/>
    <mergeCell ref="T86:U86"/>
    <mergeCell ref="V86:W86"/>
    <mergeCell ref="X86:AD86"/>
    <mergeCell ref="A84:B84"/>
    <mergeCell ref="F84:J84"/>
    <mergeCell ref="K84:L84"/>
    <mergeCell ref="N84:O84"/>
    <mergeCell ref="P84:Q84"/>
    <mergeCell ref="R84:AA84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V93:W93"/>
    <mergeCell ref="X93:AD93"/>
    <mergeCell ref="A92:B92"/>
    <mergeCell ref="F92:J92"/>
    <mergeCell ref="K92:S92"/>
    <mergeCell ref="T92:U92"/>
    <mergeCell ref="V92:W92"/>
    <mergeCell ref="X92:AD92"/>
    <mergeCell ref="A91:B91"/>
    <mergeCell ref="F91:J91"/>
    <mergeCell ref="K91:S91"/>
    <mergeCell ref="T91:U91"/>
    <mergeCell ref="V91:W91"/>
    <mergeCell ref="X91:AD91"/>
    <mergeCell ref="A94:E94"/>
    <mergeCell ref="A95:B95"/>
    <mergeCell ref="C95:D95"/>
    <mergeCell ref="E95:J95"/>
    <mergeCell ref="K95:S95"/>
    <mergeCell ref="T95:U95"/>
    <mergeCell ref="A93:B93"/>
    <mergeCell ref="F93:J93"/>
    <mergeCell ref="K93:S93"/>
    <mergeCell ref="T93:U93"/>
    <mergeCell ref="V95:X95"/>
    <mergeCell ref="Y95:AD95"/>
    <mergeCell ref="A96:B96"/>
    <mergeCell ref="C96:D96"/>
    <mergeCell ref="E96:J96"/>
    <mergeCell ref="K96:S96"/>
    <mergeCell ref="T96:U96"/>
    <mergeCell ref="V96:X96"/>
    <mergeCell ref="Y96:AD96"/>
    <mergeCell ref="Y97:AD97"/>
    <mergeCell ref="A98:B98"/>
    <mergeCell ref="C98:D98"/>
    <mergeCell ref="E98:J98"/>
    <mergeCell ref="K98:S98"/>
    <mergeCell ref="T98:U98"/>
    <mergeCell ref="V98:X98"/>
    <mergeCell ref="Y98:AD98"/>
    <mergeCell ref="A97:B97"/>
    <mergeCell ref="C97:D97"/>
    <mergeCell ref="E97:J97"/>
    <mergeCell ref="K97:S97"/>
    <mergeCell ref="T97:U97"/>
    <mergeCell ref="V97:X9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8" fitToHeight="2" orientation="landscape" r:id="rId1"/>
  <rowBreaks count="1" manualBreakCount="1">
    <brk id="58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E3D5-B135-49C1-9DAB-0821F354AC5D}">
  <sheetPr codeName="Sheet12">
    <pageSetUpPr fitToPage="1"/>
  </sheetPr>
  <dimension ref="A1:AF97"/>
  <sheetViews>
    <sheetView view="pageBreakPreview" zoomScale="70" zoomScaleNormal="72" zoomScaleSheetLayoutView="70" workbookViewId="0">
      <selection activeCell="A25" sqref="A2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560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241" t="s">
        <v>17</v>
      </c>
      <c r="L5" s="241" t="s">
        <v>18</v>
      </c>
      <c r="M5" s="241" t="s">
        <v>19</v>
      </c>
      <c r="N5" s="24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112</v>
      </c>
      <c r="D6" s="52" t="s">
        <v>224</v>
      </c>
      <c r="E6" s="53" t="s">
        <v>515</v>
      </c>
      <c r="F6" s="30" t="s">
        <v>138</v>
      </c>
      <c r="G6" s="12">
        <v>1</v>
      </c>
      <c r="H6" s="13">
        <v>24</v>
      </c>
      <c r="I6" s="31">
        <v>1000</v>
      </c>
      <c r="J6" s="14">
        <v>2658</v>
      </c>
      <c r="K6" s="15">
        <f>L6+2658</f>
        <v>2658</v>
      </c>
      <c r="L6" s="15"/>
      <c r="M6" s="15">
        <f t="shared" ref="M6:M31" si="0">L6-N6</f>
        <v>0</v>
      </c>
      <c r="N6" s="15">
        <v>0</v>
      </c>
      <c r="O6" s="58" t="str">
        <f t="shared" ref="O6:O32" si="1">IF(L6=0,"0",N6/L6)</f>
        <v>0</v>
      </c>
      <c r="P6" s="39" t="str">
        <f t="shared" ref="P6:P31" si="2">IF(L6=0,"0",(24-Q6))</f>
        <v>0</v>
      </c>
      <c r="Q6" s="40">
        <f t="shared" ref="Q6:Q3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31" si="4">IF(J6=0,"0",(L6/J6))</f>
        <v>0</v>
      </c>
      <c r="AC6" s="9">
        <f t="shared" ref="AC6:AC31" si="5">IF(P6=0,"0",(P6/24))</f>
        <v>0</v>
      </c>
      <c r="AD6" s="10">
        <f>AC6*AB6*(1-O6)</f>
        <v>0</v>
      </c>
      <c r="AE6" s="36">
        <f t="shared" ref="AE6:AE31" si="6">$AD$32</f>
        <v>0.58493589743589736</v>
      </c>
      <c r="AF6" s="81">
        <f t="shared" ref="AF6:AF31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115</v>
      </c>
      <c r="E7" s="53" t="s">
        <v>463</v>
      </c>
      <c r="F7" s="30" t="s">
        <v>136</v>
      </c>
      <c r="G7" s="12">
        <v>1</v>
      </c>
      <c r="H7" s="13">
        <v>24</v>
      </c>
      <c r="I7" s="31">
        <v>100</v>
      </c>
      <c r="J7" s="14">
        <v>221</v>
      </c>
      <c r="K7" s="15">
        <f>L7+221</f>
        <v>221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ref="AD7:AD31" si="8">AC7*AB7*(1-O7)</f>
        <v>0</v>
      </c>
      <c r="AE7" s="36">
        <f t="shared" si="6"/>
        <v>0.58493589743589736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561</v>
      </c>
      <c r="F8" s="30" t="s">
        <v>123</v>
      </c>
      <c r="G8" s="12">
        <v>1</v>
      </c>
      <c r="H8" s="13">
        <v>35</v>
      </c>
      <c r="I8" s="31">
        <v>1500</v>
      </c>
      <c r="J8" s="5">
        <v>1821</v>
      </c>
      <c r="K8" s="15">
        <f>L8</f>
        <v>1821</v>
      </c>
      <c r="L8" s="15">
        <f>779+935+107</f>
        <v>1821</v>
      </c>
      <c r="M8" s="15">
        <f t="shared" si="0"/>
        <v>1821</v>
      </c>
      <c r="N8" s="15">
        <v>0</v>
      </c>
      <c r="O8" s="58">
        <f t="shared" si="1"/>
        <v>0</v>
      </c>
      <c r="P8" s="39">
        <f t="shared" si="2"/>
        <v>23</v>
      </c>
      <c r="Q8" s="40">
        <f t="shared" si="3"/>
        <v>1</v>
      </c>
      <c r="R8" s="7"/>
      <c r="S8" s="6"/>
      <c r="T8" s="16">
        <v>1</v>
      </c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0.95833333333333337</v>
      </c>
      <c r="AD8" s="10">
        <f t="shared" si="8"/>
        <v>0.95833333333333337</v>
      </c>
      <c r="AE8" s="36">
        <f t="shared" si="6"/>
        <v>0.58493589743589736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324</v>
      </c>
      <c r="F9" s="30" t="s">
        <v>348</v>
      </c>
      <c r="G9" s="12">
        <v>1</v>
      </c>
      <c r="H9" s="13">
        <v>24</v>
      </c>
      <c r="I9" s="7">
        <v>260000</v>
      </c>
      <c r="J9" s="14">
        <v>5664</v>
      </c>
      <c r="K9" s="15">
        <f>L9+4269+5331+5350+4338+5606+3735+4837</f>
        <v>39130</v>
      </c>
      <c r="L9" s="15">
        <f>2875+2789</f>
        <v>5664</v>
      </c>
      <c r="M9" s="15">
        <f t="shared" si="0"/>
        <v>5664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0.58493589743589736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115</v>
      </c>
      <c r="E10" s="53" t="s">
        <v>530</v>
      </c>
      <c r="F10" s="30" t="s">
        <v>196</v>
      </c>
      <c r="G10" s="33">
        <v>1</v>
      </c>
      <c r="H10" s="35">
        <v>24</v>
      </c>
      <c r="I10" s="7">
        <v>5000</v>
      </c>
      <c r="J10" s="14">
        <v>5233</v>
      </c>
      <c r="K10" s="15">
        <f>L10+5155</f>
        <v>10388</v>
      </c>
      <c r="L10" s="15">
        <f>2492+2741</f>
        <v>5233</v>
      </c>
      <c r="M10" s="15">
        <f t="shared" si="0"/>
        <v>5233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0.58493589743589736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126</v>
      </c>
      <c r="D11" s="52" t="s">
        <v>290</v>
      </c>
      <c r="E11" s="53" t="s">
        <v>562</v>
      </c>
      <c r="F11" s="30" t="s">
        <v>167</v>
      </c>
      <c r="G11" s="33">
        <v>1</v>
      </c>
      <c r="H11" s="35">
        <v>24</v>
      </c>
      <c r="I11" s="7">
        <v>2300</v>
      </c>
      <c r="J11" s="14">
        <v>2643</v>
      </c>
      <c r="K11" s="15">
        <f>L11</f>
        <v>2643</v>
      </c>
      <c r="L11" s="15">
        <f>2643</f>
        <v>2643</v>
      </c>
      <c r="M11" s="15">
        <f t="shared" si="0"/>
        <v>2643</v>
      </c>
      <c r="N11" s="15">
        <v>0</v>
      </c>
      <c r="O11" s="58">
        <f t="shared" si="1"/>
        <v>0</v>
      </c>
      <c r="P11" s="39">
        <f t="shared" si="2"/>
        <v>14</v>
      </c>
      <c r="Q11" s="40">
        <f t="shared" si="3"/>
        <v>10</v>
      </c>
      <c r="R11" s="7"/>
      <c r="S11" s="6"/>
      <c r="T11" s="16"/>
      <c r="U11" s="16"/>
      <c r="V11" s="17"/>
      <c r="W11" s="5"/>
      <c r="X11" s="16"/>
      <c r="Y11" s="16"/>
      <c r="Z11" s="16"/>
      <c r="AA11" s="18">
        <v>10</v>
      </c>
      <c r="AB11" s="8">
        <f t="shared" si="4"/>
        <v>1</v>
      </c>
      <c r="AC11" s="9">
        <f t="shared" si="5"/>
        <v>0.58333333333333337</v>
      </c>
      <c r="AD11" s="10">
        <f t="shared" si="8"/>
        <v>0.58333333333333337</v>
      </c>
      <c r="AE11" s="36">
        <f t="shared" si="6"/>
        <v>0.58493589743589736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80000</v>
      </c>
      <c r="J12" s="5">
        <v>5210</v>
      </c>
      <c r="K12" s="15">
        <f>L12+2299+960+4314+5153+4996+5031+573+5044+5157+4963+4296+5172+5278+5197+4806+5013</f>
        <v>73462</v>
      </c>
      <c r="L12" s="15">
        <f>2649+2561</f>
        <v>5210</v>
      </c>
      <c r="M12" s="15">
        <f t="shared" si="0"/>
        <v>5210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0.58493589743589736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112</v>
      </c>
      <c r="D13" s="52" t="s">
        <v>115</v>
      </c>
      <c r="E13" s="53" t="s">
        <v>545</v>
      </c>
      <c r="F13" s="30" t="s">
        <v>122</v>
      </c>
      <c r="G13" s="33">
        <v>1</v>
      </c>
      <c r="H13" s="35">
        <v>22</v>
      </c>
      <c r="I13" s="7">
        <v>6000</v>
      </c>
      <c r="J13" s="14">
        <v>5850</v>
      </c>
      <c r="K13" s="15">
        <f>L13+3754</f>
        <v>9604</v>
      </c>
      <c r="L13" s="15">
        <f>2880+2970</f>
        <v>5850</v>
      </c>
      <c r="M13" s="15">
        <f t="shared" si="0"/>
        <v>5850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0.58493589743589736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121</v>
      </c>
      <c r="E14" s="53" t="s">
        <v>174</v>
      </c>
      <c r="F14" s="30" t="s">
        <v>175</v>
      </c>
      <c r="G14" s="33">
        <v>1</v>
      </c>
      <c r="H14" s="35">
        <v>50</v>
      </c>
      <c r="I14" s="7">
        <v>350</v>
      </c>
      <c r="J14" s="5">
        <v>421</v>
      </c>
      <c r="K14" s="15">
        <f>L14+421</f>
        <v>421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0.58493589743589736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126</v>
      </c>
      <c r="D15" s="52"/>
      <c r="E15" s="53" t="s">
        <v>400</v>
      </c>
      <c r="F15" s="30" t="s">
        <v>411</v>
      </c>
      <c r="G15" s="12">
        <v>4</v>
      </c>
      <c r="H15" s="13">
        <v>24</v>
      </c>
      <c r="I15" s="31">
        <v>200000</v>
      </c>
      <c r="J15" s="14">
        <v>36796</v>
      </c>
      <c r="K15" s="15">
        <f>L15</f>
        <v>36796</v>
      </c>
      <c r="L15" s="15">
        <f>4649*4+4550*4</f>
        <v>36796</v>
      </c>
      <c r="M15" s="15">
        <f t="shared" si="0"/>
        <v>36796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0.58493589743589736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197</v>
      </c>
      <c r="E16" s="53" t="s">
        <v>366</v>
      </c>
      <c r="F16" s="30" t="s">
        <v>123</v>
      </c>
      <c r="G16" s="12">
        <v>2</v>
      </c>
      <c r="H16" s="13">
        <v>22</v>
      </c>
      <c r="I16" s="31">
        <v>260000</v>
      </c>
      <c r="J16" s="5">
        <v>11372</v>
      </c>
      <c r="K16" s="15">
        <f>L16+9350+9873+10572+11420+9694+7670</f>
        <v>69951</v>
      </c>
      <c r="L16" s="15">
        <f>2881*2+2805*2</f>
        <v>11372</v>
      </c>
      <c r="M16" s="15">
        <f t="shared" si="0"/>
        <v>11372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0.58493589743589736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116</v>
      </c>
      <c r="D17" s="52" t="s">
        <v>137</v>
      </c>
      <c r="E17" s="53" t="s">
        <v>532</v>
      </c>
      <c r="F17" s="30" t="s">
        <v>478</v>
      </c>
      <c r="G17" s="12">
        <v>1</v>
      </c>
      <c r="H17" s="13">
        <v>24</v>
      </c>
      <c r="I17" s="7">
        <v>300</v>
      </c>
      <c r="J17" s="14">
        <v>1191</v>
      </c>
      <c r="K17" s="15">
        <f>L17+1191</f>
        <v>1191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0.58493589743589736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371</v>
      </c>
      <c r="F18" s="30" t="s">
        <v>135</v>
      </c>
      <c r="G18" s="12">
        <v>2</v>
      </c>
      <c r="H18" s="13">
        <v>22</v>
      </c>
      <c r="I18" s="31">
        <v>260000</v>
      </c>
      <c r="J18" s="5">
        <v>11130</v>
      </c>
      <c r="K18" s="15">
        <f>L18+10480+11444+11648+11082+10368+10658</f>
        <v>76810</v>
      </c>
      <c r="L18" s="15">
        <f>2839*2+2726*2</f>
        <v>11130</v>
      </c>
      <c r="M18" s="15">
        <f t="shared" si="0"/>
        <v>11130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0.58493589743589736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112</v>
      </c>
      <c r="D19" s="52" t="s">
        <v>149</v>
      </c>
      <c r="E19" s="53" t="s">
        <v>469</v>
      </c>
      <c r="F19" s="30" t="s">
        <v>123</v>
      </c>
      <c r="G19" s="33">
        <v>1</v>
      </c>
      <c r="H19" s="35">
        <v>24</v>
      </c>
      <c r="I19" s="7">
        <v>15000</v>
      </c>
      <c r="J19" s="14">
        <v>5577</v>
      </c>
      <c r="K19" s="15">
        <f>L19+5078+5131+5231</f>
        <v>21017</v>
      </c>
      <c r="L19" s="15">
        <f>2861+2716</f>
        <v>5577</v>
      </c>
      <c r="M19" s="15">
        <f t="shared" si="0"/>
        <v>5577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0.58493589743589736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116</v>
      </c>
      <c r="D20" s="52" t="s">
        <v>147</v>
      </c>
      <c r="E20" s="53" t="s">
        <v>553</v>
      </c>
      <c r="F20" s="30" t="s">
        <v>148</v>
      </c>
      <c r="G20" s="33">
        <v>1</v>
      </c>
      <c r="H20" s="35">
        <v>24</v>
      </c>
      <c r="I20" s="7">
        <v>300</v>
      </c>
      <c r="J20" s="14">
        <v>666</v>
      </c>
      <c r="K20" s="15">
        <f>L20</f>
        <v>666</v>
      </c>
      <c r="L20" s="15">
        <v>666</v>
      </c>
      <c r="M20" s="15">
        <f t="shared" ref="M20" si="9">L20-N20</f>
        <v>666</v>
      </c>
      <c r="N20" s="15">
        <v>0</v>
      </c>
      <c r="O20" s="58">
        <f t="shared" ref="O20" si="10">IF(L20=0,"0",N20/L20)</f>
        <v>0</v>
      </c>
      <c r="P20" s="39">
        <f t="shared" ref="P20" si="11">IF(L20=0,"0",(24-Q20))</f>
        <v>4</v>
      </c>
      <c r="Q20" s="40">
        <f t="shared" ref="Q20" si="12">SUM(R20:AA20)</f>
        <v>20</v>
      </c>
      <c r="R20" s="7"/>
      <c r="S20" s="6"/>
      <c r="T20" s="16"/>
      <c r="U20" s="16"/>
      <c r="V20" s="17"/>
      <c r="W20" s="5">
        <v>20</v>
      </c>
      <c r="X20" s="16"/>
      <c r="Y20" s="16"/>
      <c r="Z20" s="16"/>
      <c r="AA20" s="18"/>
      <c r="AB20" s="8">
        <f t="shared" ref="AB20" si="13">IF(J20=0,"0",(L20/J20))</f>
        <v>1</v>
      </c>
      <c r="AC20" s="9">
        <f t="shared" ref="AC20" si="14">IF(P20=0,"0",(P20/24))</f>
        <v>0.16666666666666666</v>
      </c>
      <c r="AD20" s="10">
        <f t="shared" ref="AD20" si="15">AC20*AB20*(1-O20)</f>
        <v>0.16666666666666666</v>
      </c>
      <c r="AE20" s="36">
        <f t="shared" si="6"/>
        <v>0.58493589743589736</v>
      </c>
      <c r="AF20" s="81">
        <f t="shared" ref="AF20" si="16">A20</f>
        <v>15</v>
      </c>
    </row>
    <row r="21" spans="1:32" ht="27" customHeight="1">
      <c r="A21" s="106">
        <v>15</v>
      </c>
      <c r="B21" s="11" t="s">
        <v>57</v>
      </c>
      <c r="C21" s="11" t="s">
        <v>116</v>
      </c>
      <c r="D21" s="52" t="s">
        <v>121</v>
      </c>
      <c r="E21" s="53" t="s">
        <v>554</v>
      </c>
      <c r="F21" s="30" t="s">
        <v>165</v>
      </c>
      <c r="G21" s="33">
        <v>1</v>
      </c>
      <c r="H21" s="35">
        <v>24</v>
      </c>
      <c r="I21" s="7">
        <v>300</v>
      </c>
      <c r="J21" s="14">
        <v>552</v>
      </c>
      <c r="K21" s="15">
        <f>L21</f>
        <v>552</v>
      </c>
      <c r="L21" s="15">
        <v>552</v>
      </c>
      <c r="M21" s="15">
        <f t="shared" si="0"/>
        <v>552</v>
      </c>
      <c r="N21" s="15">
        <v>0</v>
      </c>
      <c r="O21" s="58">
        <f t="shared" si="1"/>
        <v>0</v>
      </c>
      <c r="P21" s="39">
        <f t="shared" si="2"/>
        <v>4</v>
      </c>
      <c r="Q21" s="40">
        <f t="shared" si="3"/>
        <v>20</v>
      </c>
      <c r="R21" s="7"/>
      <c r="S21" s="6"/>
      <c r="T21" s="16"/>
      <c r="U21" s="16"/>
      <c r="V21" s="17"/>
      <c r="W21" s="5">
        <v>20</v>
      </c>
      <c r="X21" s="16"/>
      <c r="Y21" s="16"/>
      <c r="Z21" s="16"/>
      <c r="AA21" s="18"/>
      <c r="AB21" s="8">
        <f t="shared" si="4"/>
        <v>1</v>
      </c>
      <c r="AC21" s="9">
        <f t="shared" si="5"/>
        <v>0.16666666666666666</v>
      </c>
      <c r="AD21" s="10">
        <f t="shared" si="8"/>
        <v>0.16666666666666666</v>
      </c>
      <c r="AE21" s="36">
        <f t="shared" si="6"/>
        <v>0.58493589743589736</v>
      </c>
      <c r="AF21" s="81">
        <f t="shared" si="7"/>
        <v>15</v>
      </c>
    </row>
    <row r="22" spans="1:32" ht="27" customHeight="1">
      <c r="A22" s="106">
        <v>15</v>
      </c>
      <c r="B22" s="11" t="s">
        <v>57</v>
      </c>
      <c r="C22" s="11" t="s">
        <v>116</v>
      </c>
      <c r="D22" s="52" t="s">
        <v>147</v>
      </c>
      <c r="E22" s="53" t="s">
        <v>563</v>
      </c>
      <c r="F22" s="30" t="s">
        <v>148</v>
      </c>
      <c r="G22" s="33">
        <v>1</v>
      </c>
      <c r="H22" s="35">
        <v>24</v>
      </c>
      <c r="I22" s="7">
        <v>5000</v>
      </c>
      <c r="J22" s="14">
        <v>2614</v>
      </c>
      <c r="K22" s="15">
        <f>L22+550</f>
        <v>3164</v>
      </c>
      <c r="L22" s="15">
        <v>2614</v>
      </c>
      <c r="M22" s="15">
        <f t="shared" si="0"/>
        <v>2614</v>
      </c>
      <c r="N22" s="15">
        <v>0</v>
      </c>
      <c r="O22" s="58">
        <f t="shared" si="1"/>
        <v>0</v>
      </c>
      <c r="P22" s="39">
        <f t="shared" si="2"/>
        <v>13</v>
      </c>
      <c r="Q22" s="40">
        <f t="shared" si="3"/>
        <v>11</v>
      </c>
      <c r="R22" s="7"/>
      <c r="S22" s="6"/>
      <c r="T22" s="16">
        <v>11</v>
      </c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0.54166666666666663</v>
      </c>
      <c r="AD22" s="10">
        <f t="shared" si="8"/>
        <v>0.54166666666666663</v>
      </c>
      <c r="AE22" s="36">
        <f t="shared" si="6"/>
        <v>0.58493589743589736</v>
      </c>
      <c r="AF22" s="81">
        <f t="shared" si="7"/>
        <v>15</v>
      </c>
    </row>
    <row r="23" spans="1:32" ht="26.25" customHeight="1">
      <c r="A23" s="92">
        <v>16</v>
      </c>
      <c r="B23" s="11" t="s">
        <v>57</v>
      </c>
      <c r="C23" s="11" t="s">
        <v>113</v>
      </c>
      <c r="D23" s="52"/>
      <c r="E23" s="53" t="s">
        <v>352</v>
      </c>
      <c r="F23" s="12" t="s">
        <v>114</v>
      </c>
      <c r="G23" s="12">
        <v>4</v>
      </c>
      <c r="H23" s="35">
        <v>20</v>
      </c>
      <c r="I23" s="7">
        <v>2000000</v>
      </c>
      <c r="J23" s="14">
        <v>64424</v>
      </c>
      <c r="K23" s="15">
        <f>L23</f>
        <v>64424</v>
      </c>
      <c r="L23" s="15">
        <f>8214*4+7892*4</f>
        <v>64424</v>
      </c>
      <c r="M23" s="15">
        <f t="shared" si="0"/>
        <v>64424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1</v>
      </c>
      <c r="AD23" s="10">
        <f t="shared" si="8"/>
        <v>1</v>
      </c>
      <c r="AE23" s="36">
        <f t="shared" si="6"/>
        <v>0.58493589743589736</v>
      </c>
      <c r="AF23" s="81">
        <f t="shared" si="7"/>
        <v>16</v>
      </c>
    </row>
    <row r="24" spans="1:32" ht="26.25" customHeight="1">
      <c r="A24" s="115">
        <v>17</v>
      </c>
      <c r="B24" s="11" t="s">
        <v>57</v>
      </c>
      <c r="C24" s="11"/>
      <c r="D24" s="52"/>
      <c r="E24" s="53"/>
      <c r="F24" s="12"/>
      <c r="G24" s="12"/>
      <c r="H24" s="35"/>
      <c r="I24" s="7">
        <v>0</v>
      </c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0.58493589743589736</v>
      </c>
      <c r="AF24" s="81">
        <f t="shared" si="7"/>
        <v>17</v>
      </c>
    </row>
    <row r="25" spans="1:32" ht="26.25" customHeight="1">
      <c r="A25" s="115">
        <v>18</v>
      </c>
      <c r="B25" s="11" t="s">
        <v>57</v>
      </c>
      <c r="C25" s="11" t="s">
        <v>116</v>
      </c>
      <c r="D25" s="52" t="s">
        <v>178</v>
      </c>
      <c r="E25" s="53" t="s">
        <v>353</v>
      </c>
      <c r="F25" s="12" t="s">
        <v>180</v>
      </c>
      <c r="G25" s="12">
        <v>4</v>
      </c>
      <c r="H25" s="35">
        <v>15</v>
      </c>
      <c r="I25" s="7">
        <v>20000</v>
      </c>
      <c r="J25" s="14">
        <v>24024</v>
      </c>
      <c r="K25" s="15">
        <f>L25+14040+7084+2888+25304+4864+24024</f>
        <v>78204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0.58493589743589736</v>
      </c>
      <c r="AF25" s="81">
        <f t="shared" si="7"/>
        <v>18</v>
      </c>
    </row>
    <row r="26" spans="1:32" ht="21.75" customHeight="1">
      <c r="A26" s="92">
        <v>31</v>
      </c>
      <c r="B26" s="11" t="s">
        <v>57</v>
      </c>
      <c r="C26" s="11" t="s">
        <v>116</v>
      </c>
      <c r="D26" s="52" t="s">
        <v>115</v>
      </c>
      <c r="E26" s="53" t="s">
        <v>143</v>
      </c>
      <c r="F26" s="12" t="s">
        <v>135</v>
      </c>
      <c r="G26" s="12">
        <v>4</v>
      </c>
      <c r="H26" s="35">
        <v>20</v>
      </c>
      <c r="I26" s="7">
        <v>70000</v>
      </c>
      <c r="J26" s="14">
        <v>22300</v>
      </c>
      <c r="K26" s="15">
        <f>L26+22300</f>
        <v>22300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>
        <v>24</v>
      </c>
      <c r="W26" s="5"/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0.58493589743589736</v>
      </c>
      <c r="AF26" s="81">
        <f t="shared" si="7"/>
        <v>31</v>
      </c>
    </row>
    <row r="27" spans="1:32" ht="21.75" customHeight="1">
      <c r="A27" s="92">
        <v>32</v>
      </c>
      <c r="B27" s="11" t="s">
        <v>57</v>
      </c>
      <c r="C27" s="11" t="s">
        <v>172</v>
      </c>
      <c r="D27" s="52"/>
      <c r="E27" s="53" t="s">
        <v>171</v>
      </c>
      <c r="F27" s="12" t="s">
        <v>173</v>
      </c>
      <c r="G27" s="12">
        <v>30</v>
      </c>
      <c r="H27" s="35">
        <v>20</v>
      </c>
      <c r="I27" s="7">
        <v>2000000</v>
      </c>
      <c r="J27" s="14">
        <v>481964</v>
      </c>
      <c r="K27" s="15">
        <f>L27+322260</f>
        <v>804224</v>
      </c>
      <c r="L27" s="15">
        <f>8507*28+8706*28</f>
        <v>481964</v>
      </c>
      <c r="M27" s="15">
        <f t="shared" si="0"/>
        <v>481964</v>
      </c>
      <c r="N27" s="15">
        <v>0</v>
      </c>
      <c r="O27" s="58">
        <f t="shared" si="1"/>
        <v>0</v>
      </c>
      <c r="P27" s="39">
        <f t="shared" si="2"/>
        <v>24</v>
      </c>
      <c r="Q27" s="40">
        <f t="shared" si="3"/>
        <v>0</v>
      </c>
      <c r="R27" s="7"/>
      <c r="S27" s="6"/>
      <c r="T27" s="16"/>
      <c r="U27" s="16"/>
      <c r="V27" s="17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1</v>
      </c>
      <c r="AD27" s="10">
        <f t="shared" si="8"/>
        <v>1</v>
      </c>
      <c r="AE27" s="36">
        <f t="shared" si="6"/>
        <v>0.58493589743589736</v>
      </c>
      <c r="AF27" s="81">
        <f t="shared" si="7"/>
        <v>32</v>
      </c>
    </row>
    <row r="28" spans="1:32" ht="21.75" customHeight="1">
      <c r="A28" s="92">
        <v>33</v>
      </c>
      <c r="B28" s="11" t="s">
        <v>57</v>
      </c>
      <c r="C28" s="11" t="s">
        <v>116</v>
      </c>
      <c r="D28" s="52" t="s">
        <v>115</v>
      </c>
      <c r="E28" s="53" t="s">
        <v>414</v>
      </c>
      <c r="F28" s="12" t="s">
        <v>135</v>
      </c>
      <c r="G28" s="12">
        <v>3</v>
      </c>
      <c r="H28" s="35">
        <v>20</v>
      </c>
      <c r="I28" s="7">
        <v>130000</v>
      </c>
      <c r="J28" s="14">
        <v>18108</v>
      </c>
      <c r="K28" s="15">
        <f>L28+15220+23840+22923+6507+15501</f>
        <v>102099</v>
      </c>
      <c r="L28" s="15">
        <f>2984*3+3052*3</f>
        <v>18108</v>
      </c>
      <c r="M28" s="15">
        <f t="shared" si="0"/>
        <v>18108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8"/>
        <v>1</v>
      </c>
      <c r="AE28" s="36">
        <f t="shared" si="6"/>
        <v>0.58493589743589736</v>
      </c>
      <c r="AF28" s="81">
        <f t="shared" si="7"/>
        <v>33</v>
      </c>
    </row>
    <row r="29" spans="1:32" ht="21.75" customHeight="1">
      <c r="A29" s="92">
        <v>34</v>
      </c>
      <c r="B29" s="11" t="s">
        <v>57</v>
      </c>
      <c r="C29" s="11" t="s">
        <v>116</v>
      </c>
      <c r="D29" s="52" t="s">
        <v>197</v>
      </c>
      <c r="E29" s="53" t="s">
        <v>415</v>
      </c>
      <c r="F29" s="12" t="s">
        <v>124</v>
      </c>
      <c r="G29" s="12">
        <v>2</v>
      </c>
      <c r="H29" s="35">
        <v>20</v>
      </c>
      <c r="I29" s="7">
        <v>130000</v>
      </c>
      <c r="J29" s="14">
        <v>21292</v>
      </c>
      <c r="K29" s="15">
        <f>L29+15632+12648+1958</f>
        <v>51530</v>
      </c>
      <c r="L29" s="15">
        <f>1816*4+3507*4</f>
        <v>21292</v>
      </c>
      <c r="M29" s="15">
        <f t="shared" si="0"/>
        <v>21292</v>
      </c>
      <c r="N29" s="15">
        <v>0</v>
      </c>
      <c r="O29" s="58">
        <f t="shared" si="1"/>
        <v>0</v>
      </c>
      <c r="P29" s="39">
        <f t="shared" si="2"/>
        <v>19</v>
      </c>
      <c r="Q29" s="40">
        <f t="shared" si="3"/>
        <v>5</v>
      </c>
      <c r="R29" s="7"/>
      <c r="S29" s="6">
        <v>5</v>
      </c>
      <c r="T29" s="16"/>
      <c r="U29" s="16"/>
      <c r="V29" s="114"/>
      <c r="W29" s="5"/>
      <c r="X29" s="16"/>
      <c r="Y29" s="16"/>
      <c r="Z29" s="16"/>
      <c r="AA29" s="18"/>
      <c r="AB29" s="8">
        <f t="shared" si="4"/>
        <v>1</v>
      </c>
      <c r="AC29" s="9">
        <f t="shared" si="5"/>
        <v>0.79166666666666663</v>
      </c>
      <c r="AD29" s="10">
        <f t="shared" si="8"/>
        <v>0.79166666666666663</v>
      </c>
      <c r="AE29" s="36">
        <f t="shared" si="6"/>
        <v>0.58493589743589736</v>
      </c>
      <c r="AF29" s="81">
        <f t="shared" si="7"/>
        <v>34</v>
      </c>
    </row>
    <row r="30" spans="1:32" ht="21.75" customHeight="1">
      <c r="A30" s="92">
        <v>35</v>
      </c>
      <c r="B30" s="11" t="s">
        <v>57</v>
      </c>
      <c r="C30" s="11" t="s">
        <v>116</v>
      </c>
      <c r="D30" s="52" t="s">
        <v>121</v>
      </c>
      <c r="E30" s="53" t="s">
        <v>416</v>
      </c>
      <c r="F30" s="12" t="s">
        <v>124</v>
      </c>
      <c r="G30" s="12">
        <v>4</v>
      </c>
      <c r="H30" s="35">
        <v>20</v>
      </c>
      <c r="I30" s="7">
        <v>130000</v>
      </c>
      <c r="J30" s="14">
        <v>29800</v>
      </c>
      <c r="K30" s="15">
        <f>L30+27916+29980+10704+25528</f>
        <v>123928</v>
      </c>
      <c r="L30" s="15">
        <f>3680*4+3770*4</f>
        <v>29800</v>
      </c>
      <c r="M30" s="15">
        <f t="shared" si="0"/>
        <v>29800</v>
      </c>
      <c r="N30" s="15">
        <v>0</v>
      </c>
      <c r="O30" s="58">
        <f t="shared" si="1"/>
        <v>0</v>
      </c>
      <c r="P30" s="39">
        <f t="shared" si="2"/>
        <v>24</v>
      </c>
      <c r="Q30" s="40">
        <f t="shared" si="3"/>
        <v>0</v>
      </c>
      <c r="R30" s="7"/>
      <c r="S30" s="6"/>
      <c r="T30" s="16"/>
      <c r="U30" s="16"/>
      <c r="V30" s="114"/>
      <c r="W30" s="5"/>
      <c r="X30" s="16"/>
      <c r="Y30" s="16"/>
      <c r="Z30" s="16"/>
      <c r="AA30" s="18"/>
      <c r="AB30" s="8">
        <f t="shared" si="4"/>
        <v>1</v>
      </c>
      <c r="AC30" s="9">
        <f t="shared" si="5"/>
        <v>1</v>
      </c>
      <c r="AD30" s="10">
        <f t="shared" si="8"/>
        <v>1</v>
      </c>
      <c r="AE30" s="36">
        <f t="shared" si="6"/>
        <v>0.58493589743589736</v>
      </c>
      <c r="AF30" s="81">
        <f t="shared" si="7"/>
        <v>35</v>
      </c>
    </row>
    <row r="31" spans="1:32" ht="21.75" customHeight="1" thickBot="1">
      <c r="A31" s="92">
        <v>36</v>
      </c>
      <c r="B31" s="11" t="s">
        <v>57</v>
      </c>
      <c r="C31" s="11" t="s">
        <v>113</v>
      </c>
      <c r="D31" s="52"/>
      <c r="E31" s="53" t="s">
        <v>144</v>
      </c>
      <c r="F31" s="12" t="s">
        <v>114</v>
      </c>
      <c r="G31" s="12">
        <v>4</v>
      </c>
      <c r="H31" s="35">
        <v>20</v>
      </c>
      <c r="I31" s="7">
        <v>1000000</v>
      </c>
      <c r="J31" s="14">
        <v>79328</v>
      </c>
      <c r="K31" s="15">
        <f>L31+28388+70816+76368+81764+83428+47688+53180+83092+82192+79328</f>
        <v>686244</v>
      </c>
      <c r="L31" s="15"/>
      <c r="M31" s="15">
        <f t="shared" si="0"/>
        <v>0</v>
      </c>
      <c r="N31" s="15">
        <v>0</v>
      </c>
      <c r="O31" s="58" t="str">
        <f t="shared" si="1"/>
        <v>0</v>
      </c>
      <c r="P31" s="39" t="str">
        <f t="shared" si="2"/>
        <v>0</v>
      </c>
      <c r="Q31" s="40">
        <f t="shared" si="3"/>
        <v>24</v>
      </c>
      <c r="R31" s="7"/>
      <c r="S31" s="6"/>
      <c r="T31" s="16"/>
      <c r="U31" s="16"/>
      <c r="V31" s="114">
        <v>24</v>
      </c>
      <c r="W31" s="5"/>
      <c r="X31" s="16"/>
      <c r="Y31" s="16"/>
      <c r="Z31" s="16"/>
      <c r="AA31" s="18"/>
      <c r="AB31" s="8">
        <f t="shared" si="4"/>
        <v>0</v>
      </c>
      <c r="AC31" s="9">
        <f t="shared" si="5"/>
        <v>0</v>
      </c>
      <c r="AD31" s="10">
        <f t="shared" si="8"/>
        <v>0</v>
      </c>
      <c r="AE31" s="36">
        <f t="shared" si="6"/>
        <v>0.58493589743589736</v>
      </c>
      <c r="AF31" s="81">
        <f t="shared" si="7"/>
        <v>36</v>
      </c>
    </row>
    <row r="32" spans="1:32" ht="19.5" thickBot="1">
      <c r="A32" s="452" t="s">
        <v>34</v>
      </c>
      <c r="B32" s="453"/>
      <c r="C32" s="453"/>
      <c r="D32" s="453"/>
      <c r="E32" s="453"/>
      <c r="F32" s="453"/>
      <c r="G32" s="453"/>
      <c r="H32" s="454"/>
      <c r="I32" s="22">
        <f t="shared" ref="I32:N32" si="17">SUM(I6:I31)</f>
        <v>6577150</v>
      </c>
      <c r="J32" s="19">
        <f t="shared" si="17"/>
        <v>840859</v>
      </c>
      <c r="K32" s="20">
        <f t="shared" si="17"/>
        <v>2283448</v>
      </c>
      <c r="L32" s="21">
        <f t="shared" si="17"/>
        <v>710716</v>
      </c>
      <c r="M32" s="20">
        <f t="shared" si="17"/>
        <v>710716</v>
      </c>
      <c r="N32" s="21">
        <f t="shared" si="17"/>
        <v>0</v>
      </c>
      <c r="O32" s="41">
        <f t="shared" si="1"/>
        <v>0</v>
      </c>
      <c r="P32" s="42">
        <f t="shared" ref="P32:AA32" si="18">SUM(P6:P31)</f>
        <v>365</v>
      </c>
      <c r="Q32" s="43">
        <f t="shared" si="18"/>
        <v>259</v>
      </c>
      <c r="R32" s="23">
        <f t="shared" si="18"/>
        <v>0</v>
      </c>
      <c r="S32" s="24">
        <f t="shared" si="18"/>
        <v>5</v>
      </c>
      <c r="T32" s="24">
        <f t="shared" si="18"/>
        <v>12</v>
      </c>
      <c r="U32" s="24">
        <f t="shared" si="18"/>
        <v>0</v>
      </c>
      <c r="V32" s="25">
        <f t="shared" si="18"/>
        <v>48</v>
      </c>
      <c r="W32" s="26">
        <f t="shared" si="18"/>
        <v>184</v>
      </c>
      <c r="X32" s="27">
        <f t="shared" si="18"/>
        <v>0</v>
      </c>
      <c r="Y32" s="27">
        <f t="shared" si="18"/>
        <v>0</v>
      </c>
      <c r="Z32" s="27">
        <f t="shared" si="18"/>
        <v>0</v>
      </c>
      <c r="AA32" s="27">
        <f t="shared" si="18"/>
        <v>10</v>
      </c>
      <c r="AB32" s="28">
        <f>AVERAGE(AB6:AB31)</f>
        <v>0.72</v>
      </c>
      <c r="AC32" s="4">
        <f>AVERAGE(AC6:AC31)</f>
        <v>0.58493589743589736</v>
      </c>
      <c r="AD32" s="4">
        <f>AVERAGE(AD6:AD31)</f>
        <v>0.58493589743589736</v>
      </c>
      <c r="AE32" s="29"/>
    </row>
    <row r="33" spans="1:32">
      <c r="T33" s="50" t="s">
        <v>127</v>
      </c>
    </row>
    <row r="34" spans="1:32" ht="18.75">
      <c r="A34" s="2"/>
      <c r="B34" s="2" t="s">
        <v>35</v>
      </c>
      <c r="C34" s="2"/>
      <c r="D34" s="2"/>
      <c r="E34" s="2"/>
      <c r="F34" s="2"/>
      <c r="G34" s="2"/>
      <c r="H34" s="3"/>
      <c r="I34" s="3"/>
      <c r="J34" s="2"/>
      <c r="K34" s="2"/>
      <c r="L34" s="2"/>
      <c r="M34" s="2"/>
      <c r="N34" s="2" t="s">
        <v>36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1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 t="s">
        <v>128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82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7">
      <c r="A49" s="59"/>
      <c r="B49" s="59"/>
      <c r="C49" s="59"/>
      <c r="D49" s="59"/>
      <c r="E49" s="59"/>
      <c r="F49" s="37"/>
      <c r="G49" s="37"/>
      <c r="H49" s="38"/>
      <c r="I49" s="38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F49" s="50"/>
    </row>
    <row r="50" spans="1:32" ht="29.25" customHeight="1">
      <c r="A50" s="60"/>
      <c r="B50" s="60"/>
      <c r="C50" s="61"/>
      <c r="D50" s="61"/>
      <c r="E50" s="61"/>
      <c r="F50" s="60"/>
      <c r="G50" s="60"/>
      <c r="H50" s="60"/>
      <c r="I50" s="60"/>
      <c r="J50" s="60"/>
      <c r="K50" s="60"/>
      <c r="L50" s="60"/>
      <c r="M50" s="61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29.25" customHeight="1">
      <c r="A57" s="60"/>
      <c r="B57" s="60"/>
      <c r="C57" s="62"/>
      <c r="D57" s="61"/>
      <c r="E57" s="61"/>
      <c r="F57" s="60"/>
      <c r="G57" s="60"/>
      <c r="H57" s="60"/>
      <c r="I57" s="60"/>
      <c r="J57" s="60"/>
      <c r="K57" s="60"/>
      <c r="L57" s="60"/>
      <c r="M57" s="62"/>
      <c r="N57" s="60"/>
      <c r="O57" s="60"/>
      <c r="P57" s="63"/>
      <c r="Q57" s="63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0"/>
      <c r="AC57" s="60"/>
      <c r="AD57" s="60"/>
      <c r="AF57" s="50"/>
    </row>
    <row r="58" spans="1:32" ht="14.2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36" thickBot="1">
      <c r="A59" s="455" t="s">
        <v>45</v>
      </c>
      <c r="B59" s="455"/>
      <c r="C59" s="455"/>
      <c r="D59" s="455"/>
      <c r="E59" s="455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F59" s="50"/>
    </row>
    <row r="60" spans="1:32" ht="26.25" thickBot="1">
      <c r="A60" s="456" t="s">
        <v>564</v>
      </c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8"/>
      <c r="N60" s="459" t="s">
        <v>572</v>
      </c>
      <c r="O60" s="460"/>
      <c r="P60" s="460"/>
      <c r="Q60" s="460"/>
      <c r="R60" s="460"/>
      <c r="S60" s="460"/>
      <c r="T60" s="460"/>
      <c r="U60" s="460"/>
      <c r="V60" s="460"/>
      <c r="W60" s="460"/>
      <c r="X60" s="460"/>
      <c r="Y60" s="460"/>
      <c r="Z60" s="460"/>
      <c r="AA60" s="460"/>
      <c r="AB60" s="460"/>
      <c r="AC60" s="460"/>
      <c r="AD60" s="461"/>
    </row>
    <row r="61" spans="1:32" ht="27" customHeight="1">
      <c r="A61" s="462" t="s">
        <v>2</v>
      </c>
      <c r="B61" s="463"/>
      <c r="C61" s="240" t="s">
        <v>46</v>
      </c>
      <c r="D61" s="240" t="s">
        <v>47</v>
      </c>
      <c r="E61" s="240" t="s">
        <v>107</v>
      </c>
      <c r="F61" s="464" t="s">
        <v>106</v>
      </c>
      <c r="G61" s="465"/>
      <c r="H61" s="465"/>
      <c r="I61" s="465"/>
      <c r="J61" s="465"/>
      <c r="K61" s="465"/>
      <c r="L61" s="465"/>
      <c r="M61" s="466"/>
      <c r="N61" s="67" t="s">
        <v>110</v>
      </c>
      <c r="O61" s="240" t="s">
        <v>46</v>
      </c>
      <c r="P61" s="464" t="s">
        <v>47</v>
      </c>
      <c r="Q61" s="467"/>
      <c r="R61" s="464" t="s">
        <v>38</v>
      </c>
      <c r="S61" s="465"/>
      <c r="T61" s="465"/>
      <c r="U61" s="467"/>
      <c r="V61" s="464" t="s">
        <v>48</v>
      </c>
      <c r="W61" s="465"/>
      <c r="X61" s="465"/>
      <c r="Y61" s="465"/>
      <c r="Z61" s="465"/>
      <c r="AA61" s="465"/>
      <c r="AB61" s="465"/>
      <c r="AC61" s="465"/>
      <c r="AD61" s="466"/>
    </row>
    <row r="62" spans="1:32" ht="27" customHeight="1">
      <c r="A62" s="430" t="s">
        <v>112</v>
      </c>
      <c r="B62" s="431"/>
      <c r="C62" s="236" t="s">
        <v>146</v>
      </c>
      <c r="D62" s="236" t="s">
        <v>115</v>
      </c>
      <c r="E62" s="237" t="s">
        <v>551</v>
      </c>
      <c r="F62" s="432" t="s">
        <v>154</v>
      </c>
      <c r="G62" s="433"/>
      <c r="H62" s="433"/>
      <c r="I62" s="433"/>
      <c r="J62" s="433"/>
      <c r="K62" s="433"/>
      <c r="L62" s="433"/>
      <c r="M62" s="434"/>
      <c r="N62" s="141" t="s">
        <v>126</v>
      </c>
      <c r="O62" s="234" t="s">
        <v>146</v>
      </c>
      <c r="P62" s="447" t="s">
        <v>115</v>
      </c>
      <c r="Q62" s="448"/>
      <c r="R62" s="447" t="s">
        <v>434</v>
      </c>
      <c r="S62" s="449"/>
      <c r="T62" s="449"/>
      <c r="U62" s="448"/>
      <c r="V62" s="436" t="s">
        <v>141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126</v>
      </c>
      <c r="B63" s="431"/>
      <c r="C63" s="236" t="s">
        <v>166</v>
      </c>
      <c r="D63" s="236" t="s">
        <v>290</v>
      </c>
      <c r="E63" s="237" t="s">
        <v>562</v>
      </c>
      <c r="F63" s="436" t="s">
        <v>154</v>
      </c>
      <c r="G63" s="437"/>
      <c r="H63" s="437"/>
      <c r="I63" s="437"/>
      <c r="J63" s="437"/>
      <c r="K63" s="437"/>
      <c r="L63" s="437"/>
      <c r="M63" s="438"/>
      <c r="N63" s="141" t="s">
        <v>112</v>
      </c>
      <c r="O63" s="234" t="s">
        <v>139</v>
      </c>
      <c r="P63" s="447" t="s">
        <v>224</v>
      </c>
      <c r="Q63" s="448"/>
      <c r="R63" s="447" t="s">
        <v>573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116</v>
      </c>
      <c r="B64" s="431"/>
      <c r="C64" s="236" t="s">
        <v>191</v>
      </c>
      <c r="D64" s="236" t="s">
        <v>147</v>
      </c>
      <c r="E64" s="237" t="s">
        <v>553</v>
      </c>
      <c r="F64" s="432" t="s">
        <v>154</v>
      </c>
      <c r="G64" s="433"/>
      <c r="H64" s="433"/>
      <c r="I64" s="433"/>
      <c r="J64" s="433"/>
      <c r="K64" s="433"/>
      <c r="L64" s="433"/>
      <c r="M64" s="434"/>
      <c r="N64" s="141" t="s">
        <v>116</v>
      </c>
      <c r="O64" s="234" t="s">
        <v>160</v>
      </c>
      <c r="P64" s="447" t="s">
        <v>137</v>
      </c>
      <c r="Q64" s="448"/>
      <c r="R64" s="447" t="s">
        <v>574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116</v>
      </c>
      <c r="B65" s="431"/>
      <c r="C65" s="236" t="s">
        <v>568</v>
      </c>
      <c r="D65" s="236" t="s">
        <v>571</v>
      </c>
      <c r="E65" s="237" t="s">
        <v>565</v>
      </c>
      <c r="F65" s="432" t="s">
        <v>154</v>
      </c>
      <c r="G65" s="433"/>
      <c r="H65" s="433"/>
      <c r="I65" s="433"/>
      <c r="J65" s="433"/>
      <c r="K65" s="433"/>
      <c r="L65" s="433"/>
      <c r="M65" s="434"/>
      <c r="N65" s="141" t="s">
        <v>575</v>
      </c>
      <c r="O65" s="234" t="s">
        <v>442</v>
      </c>
      <c r="P65" s="447"/>
      <c r="Q65" s="448"/>
      <c r="R65" s="447" t="s">
        <v>576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116</v>
      </c>
      <c r="B66" s="431"/>
      <c r="C66" s="236" t="s">
        <v>568</v>
      </c>
      <c r="D66" s="236" t="s">
        <v>147</v>
      </c>
      <c r="E66" s="237" t="s">
        <v>563</v>
      </c>
      <c r="F66" s="432" t="s">
        <v>154</v>
      </c>
      <c r="G66" s="433"/>
      <c r="H66" s="433"/>
      <c r="I66" s="433"/>
      <c r="J66" s="433"/>
      <c r="K66" s="433"/>
      <c r="L66" s="433"/>
      <c r="M66" s="434"/>
      <c r="N66" s="141" t="s">
        <v>112</v>
      </c>
      <c r="O66" s="234" t="s">
        <v>166</v>
      </c>
      <c r="P66" s="447" t="s">
        <v>147</v>
      </c>
      <c r="Q66" s="448"/>
      <c r="R66" s="447" t="s">
        <v>577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116</v>
      </c>
      <c r="B67" s="431"/>
      <c r="C67" s="236" t="s">
        <v>569</v>
      </c>
      <c r="D67" s="236" t="s">
        <v>570</v>
      </c>
      <c r="E67" s="237" t="s">
        <v>566</v>
      </c>
      <c r="F67" s="432" t="s">
        <v>567</v>
      </c>
      <c r="G67" s="433"/>
      <c r="H67" s="433"/>
      <c r="I67" s="433"/>
      <c r="J67" s="433"/>
      <c r="K67" s="433"/>
      <c r="L67" s="433"/>
      <c r="M67" s="434"/>
      <c r="N67" s="141" t="s">
        <v>112</v>
      </c>
      <c r="O67" s="234" t="s">
        <v>579</v>
      </c>
      <c r="P67" s="447" t="s">
        <v>115</v>
      </c>
      <c r="Q67" s="448"/>
      <c r="R67" s="447" t="s">
        <v>578</v>
      </c>
      <c r="S67" s="449"/>
      <c r="T67" s="449"/>
      <c r="U67" s="448"/>
      <c r="V67" s="436" t="s">
        <v>154</v>
      </c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236"/>
      <c r="D68" s="236"/>
      <c r="E68" s="237"/>
      <c r="F68" s="432"/>
      <c r="G68" s="433"/>
      <c r="H68" s="433"/>
      <c r="I68" s="433"/>
      <c r="J68" s="433"/>
      <c r="K68" s="433"/>
      <c r="L68" s="433"/>
      <c r="M68" s="434"/>
      <c r="N68" s="141"/>
      <c r="O68" s="234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/>
      <c r="B69" s="431"/>
      <c r="C69" s="236"/>
      <c r="D69" s="236"/>
      <c r="E69" s="237"/>
      <c r="F69" s="432"/>
      <c r="G69" s="433"/>
      <c r="H69" s="433"/>
      <c r="I69" s="433"/>
      <c r="J69" s="433"/>
      <c r="K69" s="433"/>
      <c r="L69" s="433"/>
      <c r="M69" s="434"/>
      <c r="N69" s="141"/>
      <c r="O69" s="234"/>
      <c r="P69" s="447"/>
      <c r="Q69" s="448"/>
      <c r="R69" s="447"/>
      <c r="S69" s="449"/>
      <c r="T69" s="449"/>
      <c r="U69" s="448"/>
      <c r="V69" s="436"/>
      <c r="W69" s="437"/>
      <c r="X69" s="437"/>
      <c r="Y69" s="437"/>
      <c r="Z69" s="437"/>
      <c r="AA69" s="437"/>
      <c r="AB69" s="437"/>
      <c r="AC69" s="437"/>
      <c r="AD69" s="438"/>
    </row>
    <row r="70" spans="1:32" ht="27" customHeight="1">
      <c r="A70" s="430"/>
      <c r="B70" s="431"/>
      <c r="C70" s="236"/>
      <c r="D70" s="236"/>
      <c r="E70" s="237"/>
      <c r="F70" s="432"/>
      <c r="G70" s="433"/>
      <c r="H70" s="433"/>
      <c r="I70" s="433"/>
      <c r="J70" s="433"/>
      <c r="K70" s="433"/>
      <c r="L70" s="433"/>
      <c r="M70" s="434"/>
      <c r="N70" s="141"/>
      <c r="O70" s="234"/>
      <c r="P70" s="435"/>
      <c r="Q70" s="435"/>
      <c r="R70" s="435"/>
      <c r="S70" s="435"/>
      <c r="T70" s="435"/>
      <c r="U70" s="435"/>
      <c r="V70" s="436"/>
      <c r="W70" s="437"/>
      <c r="X70" s="437"/>
      <c r="Y70" s="437"/>
      <c r="Z70" s="437"/>
      <c r="AA70" s="437"/>
      <c r="AB70" s="437"/>
      <c r="AC70" s="437"/>
      <c r="AD70" s="438"/>
      <c r="AF70" s="81">
        <f>8*3000</f>
        <v>24000</v>
      </c>
    </row>
    <row r="71" spans="1:32" ht="27" customHeight="1" thickBot="1">
      <c r="A71" s="439"/>
      <c r="B71" s="440"/>
      <c r="C71" s="238"/>
      <c r="D71" s="239"/>
      <c r="E71" s="238"/>
      <c r="F71" s="490"/>
      <c r="G71" s="491"/>
      <c r="H71" s="491"/>
      <c r="I71" s="491"/>
      <c r="J71" s="491"/>
      <c r="K71" s="491"/>
      <c r="L71" s="491"/>
      <c r="M71" s="492"/>
      <c r="N71" s="105"/>
      <c r="O71" s="97"/>
      <c r="P71" s="444"/>
      <c r="Q71" s="444"/>
      <c r="R71" s="444"/>
      <c r="S71" s="444"/>
      <c r="T71" s="444"/>
      <c r="U71" s="444"/>
      <c r="V71" s="445"/>
      <c r="W71" s="445"/>
      <c r="X71" s="445"/>
      <c r="Y71" s="445"/>
      <c r="Z71" s="445"/>
      <c r="AA71" s="445"/>
      <c r="AB71" s="445"/>
      <c r="AC71" s="445"/>
      <c r="AD71" s="446"/>
      <c r="AF71" s="81">
        <f>16*3000</f>
        <v>48000</v>
      </c>
    </row>
    <row r="72" spans="1:32" ht="27.75" thickBot="1">
      <c r="A72" s="428" t="s">
        <v>580</v>
      </c>
      <c r="B72" s="428"/>
      <c r="C72" s="428"/>
      <c r="D72" s="428"/>
      <c r="E72" s="428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81">
        <v>24000</v>
      </c>
    </row>
    <row r="73" spans="1:32" ht="29.25" customHeight="1" thickBot="1">
      <c r="A73" s="429" t="s">
        <v>111</v>
      </c>
      <c r="B73" s="426"/>
      <c r="C73" s="235" t="s">
        <v>2</v>
      </c>
      <c r="D73" s="235" t="s">
        <v>37</v>
      </c>
      <c r="E73" s="235" t="s">
        <v>3</v>
      </c>
      <c r="F73" s="426" t="s">
        <v>109</v>
      </c>
      <c r="G73" s="426"/>
      <c r="H73" s="426"/>
      <c r="I73" s="426"/>
      <c r="J73" s="426"/>
      <c r="K73" s="426" t="s">
        <v>39</v>
      </c>
      <c r="L73" s="426"/>
      <c r="M73" s="235" t="s">
        <v>40</v>
      </c>
      <c r="N73" s="426" t="s">
        <v>41</v>
      </c>
      <c r="O73" s="426"/>
      <c r="P73" s="423" t="s">
        <v>42</v>
      </c>
      <c r="Q73" s="425"/>
      <c r="R73" s="423" t="s">
        <v>43</v>
      </c>
      <c r="S73" s="424"/>
      <c r="T73" s="424"/>
      <c r="U73" s="424"/>
      <c r="V73" s="424"/>
      <c r="W73" s="424"/>
      <c r="X73" s="424"/>
      <c r="Y73" s="424"/>
      <c r="Z73" s="424"/>
      <c r="AA73" s="425"/>
      <c r="AB73" s="426" t="s">
        <v>44</v>
      </c>
      <c r="AC73" s="426"/>
      <c r="AD73" s="427"/>
      <c r="AF73" s="81">
        <f>SUM(AF70:AF72)</f>
        <v>96000</v>
      </c>
    </row>
    <row r="74" spans="1:32" ht="25.5" customHeight="1">
      <c r="A74" s="414">
        <v>1</v>
      </c>
      <c r="B74" s="415"/>
      <c r="C74" s="98" t="s">
        <v>112</v>
      </c>
      <c r="D74" s="230"/>
      <c r="E74" s="233" t="s">
        <v>296</v>
      </c>
      <c r="F74" s="416" t="s">
        <v>286</v>
      </c>
      <c r="G74" s="406"/>
      <c r="H74" s="406"/>
      <c r="I74" s="406"/>
      <c r="J74" s="406"/>
      <c r="K74" s="406" t="s">
        <v>165</v>
      </c>
      <c r="L74" s="406"/>
      <c r="M74" s="51" t="s">
        <v>248</v>
      </c>
      <c r="N74" s="417" t="s">
        <v>166</v>
      </c>
      <c r="O74" s="417"/>
      <c r="P74" s="418">
        <v>100</v>
      </c>
      <c r="Q74" s="418"/>
      <c r="R74" s="419" t="s">
        <v>581</v>
      </c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2</v>
      </c>
      <c r="B75" s="415"/>
      <c r="C75" s="98" t="s">
        <v>112</v>
      </c>
      <c r="D75" s="230"/>
      <c r="E75" s="233" t="s">
        <v>583</v>
      </c>
      <c r="F75" s="420" t="s">
        <v>582</v>
      </c>
      <c r="G75" s="421"/>
      <c r="H75" s="421"/>
      <c r="I75" s="421"/>
      <c r="J75" s="422"/>
      <c r="K75" s="406" t="s">
        <v>584</v>
      </c>
      <c r="L75" s="406"/>
      <c r="M75" s="51" t="s">
        <v>585</v>
      </c>
      <c r="N75" s="417" t="s">
        <v>586</v>
      </c>
      <c r="O75" s="417"/>
      <c r="P75" s="418">
        <v>100</v>
      </c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3</v>
      </c>
      <c r="B76" s="415"/>
      <c r="C76" s="98" t="s">
        <v>588</v>
      </c>
      <c r="D76" s="230"/>
      <c r="E76" s="233" t="s">
        <v>570</v>
      </c>
      <c r="F76" s="416" t="s">
        <v>587</v>
      </c>
      <c r="G76" s="406"/>
      <c r="H76" s="406"/>
      <c r="I76" s="406"/>
      <c r="J76" s="406"/>
      <c r="K76" s="406" t="s">
        <v>589</v>
      </c>
      <c r="L76" s="406"/>
      <c r="M76" s="51" t="s">
        <v>590</v>
      </c>
      <c r="N76" s="417" t="s">
        <v>591</v>
      </c>
      <c r="O76" s="417"/>
      <c r="P76" s="418">
        <v>200</v>
      </c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4</v>
      </c>
      <c r="B77" s="415"/>
      <c r="C77" s="98" t="s">
        <v>112</v>
      </c>
      <c r="D77" s="230"/>
      <c r="E77" s="233" t="s">
        <v>593</v>
      </c>
      <c r="F77" s="420" t="s">
        <v>592</v>
      </c>
      <c r="G77" s="421"/>
      <c r="H77" s="421"/>
      <c r="I77" s="421"/>
      <c r="J77" s="422"/>
      <c r="K77" s="406" t="s">
        <v>594</v>
      </c>
      <c r="L77" s="406"/>
      <c r="M77" s="51" t="s">
        <v>590</v>
      </c>
      <c r="N77" s="417" t="s">
        <v>568</v>
      </c>
      <c r="O77" s="417"/>
      <c r="P77" s="418">
        <v>200</v>
      </c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5</v>
      </c>
      <c r="B78" s="415"/>
      <c r="C78" s="98"/>
      <c r="D78" s="230"/>
      <c r="E78" s="233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6</v>
      </c>
      <c r="B79" s="415"/>
      <c r="C79" s="98"/>
      <c r="D79" s="230"/>
      <c r="E79" s="233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7</v>
      </c>
      <c r="B80" s="415"/>
      <c r="C80" s="98"/>
      <c r="D80" s="230"/>
      <c r="E80" s="233"/>
      <c r="F80" s="420"/>
      <c r="G80" s="421"/>
      <c r="H80" s="421"/>
      <c r="I80" s="421"/>
      <c r="J80" s="422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8</v>
      </c>
      <c r="B81" s="415"/>
      <c r="C81" s="98"/>
      <c r="D81" s="230"/>
      <c r="E81" s="233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9</v>
      </c>
      <c r="B82" s="415"/>
      <c r="C82" s="98"/>
      <c r="D82" s="230"/>
      <c r="E82" s="233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5.5" customHeight="1">
      <c r="A83" s="414">
        <v>10</v>
      </c>
      <c r="B83" s="415"/>
      <c r="C83" s="98"/>
      <c r="D83" s="230"/>
      <c r="E83" s="233"/>
      <c r="F83" s="416"/>
      <c r="G83" s="406"/>
      <c r="H83" s="406"/>
      <c r="I83" s="406"/>
      <c r="J83" s="406"/>
      <c r="K83" s="406"/>
      <c r="L83" s="406"/>
      <c r="M83" s="51"/>
      <c r="N83" s="417"/>
      <c r="O83" s="417"/>
      <c r="P83" s="418"/>
      <c r="Q83" s="418"/>
      <c r="R83" s="419"/>
      <c r="S83" s="419"/>
      <c r="T83" s="419"/>
      <c r="U83" s="419"/>
      <c r="V83" s="419"/>
      <c r="W83" s="419"/>
      <c r="X83" s="419"/>
      <c r="Y83" s="419"/>
      <c r="Z83" s="419"/>
      <c r="AA83" s="419"/>
      <c r="AB83" s="406"/>
      <c r="AC83" s="406"/>
      <c r="AD83" s="407"/>
      <c r="AF83" s="50"/>
    </row>
    <row r="84" spans="1:32" ht="26.25" customHeight="1" thickBot="1">
      <c r="A84" s="386" t="s">
        <v>595</v>
      </c>
      <c r="B84" s="386"/>
      <c r="C84" s="386"/>
      <c r="D84" s="386"/>
      <c r="E84" s="386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23.25" thickBot="1">
      <c r="A85" s="408" t="s">
        <v>111</v>
      </c>
      <c r="B85" s="409"/>
      <c r="C85" s="232" t="s">
        <v>2</v>
      </c>
      <c r="D85" s="232" t="s">
        <v>37</v>
      </c>
      <c r="E85" s="232" t="s">
        <v>120</v>
      </c>
      <c r="F85" s="388" t="s">
        <v>38</v>
      </c>
      <c r="G85" s="388"/>
      <c r="H85" s="388"/>
      <c r="I85" s="388"/>
      <c r="J85" s="388"/>
      <c r="K85" s="410" t="s">
        <v>58</v>
      </c>
      <c r="L85" s="411"/>
      <c r="M85" s="411"/>
      <c r="N85" s="411"/>
      <c r="O85" s="411"/>
      <c r="P85" s="411"/>
      <c r="Q85" s="411"/>
      <c r="R85" s="411"/>
      <c r="S85" s="412"/>
      <c r="T85" s="388" t="s">
        <v>49</v>
      </c>
      <c r="U85" s="388"/>
      <c r="V85" s="410" t="s">
        <v>50</v>
      </c>
      <c r="W85" s="412"/>
      <c r="X85" s="411" t="s">
        <v>51</v>
      </c>
      <c r="Y85" s="411"/>
      <c r="Z85" s="411"/>
      <c r="AA85" s="411"/>
      <c r="AB85" s="411"/>
      <c r="AC85" s="411"/>
      <c r="AD85" s="413"/>
      <c r="AF85" s="50"/>
    </row>
    <row r="86" spans="1:32" ht="33.75" customHeight="1">
      <c r="A86" s="380">
        <v>1</v>
      </c>
      <c r="B86" s="381"/>
      <c r="C86" s="231"/>
      <c r="D86" s="231"/>
      <c r="E86" s="65"/>
      <c r="F86" s="395"/>
      <c r="G86" s="396"/>
      <c r="H86" s="396"/>
      <c r="I86" s="396"/>
      <c r="J86" s="397"/>
      <c r="K86" s="398"/>
      <c r="L86" s="399"/>
      <c r="M86" s="399"/>
      <c r="N86" s="399"/>
      <c r="O86" s="399"/>
      <c r="P86" s="399"/>
      <c r="Q86" s="399"/>
      <c r="R86" s="399"/>
      <c r="S86" s="400"/>
      <c r="T86" s="401"/>
      <c r="U86" s="402"/>
      <c r="V86" s="403"/>
      <c r="W86" s="403"/>
      <c r="X86" s="404"/>
      <c r="Y86" s="404"/>
      <c r="Z86" s="404"/>
      <c r="AA86" s="404"/>
      <c r="AB86" s="404"/>
      <c r="AC86" s="404"/>
      <c r="AD86" s="405"/>
      <c r="AF86" s="50"/>
    </row>
    <row r="87" spans="1:32" ht="30" customHeight="1">
      <c r="A87" s="373">
        <f>A86+1</f>
        <v>2</v>
      </c>
      <c r="B87" s="374"/>
      <c r="C87" s="230"/>
      <c r="D87" s="230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ref="A88:A92" si="19">A87+1</f>
        <v>3</v>
      </c>
      <c r="B88" s="374"/>
      <c r="C88" s="230"/>
      <c r="D88" s="230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4</v>
      </c>
      <c r="B89" s="374"/>
      <c r="C89" s="230"/>
      <c r="D89" s="230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5</v>
      </c>
      <c r="B90" s="374"/>
      <c r="C90" s="230"/>
      <c r="D90" s="230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6</v>
      </c>
      <c r="B91" s="374"/>
      <c r="C91" s="230"/>
      <c r="D91" s="230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0" customHeight="1">
      <c r="A92" s="373">
        <f t="shared" si="19"/>
        <v>7</v>
      </c>
      <c r="B92" s="374"/>
      <c r="C92" s="230"/>
      <c r="D92" s="230"/>
      <c r="E92" s="32"/>
      <c r="F92" s="374"/>
      <c r="G92" s="374"/>
      <c r="H92" s="374"/>
      <c r="I92" s="374"/>
      <c r="J92" s="374"/>
      <c r="K92" s="389"/>
      <c r="L92" s="390"/>
      <c r="M92" s="390"/>
      <c r="N92" s="390"/>
      <c r="O92" s="390"/>
      <c r="P92" s="390"/>
      <c r="Q92" s="390"/>
      <c r="R92" s="390"/>
      <c r="S92" s="391"/>
      <c r="T92" s="392"/>
      <c r="U92" s="392"/>
      <c r="V92" s="392"/>
      <c r="W92" s="392"/>
      <c r="X92" s="393"/>
      <c r="Y92" s="393"/>
      <c r="Z92" s="393"/>
      <c r="AA92" s="393"/>
      <c r="AB92" s="393"/>
      <c r="AC92" s="393"/>
      <c r="AD92" s="394"/>
      <c r="AF92" s="50"/>
    </row>
    <row r="93" spans="1:32" ht="36" thickBot="1">
      <c r="A93" s="386" t="s">
        <v>596</v>
      </c>
      <c r="B93" s="386"/>
      <c r="C93" s="386"/>
      <c r="D93" s="386"/>
      <c r="E93" s="386"/>
      <c r="F93" s="37"/>
      <c r="G93" s="37"/>
      <c r="H93" s="38"/>
      <c r="I93" s="38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F93" s="50"/>
    </row>
    <row r="94" spans="1:32" ht="30.75" customHeight="1" thickBot="1">
      <c r="A94" s="387" t="s">
        <v>111</v>
      </c>
      <c r="B94" s="388"/>
      <c r="C94" s="378" t="s">
        <v>52</v>
      </c>
      <c r="D94" s="378"/>
      <c r="E94" s="378" t="s">
        <v>53</v>
      </c>
      <c r="F94" s="378"/>
      <c r="G94" s="378"/>
      <c r="H94" s="378"/>
      <c r="I94" s="378"/>
      <c r="J94" s="378"/>
      <c r="K94" s="378" t="s">
        <v>54</v>
      </c>
      <c r="L94" s="378"/>
      <c r="M94" s="378"/>
      <c r="N94" s="378"/>
      <c r="O94" s="378"/>
      <c r="P94" s="378"/>
      <c r="Q94" s="378"/>
      <c r="R94" s="378"/>
      <c r="S94" s="378"/>
      <c r="T94" s="378" t="s">
        <v>55</v>
      </c>
      <c r="U94" s="378"/>
      <c r="V94" s="378" t="s">
        <v>56</v>
      </c>
      <c r="W94" s="378"/>
      <c r="X94" s="378"/>
      <c r="Y94" s="378" t="s">
        <v>51</v>
      </c>
      <c r="Z94" s="378"/>
      <c r="AA94" s="378"/>
      <c r="AB94" s="378"/>
      <c r="AC94" s="378"/>
      <c r="AD94" s="379"/>
      <c r="AF94" s="50"/>
    </row>
    <row r="95" spans="1:32" ht="30.75" customHeight="1">
      <c r="A95" s="380">
        <v>1</v>
      </c>
      <c r="B95" s="381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382"/>
      <c r="P95" s="382"/>
      <c r="Q95" s="382"/>
      <c r="R95" s="382"/>
      <c r="S95" s="382"/>
      <c r="T95" s="382"/>
      <c r="U95" s="382"/>
      <c r="V95" s="383"/>
      <c r="W95" s="383"/>
      <c r="X95" s="383"/>
      <c r="Y95" s="384"/>
      <c r="Z95" s="384"/>
      <c r="AA95" s="384"/>
      <c r="AB95" s="384"/>
      <c r="AC95" s="384"/>
      <c r="AD95" s="385"/>
      <c r="AF95" s="50"/>
    </row>
    <row r="96" spans="1:32" ht="30.75" customHeight="1">
      <c r="A96" s="373">
        <v>2</v>
      </c>
      <c r="B96" s="374"/>
      <c r="C96" s="375"/>
      <c r="D96" s="375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75"/>
      <c r="P96" s="375"/>
      <c r="Q96" s="375"/>
      <c r="R96" s="375"/>
      <c r="S96" s="375"/>
      <c r="T96" s="376"/>
      <c r="U96" s="376"/>
      <c r="V96" s="377"/>
      <c r="W96" s="377"/>
      <c r="X96" s="377"/>
      <c r="Y96" s="365"/>
      <c r="Z96" s="365"/>
      <c r="AA96" s="365"/>
      <c r="AB96" s="365"/>
      <c r="AC96" s="365"/>
      <c r="AD96" s="366"/>
      <c r="AF96" s="50"/>
    </row>
    <row r="97" spans="1:32" ht="30.75" customHeight="1" thickBot="1">
      <c r="A97" s="367">
        <v>3</v>
      </c>
      <c r="B97" s="368"/>
      <c r="C97" s="369"/>
      <c r="D97" s="369"/>
      <c r="E97" s="369"/>
      <c r="F97" s="369"/>
      <c r="G97" s="369"/>
      <c r="H97" s="369"/>
      <c r="I97" s="369"/>
      <c r="J97" s="369"/>
      <c r="K97" s="369"/>
      <c r="L97" s="369"/>
      <c r="M97" s="369"/>
      <c r="N97" s="369"/>
      <c r="O97" s="369"/>
      <c r="P97" s="369"/>
      <c r="Q97" s="369"/>
      <c r="R97" s="369"/>
      <c r="S97" s="369"/>
      <c r="T97" s="369"/>
      <c r="U97" s="369"/>
      <c r="V97" s="370"/>
      <c r="W97" s="370"/>
      <c r="X97" s="370"/>
      <c r="Y97" s="371"/>
      <c r="Z97" s="371"/>
      <c r="AA97" s="371"/>
      <c r="AB97" s="371"/>
      <c r="AC97" s="371"/>
      <c r="AD97" s="372"/>
      <c r="AF9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2:H32"/>
    <mergeCell ref="A59:E59"/>
    <mergeCell ref="A60:M60"/>
    <mergeCell ref="N60:AD60"/>
    <mergeCell ref="A61:B61"/>
    <mergeCell ref="F61:M61"/>
    <mergeCell ref="P61:Q61"/>
    <mergeCell ref="R61:U61"/>
    <mergeCell ref="V61:AD61"/>
    <mergeCell ref="I4:O4"/>
    <mergeCell ref="P4:Q4"/>
    <mergeCell ref="R4:V4"/>
    <mergeCell ref="W4:AA4"/>
    <mergeCell ref="AB4:AB5"/>
    <mergeCell ref="AC4:AC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R70:U70"/>
    <mergeCell ref="V70:AD70"/>
    <mergeCell ref="A71:B71"/>
    <mergeCell ref="F71:M71"/>
    <mergeCell ref="P71:Q71"/>
    <mergeCell ref="R71:U71"/>
    <mergeCell ref="V71:AD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72:E72"/>
    <mergeCell ref="A73:B73"/>
    <mergeCell ref="F73:J73"/>
    <mergeCell ref="K73:L73"/>
    <mergeCell ref="N73:O73"/>
    <mergeCell ref="P73:Q73"/>
    <mergeCell ref="A70:B70"/>
    <mergeCell ref="F70:M70"/>
    <mergeCell ref="P70:Q70"/>
    <mergeCell ref="R73:AA73"/>
    <mergeCell ref="AB73:AD73"/>
    <mergeCell ref="A74:B74"/>
    <mergeCell ref="F74:J74"/>
    <mergeCell ref="K74:L74"/>
    <mergeCell ref="N74:O74"/>
    <mergeCell ref="P74:Q74"/>
    <mergeCell ref="R74:AA74"/>
    <mergeCell ref="AB74:AD74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81:AD81"/>
    <mergeCell ref="A82:B82"/>
    <mergeCell ref="F82:J82"/>
    <mergeCell ref="K82:L82"/>
    <mergeCell ref="N82:O82"/>
    <mergeCell ref="P82:Q82"/>
    <mergeCell ref="R82:AA82"/>
    <mergeCell ref="AB82:AD82"/>
    <mergeCell ref="A81:B81"/>
    <mergeCell ref="F81:J81"/>
    <mergeCell ref="K81:L81"/>
    <mergeCell ref="N81:O81"/>
    <mergeCell ref="P81:Q81"/>
    <mergeCell ref="R81:AA81"/>
    <mergeCell ref="AB83:AD83"/>
    <mergeCell ref="A84:E84"/>
    <mergeCell ref="A85:B85"/>
    <mergeCell ref="F85:J85"/>
    <mergeCell ref="K85:S85"/>
    <mergeCell ref="T85:U85"/>
    <mergeCell ref="V85:W85"/>
    <mergeCell ref="X85:AD85"/>
    <mergeCell ref="A83:B83"/>
    <mergeCell ref="F83:J83"/>
    <mergeCell ref="K83:L83"/>
    <mergeCell ref="N83:O83"/>
    <mergeCell ref="P83:Q83"/>
    <mergeCell ref="R83:AA83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V92:W92"/>
    <mergeCell ref="X92:AD92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93:E93"/>
    <mergeCell ref="A94:B94"/>
    <mergeCell ref="C94:D94"/>
    <mergeCell ref="E94:J94"/>
    <mergeCell ref="K94:S94"/>
    <mergeCell ref="T94:U94"/>
    <mergeCell ref="A92:B92"/>
    <mergeCell ref="F92:J92"/>
    <mergeCell ref="K92:S92"/>
    <mergeCell ref="T92:U92"/>
    <mergeCell ref="V94:X94"/>
    <mergeCell ref="Y94:AD94"/>
    <mergeCell ref="A95:B95"/>
    <mergeCell ref="C95:D95"/>
    <mergeCell ref="E95:J95"/>
    <mergeCell ref="K95:S95"/>
    <mergeCell ref="T95:U95"/>
    <mergeCell ref="V95:X95"/>
    <mergeCell ref="Y95:AD95"/>
    <mergeCell ref="Y96:AD96"/>
    <mergeCell ref="A97:B97"/>
    <mergeCell ref="C97:D97"/>
    <mergeCell ref="E97:J97"/>
    <mergeCell ref="K97:S97"/>
    <mergeCell ref="T97:U97"/>
    <mergeCell ref="V97:X97"/>
    <mergeCell ref="Y97:AD97"/>
    <mergeCell ref="A96:B96"/>
    <mergeCell ref="C96:D96"/>
    <mergeCell ref="E96:J96"/>
    <mergeCell ref="K96:S96"/>
    <mergeCell ref="T96:U96"/>
    <mergeCell ref="V96:X9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8" fitToHeight="2" orientation="landscape" r:id="rId1"/>
  <rowBreaks count="1" manualBreakCount="1">
    <brk id="57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1E20-300C-435B-9C22-0236E2F2934F}">
  <sheetPr codeName="Sheet13">
    <pageSetUpPr fitToPage="1"/>
  </sheetPr>
  <dimension ref="A1:AF96"/>
  <sheetViews>
    <sheetView view="pageBreakPreview" zoomScale="70" zoomScaleNormal="72" zoomScaleSheetLayoutView="70" workbookViewId="0">
      <selection activeCell="J23" sqref="J2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597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242" t="s">
        <v>17</v>
      </c>
      <c r="L5" s="242" t="s">
        <v>18</v>
      </c>
      <c r="M5" s="242" t="s">
        <v>19</v>
      </c>
      <c r="N5" s="24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112</v>
      </c>
      <c r="D6" s="52" t="s">
        <v>224</v>
      </c>
      <c r="E6" s="53" t="s">
        <v>598</v>
      </c>
      <c r="F6" s="30" t="s">
        <v>138</v>
      </c>
      <c r="G6" s="12">
        <v>1</v>
      </c>
      <c r="H6" s="13">
        <v>24</v>
      </c>
      <c r="I6" s="31">
        <v>500</v>
      </c>
      <c r="J6" s="14">
        <v>1110</v>
      </c>
      <c r="K6" s="15">
        <f>L6</f>
        <v>1110</v>
      </c>
      <c r="L6" s="15">
        <f>511+599</f>
        <v>1110</v>
      </c>
      <c r="M6" s="15">
        <f t="shared" ref="M6:M30" si="0">L6-N6</f>
        <v>1110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18</v>
      </c>
      <c r="Q6" s="40">
        <f t="shared" ref="Q6:Q30" si="3">SUM(R6:AA6)</f>
        <v>6</v>
      </c>
      <c r="R6" s="7"/>
      <c r="S6" s="6"/>
      <c r="T6" s="16"/>
      <c r="U6" s="16"/>
      <c r="V6" s="17"/>
      <c r="W6" s="5">
        <v>6</v>
      </c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0.75</v>
      </c>
      <c r="AD6" s="10">
        <f>AC6*AB6*(1-O6)</f>
        <v>0.75</v>
      </c>
      <c r="AE6" s="36">
        <f t="shared" ref="AE6:AE30" si="6">$AD$31</f>
        <v>0.59833333333333327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116</v>
      </c>
      <c r="D7" s="52" t="s">
        <v>137</v>
      </c>
      <c r="E7" s="53" t="s">
        <v>574</v>
      </c>
      <c r="F7" s="30" t="s">
        <v>136</v>
      </c>
      <c r="G7" s="12">
        <v>1</v>
      </c>
      <c r="H7" s="13">
        <v>24</v>
      </c>
      <c r="I7" s="31">
        <v>490</v>
      </c>
      <c r="J7" s="14">
        <v>1525</v>
      </c>
      <c r="K7" s="15">
        <f>L7</f>
        <v>1525</v>
      </c>
      <c r="L7" s="15">
        <f>1525</f>
        <v>1525</v>
      </c>
      <c r="M7" s="15">
        <f t="shared" si="0"/>
        <v>1525</v>
      </c>
      <c r="N7" s="15">
        <v>0</v>
      </c>
      <c r="O7" s="58">
        <f t="shared" si="1"/>
        <v>0</v>
      </c>
      <c r="P7" s="39">
        <f t="shared" si="2"/>
        <v>8</v>
      </c>
      <c r="Q7" s="40">
        <f t="shared" si="3"/>
        <v>16</v>
      </c>
      <c r="R7" s="7"/>
      <c r="S7" s="6"/>
      <c r="T7" s="16"/>
      <c r="U7" s="16"/>
      <c r="V7" s="17"/>
      <c r="W7" s="5">
        <v>16</v>
      </c>
      <c r="X7" s="16"/>
      <c r="Y7" s="16"/>
      <c r="Z7" s="16"/>
      <c r="AA7" s="18"/>
      <c r="AB7" s="8">
        <f t="shared" si="4"/>
        <v>1</v>
      </c>
      <c r="AC7" s="9">
        <f t="shared" si="5"/>
        <v>0.33333333333333331</v>
      </c>
      <c r="AD7" s="10">
        <f t="shared" ref="AD7:AD30" si="8">AC7*AB7*(1-O7)</f>
        <v>0.33333333333333331</v>
      </c>
      <c r="AE7" s="36">
        <f t="shared" si="6"/>
        <v>0.59833333333333327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126</v>
      </c>
      <c r="D8" s="52" t="s">
        <v>115</v>
      </c>
      <c r="E8" s="53" t="s">
        <v>599</v>
      </c>
      <c r="F8" s="30" t="s">
        <v>167</v>
      </c>
      <c r="G8" s="12">
        <v>1</v>
      </c>
      <c r="H8" s="13">
        <v>35</v>
      </c>
      <c r="I8" s="31">
        <v>500</v>
      </c>
      <c r="J8" s="5">
        <v>2033</v>
      </c>
      <c r="K8" s="15">
        <f>L8</f>
        <v>2033</v>
      </c>
      <c r="L8" s="15">
        <f>273+1760</f>
        <v>2033</v>
      </c>
      <c r="M8" s="15">
        <f t="shared" si="0"/>
        <v>2033</v>
      </c>
      <c r="N8" s="15">
        <v>0</v>
      </c>
      <c r="O8" s="58">
        <f t="shared" si="1"/>
        <v>0</v>
      </c>
      <c r="P8" s="39">
        <f t="shared" si="2"/>
        <v>14</v>
      </c>
      <c r="Q8" s="40">
        <f t="shared" si="3"/>
        <v>10</v>
      </c>
      <c r="R8" s="7"/>
      <c r="S8" s="6"/>
      <c r="T8" s="16">
        <v>10</v>
      </c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0.58333333333333337</v>
      </c>
      <c r="AD8" s="10">
        <f t="shared" si="8"/>
        <v>0.58333333333333337</v>
      </c>
      <c r="AE8" s="36">
        <f t="shared" si="6"/>
        <v>0.59833333333333327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324</v>
      </c>
      <c r="F9" s="30" t="s">
        <v>348</v>
      </c>
      <c r="G9" s="12">
        <v>1</v>
      </c>
      <c r="H9" s="13">
        <v>24</v>
      </c>
      <c r="I9" s="7">
        <v>260000</v>
      </c>
      <c r="J9" s="14">
        <v>5652</v>
      </c>
      <c r="K9" s="15">
        <f>L9+4269+5331+5350+4338+5606+3735+4837+5664</f>
        <v>44782</v>
      </c>
      <c r="L9" s="15">
        <f>2865+2787</f>
        <v>5652</v>
      </c>
      <c r="M9" s="15">
        <f t="shared" si="0"/>
        <v>5652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0.59833333333333327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575</v>
      </c>
      <c r="D10" s="52"/>
      <c r="E10" s="53" t="s">
        <v>576</v>
      </c>
      <c r="F10" s="30" t="s">
        <v>600</v>
      </c>
      <c r="G10" s="33">
        <v>2</v>
      </c>
      <c r="H10" s="35">
        <v>24</v>
      </c>
      <c r="I10" s="7">
        <v>10000</v>
      </c>
      <c r="J10" s="14">
        <v>5233</v>
      </c>
      <c r="K10" s="15">
        <f>L10</f>
        <v>0</v>
      </c>
      <c r="L10" s="15">
        <v>0</v>
      </c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8"/>
        <v>0</v>
      </c>
      <c r="AE10" s="36">
        <f t="shared" si="6"/>
        <v>0.59833333333333327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602</v>
      </c>
      <c r="E11" s="53" t="s">
        <v>603</v>
      </c>
      <c r="F11" s="30" t="s">
        <v>148</v>
      </c>
      <c r="G11" s="33" t="s">
        <v>601</v>
      </c>
      <c r="H11" s="35">
        <v>24</v>
      </c>
      <c r="I11" s="7">
        <v>500</v>
      </c>
      <c r="J11" s="14">
        <v>2337</v>
      </c>
      <c r="K11" s="15">
        <f>L11</f>
        <v>2337</v>
      </c>
      <c r="L11" s="15">
        <v>2337</v>
      </c>
      <c r="M11" s="15">
        <f t="shared" si="0"/>
        <v>2337</v>
      </c>
      <c r="N11" s="15">
        <v>0</v>
      </c>
      <c r="O11" s="58">
        <f t="shared" si="1"/>
        <v>0</v>
      </c>
      <c r="P11" s="39">
        <f t="shared" si="2"/>
        <v>11</v>
      </c>
      <c r="Q11" s="40">
        <f t="shared" si="3"/>
        <v>13</v>
      </c>
      <c r="R11" s="7"/>
      <c r="S11" s="6"/>
      <c r="T11" s="16"/>
      <c r="U11" s="16"/>
      <c r="V11" s="17"/>
      <c r="W11" s="5">
        <v>13</v>
      </c>
      <c r="X11" s="16"/>
      <c r="Y11" s="16"/>
      <c r="Z11" s="16"/>
      <c r="AA11" s="18"/>
      <c r="AB11" s="8">
        <f t="shared" si="4"/>
        <v>1</v>
      </c>
      <c r="AC11" s="9">
        <f t="shared" si="5"/>
        <v>0.45833333333333331</v>
      </c>
      <c r="AD11" s="10">
        <f t="shared" si="8"/>
        <v>0.45833333333333331</v>
      </c>
      <c r="AE11" s="36">
        <f t="shared" si="6"/>
        <v>0.59833333333333327</v>
      </c>
      <c r="AF11" s="81">
        <f t="shared" si="7"/>
        <v>6</v>
      </c>
    </row>
    <row r="12" spans="1:32" ht="27" customHeight="1">
      <c r="A12" s="92">
        <v>6</v>
      </c>
      <c r="B12" s="11" t="s">
        <v>57</v>
      </c>
      <c r="C12" s="11" t="s">
        <v>112</v>
      </c>
      <c r="D12" s="52" t="s">
        <v>296</v>
      </c>
      <c r="E12" s="53" t="s">
        <v>286</v>
      </c>
      <c r="F12" s="30" t="s">
        <v>148</v>
      </c>
      <c r="G12" s="33">
        <v>2</v>
      </c>
      <c r="H12" s="35">
        <v>24</v>
      </c>
      <c r="I12" s="7">
        <v>2000</v>
      </c>
      <c r="J12" s="14">
        <v>2100</v>
      </c>
      <c r="K12" s="15">
        <f>L12</f>
        <v>2100</v>
      </c>
      <c r="L12" s="15">
        <f>1050*2</f>
        <v>2100</v>
      </c>
      <c r="M12" s="15">
        <f t="shared" ref="M12" si="9">L12-N12</f>
        <v>2100</v>
      </c>
      <c r="N12" s="15">
        <v>0</v>
      </c>
      <c r="O12" s="58">
        <f t="shared" ref="O12" si="10">IF(L12=0,"0",N12/L12)</f>
        <v>0</v>
      </c>
      <c r="P12" s="39">
        <f t="shared" ref="P12" si="11">IF(L12=0,"0",(24-Q12))</f>
        <v>7</v>
      </c>
      <c r="Q12" s="40">
        <f t="shared" ref="Q12" si="12">SUM(R12:AA12)</f>
        <v>17</v>
      </c>
      <c r="R12" s="7"/>
      <c r="S12" s="6"/>
      <c r="T12" s="16"/>
      <c r="U12" s="16"/>
      <c r="V12" s="17"/>
      <c r="W12" s="5">
        <v>17</v>
      </c>
      <c r="X12" s="16"/>
      <c r="Y12" s="16"/>
      <c r="Z12" s="16"/>
      <c r="AA12" s="18"/>
      <c r="AB12" s="8">
        <f t="shared" ref="AB12" si="13">IF(J12=0,"0",(L12/J12))</f>
        <v>1</v>
      </c>
      <c r="AC12" s="9">
        <f t="shared" ref="AC12" si="14">IF(P12=0,"0",(P12/24))</f>
        <v>0.29166666666666669</v>
      </c>
      <c r="AD12" s="10">
        <f t="shared" ref="AD12" si="15">AC12*AB12*(1-O12)</f>
        <v>0.29166666666666669</v>
      </c>
      <c r="AE12" s="36">
        <f t="shared" si="6"/>
        <v>0.59833333333333327</v>
      </c>
      <c r="AF12" s="81">
        <f t="shared" ref="AF12" si="16">A12</f>
        <v>6</v>
      </c>
    </row>
    <row r="13" spans="1:32" ht="27" customHeight="1">
      <c r="A13" s="92">
        <v>7</v>
      </c>
      <c r="B13" s="11" t="s">
        <v>57</v>
      </c>
      <c r="C13" s="34" t="s">
        <v>116</v>
      </c>
      <c r="D13" s="52" t="s">
        <v>115</v>
      </c>
      <c r="E13" s="53" t="s">
        <v>163</v>
      </c>
      <c r="F13" s="30" t="s">
        <v>159</v>
      </c>
      <c r="G13" s="12">
        <v>1</v>
      </c>
      <c r="H13" s="13">
        <v>22</v>
      </c>
      <c r="I13" s="31">
        <v>80000</v>
      </c>
      <c r="J13" s="5">
        <v>5209</v>
      </c>
      <c r="K13" s="15">
        <f>L13+2299+960+4314+5153+4996+5031+573+5044+5157+4963+4296+5172+5278+5197+4806+5013+5210</f>
        <v>78671</v>
      </c>
      <c r="L13" s="15">
        <f>2563+2646</f>
        <v>5209</v>
      </c>
      <c r="M13" s="15">
        <f t="shared" si="0"/>
        <v>5209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0.59833333333333327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112</v>
      </c>
      <c r="D14" s="52" t="s">
        <v>115</v>
      </c>
      <c r="E14" s="53" t="s">
        <v>187</v>
      </c>
      <c r="F14" s="30" t="s">
        <v>122</v>
      </c>
      <c r="G14" s="33">
        <v>1</v>
      </c>
      <c r="H14" s="35">
        <v>22</v>
      </c>
      <c r="I14" s="7">
        <v>10000</v>
      </c>
      <c r="J14" s="14">
        <v>5133</v>
      </c>
      <c r="K14" s="15">
        <f>L14</f>
        <v>5133</v>
      </c>
      <c r="L14" s="15">
        <f>2370+2763</f>
        <v>5133</v>
      </c>
      <c r="M14" s="15">
        <f t="shared" si="0"/>
        <v>5133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8"/>
        <v>1</v>
      </c>
      <c r="AE14" s="36">
        <f t="shared" si="6"/>
        <v>0.59833333333333327</v>
      </c>
      <c r="AF14" s="81">
        <f t="shared" si="7"/>
        <v>8</v>
      </c>
    </row>
    <row r="15" spans="1:32" ht="27" customHeight="1">
      <c r="A15" s="99">
        <v>9</v>
      </c>
      <c r="B15" s="11" t="s">
        <v>57</v>
      </c>
      <c r="C15" s="34" t="s">
        <v>112</v>
      </c>
      <c r="D15" s="52" t="s">
        <v>121</v>
      </c>
      <c r="E15" s="53" t="s">
        <v>174</v>
      </c>
      <c r="F15" s="30" t="s">
        <v>175</v>
      </c>
      <c r="G15" s="33">
        <v>1</v>
      </c>
      <c r="H15" s="35">
        <v>50</v>
      </c>
      <c r="I15" s="7">
        <v>350</v>
      </c>
      <c r="J15" s="5">
        <v>421</v>
      </c>
      <c r="K15" s="15">
        <f>L15+421</f>
        <v>421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0.59833333333333327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126</v>
      </c>
      <c r="D16" s="52"/>
      <c r="E16" s="53" t="s">
        <v>400</v>
      </c>
      <c r="F16" s="30" t="s">
        <v>411</v>
      </c>
      <c r="G16" s="12">
        <v>4</v>
      </c>
      <c r="H16" s="13">
        <v>24</v>
      </c>
      <c r="I16" s="31">
        <v>200000</v>
      </c>
      <c r="J16" s="14">
        <v>36616</v>
      </c>
      <c r="K16" s="15">
        <f>L16+36796</f>
        <v>73412</v>
      </c>
      <c r="L16" s="15">
        <f>4601*4+4553*4</f>
        <v>36616</v>
      </c>
      <c r="M16" s="15">
        <f t="shared" si="0"/>
        <v>36616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0.59833333333333327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197</v>
      </c>
      <c r="E17" s="53" t="s">
        <v>366</v>
      </c>
      <c r="F17" s="30" t="s">
        <v>123</v>
      </c>
      <c r="G17" s="12">
        <v>2</v>
      </c>
      <c r="H17" s="13">
        <v>22</v>
      </c>
      <c r="I17" s="31">
        <v>260000</v>
      </c>
      <c r="J17" s="5">
        <v>10884</v>
      </c>
      <c r="K17" s="15">
        <f>L17+9350+9873+10572+11420+9694+7670+11372</f>
        <v>80835</v>
      </c>
      <c r="L17" s="15">
        <f>2846*2+2596*2</f>
        <v>10884</v>
      </c>
      <c r="M17" s="15">
        <f t="shared" si="0"/>
        <v>10884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0.59833333333333327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116</v>
      </c>
      <c r="D18" s="52" t="s">
        <v>137</v>
      </c>
      <c r="E18" s="53" t="s">
        <v>532</v>
      </c>
      <c r="F18" s="30" t="s">
        <v>478</v>
      </c>
      <c r="G18" s="12">
        <v>1</v>
      </c>
      <c r="H18" s="13">
        <v>24</v>
      </c>
      <c r="I18" s="7">
        <v>300</v>
      </c>
      <c r="J18" s="14">
        <v>1191</v>
      </c>
      <c r="K18" s="15">
        <f>L18+1191</f>
        <v>1191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8"/>
        <v>0</v>
      </c>
      <c r="AE18" s="36">
        <f t="shared" si="6"/>
        <v>0.59833333333333327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116</v>
      </c>
      <c r="D19" s="52" t="s">
        <v>115</v>
      </c>
      <c r="E19" s="53" t="s">
        <v>371</v>
      </c>
      <c r="F19" s="30" t="s">
        <v>135</v>
      </c>
      <c r="G19" s="12">
        <v>2</v>
      </c>
      <c r="H19" s="13">
        <v>22</v>
      </c>
      <c r="I19" s="31">
        <v>260000</v>
      </c>
      <c r="J19" s="5">
        <v>11168</v>
      </c>
      <c r="K19" s="15">
        <f>L19+10480+11444+11648+11082+10368+10658+11130</f>
        <v>87978</v>
      </c>
      <c r="L19" s="15">
        <f>2826*2+2758*2</f>
        <v>11168</v>
      </c>
      <c r="M19" s="15">
        <f t="shared" si="0"/>
        <v>11168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0.59833333333333327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149</v>
      </c>
      <c r="E20" s="53" t="s">
        <v>469</v>
      </c>
      <c r="F20" s="30" t="s">
        <v>123</v>
      </c>
      <c r="G20" s="33">
        <v>1</v>
      </c>
      <c r="H20" s="35">
        <v>24</v>
      </c>
      <c r="I20" s="7">
        <v>15000</v>
      </c>
      <c r="J20" s="14">
        <v>5607</v>
      </c>
      <c r="K20" s="15">
        <f>L20+5078+5131+5231+5577</f>
        <v>26624</v>
      </c>
      <c r="L20" s="15">
        <f>2838+2769</f>
        <v>5607</v>
      </c>
      <c r="M20" s="15">
        <f t="shared" si="0"/>
        <v>5607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0.59833333333333327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116</v>
      </c>
      <c r="D21" s="52" t="s">
        <v>147</v>
      </c>
      <c r="E21" s="53" t="s">
        <v>563</v>
      </c>
      <c r="F21" s="30" t="s">
        <v>148</v>
      </c>
      <c r="G21" s="33">
        <v>1</v>
      </c>
      <c r="H21" s="35">
        <v>24</v>
      </c>
      <c r="I21" s="7">
        <v>5000</v>
      </c>
      <c r="J21" s="14">
        <v>5165</v>
      </c>
      <c r="K21" s="15">
        <f>L21+550+2614</f>
        <v>8329</v>
      </c>
      <c r="L21" s="15">
        <f>2477+2688</f>
        <v>5165</v>
      </c>
      <c r="M21" s="15">
        <f t="shared" si="0"/>
        <v>5165</v>
      </c>
      <c r="N21" s="15">
        <v>0</v>
      </c>
      <c r="O21" s="58">
        <f t="shared" si="1"/>
        <v>0</v>
      </c>
      <c r="P21" s="39">
        <f t="shared" si="2"/>
        <v>13</v>
      </c>
      <c r="Q21" s="40">
        <f t="shared" si="3"/>
        <v>11</v>
      </c>
      <c r="R21" s="7"/>
      <c r="S21" s="6"/>
      <c r="T21" s="16">
        <v>11</v>
      </c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0.54166666666666663</v>
      </c>
      <c r="AD21" s="10">
        <f t="shared" si="8"/>
        <v>0.54166666666666663</v>
      </c>
      <c r="AE21" s="36">
        <f t="shared" si="6"/>
        <v>0.59833333333333327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352</v>
      </c>
      <c r="F22" s="12" t="s">
        <v>114</v>
      </c>
      <c r="G22" s="12">
        <v>4</v>
      </c>
      <c r="H22" s="35">
        <v>20</v>
      </c>
      <c r="I22" s="7">
        <v>2000000</v>
      </c>
      <c r="J22" s="14">
        <v>64620</v>
      </c>
      <c r="K22" s="15">
        <f>L22+64424</f>
        <v>129044</v>
      </c>
      <c r="L22" s="15">
        <f>8194*4+7961*4</f>
        <v>64620</v>
      </c>
      <c r="M22" s="15">
        <f t="shared" si="0"/>
        <v>64620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0.59833333333333327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0.59833333333333327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353</v>
      </c>
      <c r="F24" s="12" t="s">
        <v>180</v>
      </c>
      <c r="G24" s="12">
        <v>4</v>
      </c>
      <c r="H24" s="35">
        <v>15</v>
      </c>
      <c r="I24" s="7">
        <v>20000</v>
      </c>
      <c r="J24" s="14">
        <v>24024</v>
      </c>
      <c r="K24" s="15">
        <f>L24+14040+7084+2888+25304+4864+24024</f>
        <v>78204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0.59833333333333327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0.59833333333333327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30</v>
      </c>
      <c r="H26" s="35">
        <v>20</v>
      </c>
      <c r="I26" s="7">
        <v>2000000</v>
      </c>
      <c r="J26" s="14">
        <v>478184</v>
      </c>
      <c r="K26" s="15">
        <f>L26+322260+481964</f>
        <v>1282408</v>
      </c>
      <c r="L26" s="15">
        <f>8555*28+8523*28</f>
        <v>478184</v>
      </c>
      <c r="M26" s="15">
        <f t="shared" si="0"/>
        <v>478184</v>
      </c>
      <c r="N26" s="15">
        <v>0</v>
      </c>
      <c r="O26" s="58">
        <f t="shared" si="1"/>
        <v>0</v>
      </c>
      <c r="P26" s="39">
        <f t="shared" si="2"/>
        <v>24</v>
      </c>
      <c r="Q26" s="40">
        <f t="shared" si="3"/>
        <v>0</v>
      </c>
      <c r="R26" s="7"/>
      <c r="S26" s="6"/>
      <c r="T26" s="16"/>
      <c r="U26" s="16"/>
      <c r="V26" s="17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1</v>
      </c>
      <c r="AD26" s="10">
        <f t="shared" si="8"/>
        <v>1</v>
      </c>
      <c r="AE26" s="36">
        <f t="shared" si="6"/>
        <v>0.59833333333333327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115</v>
      </c>
      <c r="E27" s="53" t="s">
        <v>414</v>
      </c>
      <c r="F27" s="12" t="s">
        <v>135</v>
      </c>
      <c r="G27" s="12">
        <v>3</v>
      </c>
      <c r="H27" s="35">
        <v>20</v>
      </c>
      <c r="I27" s="7">
        <v>130000</v>
      </c>
      <c r="J27" s="14">
        <v>17847</v>
      </c>
      <c r="K27" s="15">
        <f>L27+15220+23840+22923+6507+15501+18108</f>
        <v>119946</v>
      </c>
      <c r="L27" s="15">
        <f>2977*3+2972*3</f>
        <v>17847</v>
      </c>
      <c r="M27" s="15">
        <f t="shared" si="0"/>
        <v>17847</v>
      </c>
      <c r="N27" s="15">
        <v>0</v>
      </c>
      <c r="O27" s="58">
        <f t="shared" si="1"/>
        <v>0</v>
      </c>
      <c r="P27" s="39">
        <f t="shared" si="2"/>
        <v>24</v>
      </c>
      <c r="Q27" s="40">
        <f t="shared" si="3"/>
        <v>0</v>
      </c>
      <c r="R27" s="7"/>
      <c r="S27" s="6"/>
      <c r="T27" s="16"/>
      <c r="U27" s="16"/>
      <c r="V27" s="114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1</v>
      </c>
      <c r="AD27" s="10">
        <f t="shared" si="8"/>
        <v>1</v>
      </c>
      <c r="AE27" s="36">
        <f t="shared" si="6"/>
        <v>0.59833333333333327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197</v>
      </c>
      <c r="E28" s="53" t="s">
        <v>415</v>
      </c>
      <c r="F28" s="12" t="s">
        <v>124</v>
      </c>
      <c r="G28" s="12">
        <v>2</v>
      </c>
      <c r="H28" s="35">
        <v>20</v>
      </c>
      <c r="I28" s="7">
        <v>130000</v>
      </c>
      <c r="J28" s="14">
        <v>27256</v>
      </c>
      <c r="K28" s="15">
        <f>L28+15632+12648+1958+21292</f>
        <v>78786</v>
      </c>
      <c r="L28" s="15">
        <f>3394*4+3420*4</f>
        <v>27256</v>
      </c>
      <c r="M28" s="15">
        <f t="shared" si="0"/>
        <v>27256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8"/>
        <v>1</v>
      </c>
      <c r="AE28" s="36">
        <f t="shared" si="6"/>
        <v>0.59833333333333327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416</v>
      </c>
      <c r="F29" s="12" t="s">
        <v>124</v>
      </c>
      <c r="G29" s="12">
        <v>4</v>
      </c>
      <c r="H29" s="35">
        <v>20</v>
      </c>
      <c r="I29" s="7">
        <v>130000</v>
      </c>
      <c r="J29" s="14">
        <v>29376</v>
      </c>
      <c r="K29" s="15">
        <f>L29+27916+29980+10704+25528+29800</f>
        <v>153304</v>
      </c>
      <c r="L29" s="15">
        <f>3682*4+3662*4</f>
        <v>29376</v>
      </c>
      <c r="M29" s="15">
        <f t="shared" si="0"/>
        <v>29376</v>
      </c>
      <c r="N29" s="15">
        <v>0</v>
      </c>
      <c r="O29" s="58">
        <f t="shared" si="1"/>
        <v>0</v>
      </c>
      <c r="P29" s="39">
        <f t="shared" si="2"/>
        <v>24</v>
      </c>
      <c r="Q29" s="40">
        <f t="shared" si="3"/>
        <v>0</v>
      </c>
      <c r="R29" s="7"/>
      <c r="S29" s="6"/>
      <c r="T29" s="16"/>
      <c r="U29" s="16"/>
      <c r="V29" s="114"/>
      <c r="W29" s="5"/>
      <c r="X29" s="16"/>
      <c r="Y29" s="16"/>
      <c r="Z29" s="16"/>
      <c r="AA29" s="18"/>
      <c r="AB29" s="8">
        <f t="shared" si="4"/>
        <v>1</v>
      </c>
      <c r="AC29" s="9">
        <f t="shared" si="5"/>
        <v>1</v>
      </c>
      <c r="AD29" s="10">
        <f t="shared" si="8"/>
        <v>1</v>
      </c>
      <c r="AE29" s="36">
        <f t="shared" si="6"/>
        <v>0.59833333333333327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0.59833333333333327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17">SUM(I6:I30)</f>
        <v>6584640</v>
      </c>
      <c r="J31" s="19">
        <f t="shared" si="17"/>
        <v>844319</v>
      </c>
      <c r="K31" s="20">
        <f t="shared" si="17"/>
        <v>2966717</v>
      </c>
      <c r="L31" s="21">
        <f t="shared" si="17"/>
        <v>711822</v>
      </c>
      <c r="M31" s="20">
        <f t="shared" si="17"/>
        <v>711822</v>
      </c>
      <c r="N31" s="21">
        <f t="shared" si="17"/>
        <v>0</v>
      </c>
      <c r="O31" s="41">
        <f t="shared" si="1"/>
        <v>0</v>
      </c>
      <c r="P31" s="42">
        <f t="shared" ref="P31:AA31" si="18">SUM(P6:P30)</f>
        <v>359</v>
      </c>
      <c r="Q31" s="43">
        <f t="shared" si="18"/>
        <v>241</v>
      </c>
      <c r="R31" s="23">
        <f t="shared" si="18"/>
        <v>0</v>
      </c>
      <c r="S31" s="24">
        <f t="shared" si="18"/>
        <v>24</v>
      </c>
      <c r="T31" s="24">
        <f t="shared" si="18"/>
        <v>21</v>
      </c>
      <c r="U31" s="24">
        <f t="shared" si="18"/>
        <v>0</v>
      </c>
      <c r="V31" s="25">
        <f t="shared" si="18"/>
        <v>48</v>
      </c>
      <c r="W31" s="26">
        <f t="shared" si="18"/>
        <v>148</v>
      </c>
      <c r="X31" s="27">
        <f t="shared" si="18"/>
        <v>0</v>
      </c>
      <c r="Y31" s="27">
        <f t="shared" si="18"/>
        <v>0</v>
      </c>
      <c r="Z31" s="27">
        <f t="shared" si="18"/>
        <v>0</v>
      </c>
      <c r="AA31" s="27">
        <f t="shared" si="18"/>
        <v>0</v>
      </c>
      <c r="AB31" s="28">
        <f>AVERAGE(AB6:AB30)</f>
        <v>0.75</v>
      </c>
      <c r="AC31" s="4">
        <f>AVERAGE(AC6:AC30)</f>
        <v>0.59833333333333327</v>
      </c>
      <c r="AD31" s="4">
        <f>AVERAGE(AD6:AD30)</f>
        <v>0.59833333333333327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604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608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243" t="s">
        <v>46</v>
      </c>
      <c r="D60" s="243" t="s">
        <v>47</v>
      </c>
      <c r="E60" s="243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243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112</v>
      </c>
      <c r="B61" s="431"/>
      <c r="C61" s="244" t="s">
        <v>139</v>
      </c>
      <c r="D61" s="244" t="s">
        <v>224</v>
      </c>
      <c r="E61" s="245" t="s">
        <v>573</v>
      </c>
      <c r="F61" s="432" t="s">
        <v>154</v>
      </c>
      <c r="G61" s="433"/>
      <c r="H61" s="433"/>
      <c r="I61" s="433"/>
      <c r="J61" s="433"/>
      <c r="K61" s="433"/>
      <c r="L61" s="433"/>
      <c r="M61" s="434"/>
      <c r="N61" s="141" t="s">
        <v>126</v>
      </c>
      <c r="O61" s="250" t="s">
        <v>146</v>
      </c>
      <c r="P61" s="447" t="s">
        <v>115</v>
      </c>
      <c r="Q61" s="448"/>
      <c r="R61" s="447" t="s">
        <v>434</v>
      </c>
      <c r="S61" s="449"/>
      <c r="T61" s="449"/>
      <c r="U61" s="448"/>
      <c r="V61" s="436" t="s">
        <v>141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126</v>
      </c>
      <c r="B62" s="431"/>
      <c r="C62" s="244" t="s">
        <v>146</v>
      </c>
      <c r="D62" s="244" t="s">
        <v>115</v>
      </c>
      <c r="E62" s="245" t="s">
        <v>605</v>
      </c>
      <c r="F62" s="436" t="s">
        <v>154</v>
      </c>
      <c r="G62" s="437"/>
      <c r="H62" s="437"/>
      <c r="I62" s="437"/>
      <c r="J62" s="437"/>
      <c r="K62" s="437"/>
      <c r="L62" s="437"/>
      <c r="M62" s="438"/>
      <c r="N62" s="141" t="s">
        <v>126</v>
      </c>
      <c r="O62" s="250" t="s">
        <v>139</v>
      </c>
      <c r="P62" s="447" t="s">
        <v>197</v>
      </c>
      <c r="Q62" s="448"/>
      <c r="R62" s="447" t="s">
        <v>609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112</v>
      </c>
      <c r="B63" s="431"/>
      <c r="C63" s="244" t="s">
        <v>166</v>
      </c>
      <c r="D63" s="244" t="s">
        <v>602</v>
      </c>
      <c r="E63" s="245" t="s">
        <v>577</v>
      </c>
      <c r="F63" s="432" t="s">
        <v>154</v>
      </c>
      <c r="G63" s="433"/>
      <c r="H63" s="433"/>
      <c r="I63" s="433"/>
      <c r="J63" s="433"/>
      <c r="K63" s="433"/>
      <c r="L63" s="433"/>
      <c r="M63" s="434"/>
      <c r="N63" s="141" t="s">
        <v>575</v>
      </c>
      <c r="O63" s="258" t="s">
        <v>442</v>
      </c>
      <c r="P63" s="447"/>
      <c r="Q63" s="448"/>
      <c r="R63" s="447" t="s">
        <v>576</v>
      </c>
      <c r="S63" s="449"/>
      <c r="T63" s="449"/>
      <c r="U63" s="448"/>
      <c r="V63" s="436" t="s">
        <v>141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112</v>
      </c>
      <c r="B64" s="431"/>
      <c r="C64" s="244" t="s">
        <v>166</v>
      </c>
      <c r="D64" s="244" t="s">
        <v>296</v>
      </c>
      <c r="E64" s="245" t="s">
        <v>286</v>
      </c>
      <c r="F64" s="432" t="s">
        <v>372</v>
      </c>
      <c r="G64" s="433"/>
      <c r="H64" s="433"/>
      <c r="I64" s="433"/>
      <c r="J64" s="433"/>
      <c r="K64" s="433"/>
      <c r="L64" s="433"/>
      <c r="M64" s="434"/>
      <c r="N64" s="141" t="s">
        <v>151</v>
      </c>
      <c r="O64" s="250" t="s">
        <v>219</v>
      </c>
      <c r="P64" s="447" t="s">
        <v>115</v>
      </c>
      <c r="Q64" s="448"/>
      <c r="R64" s="447" t="s">
        <v>610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116</v>
      </c>
      <c r="B65" s="431"/>
      <c r="C65" s="244" t="s">
        <v>160</v>
      </c>
      <c r="D65" s="244" t="s">
        <v>137</v>
      </c>
      <c r="E65" s="245" t="s">
        <v>574</v>
      </c>
      <c r="F65" s="432" t="s">
        <v>154</v>
      </c>
      <c r="G65" s="433"/>
      <c r="H65" s="433"/>
      <c r="I65" s="433"/>
      <c r="J65" s="433"/>
      <c r="K65" s="433"/>
      <c r="L65" s="433"/>
      <c r="M65" s="434"/>
      <c r="N65" s="141" t="s">
        <v>116</v>
      </c>
      <c r="O65" s="250" t="s">
        <v>191</v>
      </c>
      <c r="P65" s="447" t="s">
        <v>611</v>
      </c>
      <c r="Q65" s="448"/>
      <c r="R65" s="447" t="s">
        <v>612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112</v>
      </c>
      <c r="B66" s="431"/>
      <c r="C66" s="244" t="s">
        <v>607</v>
      </c>
      <c r="D66" s="244" t="s">
        <v>115</v>
      </c>
      <c r="E66" s="245" t="s">
        <v>606</v>
      </c>
      <c r="F66" s="432" t="s">
        <v>154</v>
      </c>
      <c r="G66" s="433"/>
      <c r="H66" s="433"/>
      <c r="I66" s="433"/>
      <c r="J66" s="433"/>
      <c r="K66" s="433"/>
      <c r="L66" s="433"/>
      <c r="M66" s="434"/>
      <c r="N66" s="141"/>
      <c r="O66" s="250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/>
      <c r="B67" s="431"/>
      <c r="C67" s="244"/>
      <c r="D67" s="244"/>
      <c r="E67" s="245"/>
      <c r="F67" s="432"/>
      <c r="G67" s="433"/>
      <c r="H67" s="433"/>
      <c r="I67" s="433"/>
      <c r="J67" s="433"/>
      <c r="K67" s="433"/>
      <c r="L67" s="433"/>
      <c r="M67" s="434"/>
      <c r="N67" s="141"/>
      <c r="O67" s="250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244"/>
      <c r="D68" s="244"/>
      <c r="E68" s="245"/>
      <c r="F68" s="432"/>
      <c r="G68" s="433"/>
      <c r="H68" s="433"/>
      <c r="I68" s="433"/>
      <c r="J68" s="433"/>
      <c r="K68" s="433"/>
      <c r="L68" s="433"/>
      <c r="M68" s="434"/>
      <c r="N68" s="141"/>
      <c r="O68" s="250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/>
      <c r="B69" s="431"/>
      <c r="C69" s="244"/>
      <c r="D69" s="244"/>
      <c r="E69" s="245"/>
      <c r="F69" s="432"/>
      <c r="G69" s="433"/>
      <c r="H69" s="433"/>
      <c r="I69" s="433"/>
      <c r="J69" s="433"/>
      <c r="K69" s="433"/>
      <c r="L69" s="433"/>
      <c r="M69" s="434"/>
      <c r="N69" s="141"/>
      <c r="O69" s="250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246"/>
      <c r="D70" s="247"/>
      <c r="E70" s="246"/>
      <c r="F70" s="490"/>
      <c r="G70" s="491"/>
      <c r="H70" s="491"/>
      <c r="I70" s="491"/>
      <c r="J70" s="491"/>
      <c r="K70" s="491"/>
      <c r="L70" s="491"/>
      <c r="M70" s="492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613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248" t="s">
        <v>2</v>
      </c>
      <c r="D72" s="248" t="s">
        <v>37</v>
      </c>
      <c r="E72" s="248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248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112</v>
      </c>
      <c r="D73" s="252"/>
      <c r="E73" s="249" t="s">
        <v>296</v>
      </c>
      <c r="F73" s="416" t="s">
        <v>286</v>
      </c>
      <c r="G73" s="406"/>
      <c r="H73" s="406"/>
      <c r="I73" s="406"/>
      <c r="J73" s="406"/>
      <c r="K73" s="406" t="s">
        <v>165</v>
      </c>
      <c r="L73" s="406"/>
      <c r="M73" s="51" t="s">
        <v>557</v>
      </c>
      <c r="N73" s="417" t="s">
        <v>166</v>
      </c>
      <c r="O73" s="417"/>
      <c r="P73" s="418">
        <v>100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 t="s">
        <v>112</v>
      </c>
      <c r="D74" s="252"/>
      <c r="E74" s="249" t="s">
        <v>583</v>
      </c>
      <c r="F74" s="420" t="s">
        <v>614</v>
      </c>
      <c r="G74" s="421"/>
      <c r="H74" s="421"/>
      <c r="I74" s="421"/>
      <c r="J74" s="422"/>
      <c r="K74" s="406" t="s">
        <v>510</v>
      </c>
      <c r="L74" s="406"/>
      <c r="M74" s="51" t="s">
        <v>505</v>
      </c>
      <c r="N74" s="417" t="s">
        <v>219</v>
      </c>
      <c r="O74" s="417"/>
      <c r="P74" s="418">
        <v>50</v>
      </c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 t="s">
        <v>616</v>
      </c>
      <c r="D75" s="252"/>
      <c r="E75" s="249" t="s">
        <v>617</v>
      </c>
      <c r="F75" s="416" t="s">
        <v>615</v>
      </c>
      <c r="G75" s="406"/>
      <c r="H75" s="406"/>
      <c r="I75" s="406"/>
      <c r="J75" s="406"/>
      <c r="K75" s="406" t="s">
        <v>618</v>
      </c>
      <c r="L75" s="406"/>
      <c r="M75" s="51" t="s">
        <v>619</v>
      </c>
      <c r="N75" s="417" t="s">
        <v>620</v>
      </c>
      <c r="O75" s="417"/>
      <c r="P75" s="418">
        <v>1000</v>
      </c>
      <c r="Q75" s="418"/>
      <c r="R75" s="419" t="s">
        <v>621</v>
      </c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/>
      <c r="D76" s="252"/>
      <c r="E76" s="249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/>
      <c r="D77" s="252"/>
      <c r="E77" s="249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252"/>
      <c r="E78" s="249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252"/>
      <c r="E79" s="249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252"/>
      <c r="E80" s="249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252"/>
      <c r="E81" s="249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252"/>
      <c r="E82" s="249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622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251" t="s">
        <v>2</v>
      </c>
      <c r="D84" s="251" t="s">
        <v>37</v>
      </c>
      <c r="E84" s="251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253"/>
      <c r="D85" s="253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252"/>
      <c r="D86" s="252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9">A86+1</f>
        <v>3</v>
      </c>
      <c r="B87" s="374"/>
      <c r="C87" s="252"/>
      <c r="D87" s="252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9"/>
        <v>4</v>
      </c>
      <c r="B88" s="374"/>
      <c r="C88" s="252"/>
      <c r="D88" s="252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5</v>
      </c>
      <c r="B89" s="374"/>
      <c r="C89" s="252"/>
      <c r="D89" s="252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6</v>
      </c>
      <c r="B90" s="374"/>
      <c r="C90" s="252"/>
      <c r="D90" s="252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7</v>
      </c>
      <c r="B91" s="374"/>
      <c r="C91" s="252"/>
      <c r="D91" s="252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623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4610-61B0-437E-B6BC-22E676BFC320}">
  <sheetPr codeName="Sheet14">
    <pageSetUpPr fitToPage="1"/>
  </sheetPr>
  <dimension ref="A1:AF95"/>
  <sheetViews>
    <sheetView view="pageBreakPreview" zoomScale="70" zoomScaleNormal="72" zoomScaleSheetLayoutView="70" workbookViewId="0">
      <selection activeCell="A92" sqref="A92:B9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8.7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624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265" t="s">
        <v>17</v>
      </c>
      <c r="L5" s="265" t="s">
        <v>18</v>
      </c>
      <c r="M5" s="265" t="s">
        <v>19</v>
      </c>
      <c r="N5" s="26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197</v>
      </c>
      <c r="E6" s="53" t="s">
        <v>397</v>
      </c>
      <c r="F6" s="30" t="s">
        <v>150</v>
      </c>
      <c r="G6" s="12">
        <v>2</v>
      </c>
      <c r="H6" s="13">
        <v>24</v>
      </c>
      <c r="I6" s="31">
        <v>30000</v>
      </c>
      <c r="J6" s="14">
        <v>7048</v>
      </c>
      <c r="K6" s="15">
        <f>L6</f>
        <v>7048</v>
      </c>
      <c r="L6" s="15">
        <f>703*2+2821*2</f>
        <v>7048</v>
      </c>
      <c r="M6" s="15">
        <f t="shared" ref="M6:M29" si="0">L6-N6</f>
        <v>7048</v>
      </c>
      <c r="N6" s="15">
        <v>0</v>
      </c>
      <c r="O6" s="58">
        <f t="shared" ref="O6:O30" si="1">IF(L6=0,"0",N6/L6)</f>
        <v>0</v>
      </c>
      <c r="P6" s="39">
        <f t="shared" ref="P6:P29" si="2">IF(L6=0,"0",(24-Q6))</f>
        <v>16</v>
      </c>
      <c r="Q6" s="40">
        <f t="shared" ref="Q6:Q29" si="3">SUM(R6:AA6)</f>
        <v>8</v>
      </c>
      <c r="R6" s="7"/>
      <c r="S6" s="6">
        <v>8</v>
      </c>
      <c r="T6" s="16"/>
      <c r="U6" s="16"/>
      <c r="V6" s="17"/>
      <c r="W6" s="5"/>
      <c r="X6" s="16"/>
      <c r="Y6" s="16"/>
      <c r="Z6" s="16"/>
      <c r="AA6" s="18"/>
      <c r="AB6" s="8">
        <f t="shared" ref="AB6:AB29" si="4">IF(J6=0,"0",(L6/J6))</f>
        <v>1</v>
      </c>
      <c r="AC6" s="9">
        <f t="shared" ref="AC6:AC29" si="5">IF(P6=0,"0",(P6/24))</f>
        <v>0.66666666666666663</v>
      </c>
      <c r="AD6" s="10">
        <f>AC6*AB6*(1-O6)</f>
        <v>0.66666666666666663</v>
      </c>
      <c r="AE6" s="36">
        <f t="shared" ref="AE6:AE29" si="6">$AD$30</f>
        <v>0.54166666666666663</v>
      </c>
      <c r="AF6" s="81">
        <f t="shared" ref="AF6:AF29" si="7">A6</f>
        <v>1</v>
      </c>
    </row>
    <row r="7" spans="1:32" ht="27" customHeight="1">
      <c r="A7" s="106">
        <v>2</v>
      </c>
      <c r="B7" s="11" t="s">
        <v>57</v>
      </c>
      <c r="C7" s="34" t="s">
        <v>116</v>
      </c>
      <c r="D7" s="52" t="s">
        <v>137</v>
      </c>
      <c r="E7" s="53" t="s">
        <v>574</v>
      </c>
      <c r="F7" s="30" t="s">
        <v>136</v>
      </c>
      <c r="G7" s="12">
        <v>1</v>
      </c>
      <c r="H7" s="13">
        <v>24</v>
      </c>
      <c r="I7" s="31">
        <v>490</v>
      </c>
      <c r="J7" s="14">
        <v>1525</v>
      </c>
      <c r="K7" s="15">
        <f>L7</f>
        <v>0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ref="AD7:AD29" si="8">AC7*AB7*(1-O7)</f>
        <v>0</v>
      </c>
      <c r="AE7" s="36">
        <f t="shared" si="6"/>
        <v>0.54166666666666663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126</v>
      </c>
      <c r="D8" s="52" t="s">
        <v>115</v>
      </c>
      <c r="E8" s="53" t="s">
        <v>434</v>
      </c>
      <c r="F8" s="30" t="s">
        <v>167</v>
      </c>
      <c r="G8" s="12">
        <v>1</v>
      </c>
      <c r="H8" s="13">
        <v>35</v>
      </c>
      <c r="I8" s="31">
        <v>700</v>
      </c>
      <c r="J8" s="5">
        <v>1404</v>
      </c>
      <c r="K8" s="15">
        <f>L8</f>
        <v>1404</v>
      </c>
      <c r="L8" s="15">
        <f>633+771</f>
        <v>1404</v>
      </c>
      <c r="M8" s="15">
        <f t="shared" si="0"/>
        <v>1404</v>
      </c>
      <c r="N8" s="15">
        <v>0</v>
      </c>
      <c r="O8" s="58">
        <f t="shared" si="1"/>
        <v>0</v>
      </c>
      <c r="P8" s="39">
        <f t="shared" si="2"/>
        <v>8</v>
      </c>
      <c r="Q8" s="40">
        <f t="shared" si="3"/>
        <v>16</v>
      </c>
      <c r="R8" s="7"/>
      <c r="S8" s="6">
        <v>8</v>
      </c>
      <c r="T8" s="16"/>
      <c r="U8" s="16"/>
      <c r="V8" s="17"/>
      <c r="W8" s="5">
        <v>8</v>
      </c>
      <c r="X8" s="16"/>
      <c r="Y8" s="16"/>
      <c r="Z8" s="16"/>
      <c r="AA8" s="18"/>
      <c r="AB8" s="8">
        <f t="shared" si="4"/>
        <v>1</v>
      </c>
      <c r="AC8" s="9">
        <f t="shared" si="5"/>
        <v>0.33333333333333331</v>
      </c>
      <c r="AD8" s="10">
        <f t="shared" si="8"/>
        <v>0.33333333333333331</v>
      </c>
      <c r="AE8" s="36">
        <f t="shared" si="6"/>
        <v>0.54166666666666663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324</v>
      </c>
      <c r="F9" s="30" t="s">
        <v>348</v>
      </c>
      <c r="G9" s="12">
        <v>1</v>
      </c>
      <c r="H9" s="13">
        <v>24</v>
      </c>
      <c r="I9" s="7">
        <v>260000</v>
      </c>
      <c r="J9" s="14">
        <v>5661</v>
      </c>
      <c r="K9" s="15">
        <f>L9+4269+5331+5350+4338+5606+3735+4837+5664+5652</f>
        <v>50443</v>
      </c>
      <c r="L9" s="15">
        <f>2859+2802</f>
        <v>5661</v>
      </c>
      <c r="M9" s="15">
        <f t="shared" si="0"/>
        <v>5661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0.54166666666666663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575</v>
      </c>
      <c r="D10" s="52"/>
      <c r="E10" s="53" t="s">
        <v>576</v>
      </c>
      <c r="F10" s="30" t="s">
        <v>600</v>
      </c>
      <c r="G10" s="33">
        <v>2</v>
      </c>
      <c r="H10" s="35">
        <v>24</v>
      </c>
      <c r="I10" s="7">
        <v>10000</v>
      </c>
      <c r="J10" s="14">
        <v>5233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8"/>
        <v>0</v>
      </c>
      <c r="AE10" s="36">
        <f t="shared" si="6"/>
        <v>0.54166666666666663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625</v>
      </c>
      <c r="E11" s="53" t="s">
        <v>540</v>
      </c>
      <c r="F11" s="30" t="s">
        <v>541</v>
      </c>
      <c r="G11" s="33" t="s">
        <v>601</v>
      </c>
      <c r="H11" s="35">
        <v>24</v>
      </c>
      <c r="I11" s="7">
        <v>1000</v>
      </c>
      <c r="J11" s="14">
        <v>1135</v>
      </c>
      <c r="K11" s="15">
        <f>L11</f>
        <v>1135</v>
      </c>
      <c r="L11" s="15">
        <f>1135</f>
        <v>1135</v>
      </c>
      <c r="M11" s="15">
        <f t="shared" si="0"/>
        <v>1135</v>
      </c>
      <c r="N11" s="15">
        <v>0</v>
      </c>
      <c r="O11" s="58">
        <f t="shared" si="1"/>
        <v>0</v>
      </c>
      <c r="P11" s="39">
        <f t="shared" si="2"/>
        <v>6</v>
      </c>
      <c r="Q11" s="40">
        <f t="shared" si="3"/>
        <v>18</v>
      </c>
      <c r="R11" s="7"/>
      <c r="S11" s="6">
        <v>11</v>
      </c>
      <c r="T11" s="16"/>
      <c r="U11" s="16"/>
      <c r="V11" s="17"/>
      <c r="W11" s="5">
        <v>7</v>
      </c>
      <c r="X11" s="16"/>
      <c r="Y11" s="16"/>
      <c r="Z11" s="16"/>
      <c r="AA11" s="18"/>
      <c r="AB11" s="8">
        <f t="shared" si="4"/>
        <v>1</v>
      </c>
      <c r="AC11" s="9">
        <f t="shared" si="5"/>
        <v>0.25</v>
      </c>
      <c r="AD11" s="10">
        <f t="shared" si="8"/>
        <v>0.25</v>
      </c>
      <c r="AE11" s="36">
        <f t="shared" si="6"/>
        <v>0.54166666666666663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80000</v>
      </c>
      <c r="J12" s="5">
        <v>5025</v>
      </c>
      <c r="K12" s="15">
        <f>L12+2299+960+4314+5153+4996+5031+573+5044+5157+4963+4296+5172+5278+5197+4806+5013+5210+5209</f>
        <v>83696</v>
      </c>
      <c r="L12" s="15">
        <f>2469+2556</f>
        <v>5025</v>
      </c>
      <c r="M12" s="15">
        <f t="shared" si="0"/>
        <v>5025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0.54166666666666663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112</v>
      </c>
      <c r="D13" s="52" t="s">
        <v>115</v>
      </c>
      <c r="E13" s="53" t="s">
        <v>187</v>
      </c>
      <c r="F13" s="30" t="s">
        <v>122</v>
      </c>
      <c r="G13" s="33">
        <v>1</v>
      </c>
      <c r="H13" s="35">
        <v>22</v>
      </c>
      <c r="I13" s="7">
        <v>10000</v>
      </c>
      <c r="J13" s="14">
        <v>5420</v>
      </c>
      <c r="K13" s="15">
        <f>L13+5133</f>
        <v>10553</v>
      </c>
      <c r="L13" s="15">
        <f>2747+2673</f>
        <v>5420</v>
      </c>
      <c r="M13" s="15">
        <f t="shared" si="0"/>
        <v>5420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0.54166666666666663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151</v>
      </c>
      <c r="D14" s="52" t="s">
        <v>115</v>
      </c>
      <c r="E14" s="53" t="s">
        <v>626</v>
      </c>
      <c r="F14" s="30" t="s">
        <v>148</v>
      </c>
      <c r="G14" s="33">
        <v>1</v>
      </c>
      <c r="H14" s="35">
        <v>50</v>
      </c>
      <c r="I14" s="7">
        <v>700</v>
      </c>
      <c r="J14" s="5">
        <v>447</v>
      </c>
      <c r="K14" s="15">
        <f>L14</f>
        <v>447</v>
      </c>
      <c r="L14" s="15">
        <v>447</v>
      </c>
      <c r="M14" s="15">
        <f t="shared" si="0"/>
        <v>447</v>
      </c>
      <c r="N14" s="15">
        <v>0</v>
      </c>
      <c r="O14" s="58">
        <f t="shared" si="1"/>
        <v>0</v>
      </c>
      <c r="P14" s="39">
        <f t="shared" si="2"/>
        <v>6</v>
      </c>
      <c r="Q14" s="40">
        <f t="shared" si="3"/>
        <v>18</v>
      </c>
      <c r="R14" s="7"/>
      <c r="S14" s="6">
        <v>18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0.25</v>
      </c>
      <c r="AD14" s="10">
        <f t="shared" si="8"/>
        <v>0.25</v>
      </c>
      <c r="AE14" s="36">
        <f t="shared" si="6"/>
        <v>0.54166666666666663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126</v>
      </c>
      <c r="D15" s="52"/>
      <c r="E15" s="53" t="s">
        <v>400</v>
      </c>
      <c r="F15" s="30" t="s">
        <v>411</v>
      </c>
      <c r="G15" s="12">
        <v>4</v>
      </c>
      <c r="H15" s="13">
        <v>24</v>
      </c>
      <c r="I15" s="31">
        <v>200000</v>
      </c>
      <c r="J15" s="14">
        <v>36728</v>
      </c>
      <c r="K15" s="15">
        <f>L15+36796+36616</f>
        <v>110140</v>
      </c>
      <c r="L15" s="15">
        <f>4623*4+4559*4</f>
        <v>36728</v>
      </c>
      <c r="M15" s="15">
        <f t="shared" si="0"/>
        <v>36728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0.54166666666666663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197</v>
      </c>
      <c r="E16" s="53" t="s">
        <v>366</v>
      </c>
      <c r="F16" s="30" t="s">
        <v>123</v>
      </c>
      <c r="G16" s="12">
        <v>2</v>
      </c>
      <c r="H16" s="13">
        <v>22</v>
      </c>
      <c r="I16" s="31">
        <v>260000</v>
      </c>
      <c r="J16" s="5">
        <v>8431</v>
      </c>
      <c r="K16" s="15">
        <f>L16+9350+9873+10572+11420+9694+7670+11372+10884</f>
        <v>89266</v>
      </c>
      <c r="L16" s="15">
        <f>2773+2829*2</f>
        <v>8431</v>
      </c>
      <c r="M16" s="15">
        <f t="shared" si="0"/>
        <v>8431</v>
      </c>
      <c r="N16" s="15">
        <v>0</v>
      </c>
      <c r="O16" s="58">
        <f t="shared" si="1"/>
        <v>0</v>
      </c>
      <c r="P16" s="39">
        <f t="shared" si="2"/>
        <v>22</v>
      </c>
      <c r="Q16" s="40">
        <f t="shared" si="3"/>
        <v>2</v>
      </c>
      <c r="R16" s="7"/>
      <c r="S16" s="6">
        <v>2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0.91666666666666663</v>
      </c>
      <c r="AD16" s="10">
        <f t="shared" si="8"/>
        <v>0.91666666666666663</v>
      </c>
      <c r="AE16" s="36">
        <f t="shared" si="6"/>
        <v>0.54166666666666663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116</v>
      </c>
      <c r="D17" s="52" t="s">
        <v>137</v>
      </c>
      <c r="E17" s="53" t="s">
        <v>532</v>
      </c>
      <c r="F17" s="30" t="s">
        <v>478</v>
      </c>
      <c r="G17" s="12">
        <v>1</v>
      </c>
      <c r="H17" s="13">
        <v>24</v>
      </c>
      <c r="I17" s="7">
        <v>300</v>
      </c>
      <c r="J17" s="14">
        <v>1191</v>
      </c>
      <c r="K17" s="15">
        <f>L17+1191</f>
        <v>1191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0.54166666666666663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371</v>
      </c>
      <c r="F18" s="30" t="s">
        <v>135</v>
      </c>
      <c r="G18" s="12">
        <v>2</v>
      </c>
      <c r="H18" s="13">
        <v>22</v>
      </c>
      <c r="I18" s="31">
        <v>260000</v>
      </c>
      <c r="J18" s="5">
        <v>12108</v>
      </c>
      <c r="K18" s="15">
        <f>L18+10480+11444+11648+11082+10368+10658+11130+11168</f>
        <v>100086</v>
      </c>
      <c r="L18" s="15">
        <f>3279*2+2775*2</f>
        <v>12108</v>
      </c>
      <c r="M18" s="15">
        <f t="shared" si="0"/>
        <v>12108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0.54166666666666663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112</v>
      </c>
      <c r="D19" s="52" t="s">
        <v>149</v>
      </c>
      <c r="E19" s="53" t="s">
        <v>469</v>
      </c>
      <c r="F19" s="30" t="s">
        <v>123</v>
      </c>
      <c r="G19" s="33">
        <v>1</v>
      </c>
      <c r="H19" s="35">
        <v>24</v>
      </c>
      <c r="I19" s="7">
        <v>15000</v>
      </c>
      <c r="J19" s="14">
        <v>2461</v>
      </c>
      <c r="K19" s="15">
        <f>L19+5078+5131+5231+5577+5607</f>
        <v>29085</v>
      </c>
      <c r="L19" s="15">
        <v>2461</v>
      </c>
      <c r="M19" s="15">
        <f t="shared" si="0"/>
        <v>2461</v>
      </c>
      <c r="N19" s="15">
        <v>0</v>
      </c>
      <c r="O19" s="58">
        <f t="shared" si="1"/>
        <v>0</v>
      </c>
      <c r="P19" s="39">
        <f t="shared" si="2"/>
        <v>10</v>
      </c>
      <c r="Q19" s="40">
        <f t="shared" si="3"/>
        <v>14</v>
      </c>
      <c r="R19" s="7"/>
      <c r="S19" s="6">
        <v>14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0.41666666666666669</v>
      </c>
      <c r="AD19" s="10">
        <f t="shared" si="8"/>
        <v>0.41666666666666669</v>
      </c>
      <c r="AE19" s="36">
        <f t="shared" si="6"/>
        <v>0.54166666666666663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116</v>
      </c>
      <c r="D20" s="52" t="s">
        <v>627</v>
      </c>
      <c r="E20" s="53" t="s">
        <v>628</v>
      </c>
      <c r="F20" s="30" t="s">
        <v>348</v>
      </c>
      <c r="G20" s="33" t="s">
        <v>629</v>
      </c>
      <c r="H20" s="35">
        <v>24</v>
      </c>
      <c r="I20" s="7">
        <v>40000</v>
      </c>
      <c r="J20" s="14">
        <v>3583</v>
      </c>
      <c r="K20" s="15">
        <f>L20</f>
        <v>3583</v>
      </c>
      <c r="L20" s="15">
        <f>1774+1809</f>
        <v>3583</v>
      </c>
      <c r="M20" s="15">
        <f t="shared" si="0"/>
        <v>3583</v>
      </c>
      <c r="N20" s="15">
        <v>0</v>
      </c>
      <c r="O20" s="58">
        <f t="shared" si="1"/>
        <v>0</v>
      </c>
      <c r="P20" s="39">
        <f t="shared" si="2"/>
        <v>19</v>
      </c>
      <c r="Q20" s="40">
        <f t="shared" si="3"/>
        <v>5</v>
      </c>
      <c r="R20" s="7"/>
      <c r="S20" s="6">
        <v>5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0.79166666666666663</v>
      </c>
      <c r="AD20" s="10">
        <f t="shared" si="8"/>
        <v>0.79166666666666663</v>
      </c>
      <c r="AE20" s="36">
        <f t="shared" si="6"/>
        <v>0.54166666666666663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352</v>
      </c>
      <c r="F21" s="12" t="s">
        <v>114</v>
      </c>
      <c r="G21" s="12">
        <v>4</v>
      </c>
      <c r="H21" s="35">
        <v>20</v>
      </c>
      <c r="I21" s="7">
        <v>2000000</v>
      </c>
      <c r="J21" s="14">
        <v>22548</v>
      </c>
      <c r="K21" s="15">
        <f>L21+64424+64620</f>
        <v>151592</v>
      </c>
      <c r="L21" s="15">
        <f>5637*4</f>
        <v>22548</v>
      </c>
      <c r="M21" s="15">
        <f t="shared" si="0"/>
        <v>22548</v>
      </c>
      <c r="N21" s="15">
        <v>0</v>
      </c>
      <c r="O21" s="58">
        <f t="shared" si="1"/>
        <v>0</v>
      </c>
      <c r="P21" s="39">
        <f t="shared" si="2"/>
        <v>9</v>
      </c>
      <c r="Q21" s="40">
        <f t="shared" si="3"/>
        <v>15</v>
      </c>
      <c r="R21" s="7"/>
      <c r="S21" s="6">
        <v>15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0.375</v>
      </c>
      <c r="AD21" s="10">
        <f t="shared" si="8"/>
        <v>0.375</v>
      </c>
      <c r="AE21" s="36">
        <f t="shared" si="6"/>
        <v>0.54166666666666663</v>
      </c>
      <c r="AF21" s="81">
        <f t="shared" si="7"/>
        <v>16</v>
      </c>
    </row>
    <row r="22" spans="1:32" ht="26.25" customHeight="1">
      <c r="A22" s="115">
        <v>17</v>
      </c>
      <c r="B22" s="11" t="s">
        <v>57</v>
      </c>
      <c r="C22" s="11"/>
      <c r="D22" s="52"/>
      <c r="E22" s="53"/>
      <c r="F22" s="12"/>
      <c r="G22" s="12"/>
      <c r="H22" s="35"/>
      <c r="I22" s="7">
        <v>0</v>
      </c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0.54166666666666663</v>
      </c>
      <c r="AF22" s="81">
        <f t="shared" si="7"/>
        <v>17</v>
      </c>
    </row>
    <row r="23" spans="1:32" ht="26.25" customHeight="1">
      <c r="A23" s="115">
        <v>18</v>
      </c>
      <c r="B23" s="11" t="s">
        <v>57</v>
      </c>
      <c r="C23" s="11" t="s">
        <v>116</v>
      </c>
      <c r="D23" s="52" t="s">
        <v>178</v>
      </c>
      <c r="E23" s="53" t="s">
        <v>353</v>
      </c>
      <c r="F23" s="12" t="s">
        <v>180</v>
      </c>
      <c r="G23" s="12">
        <v>4</v>
      </c>
      <c r="H23" s="35">
        <v>15</v>
      </c>
      <c r="I23" s="7">
        <v>20000</v>
      </c>
      <c r="J23" s="14">
        <v>24024</v>
      </c>
      <c r="K23" s="15">
        <f>L23+14040+7084+2888+25304+4864+24024</f>
        <v>78204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0.54166666666666663</v>
      </c>
      <c r="AF23" s="81">
        <f t="shared" si="7"/>
        <v>18</v>
      </c>
    </row>
    <row r="24" spans="1:32" ht="21.75" customHeight="1">
      <c r="A24" s="92">
        <v>31</v>
      </c>
      <c r="B24" s="11" t="s">
        <v>57</v>
      </c>
      <c r="C24" s="11" t="s">
        <v>116</v>
      </c>
      <c r="D24" s="52" t="s">
        <v>115</v>
      </c>
      <c r="E24" s="53" t="s">
        <v>143</v>
      </c>
      <c r="F24" s="12" t="s">
        <v>135</v>
      </c>
      <c r="G24" s="12">
        <v>4</v>
      </c>
      <c r="H24" s="35">
        <v>20</v>
      </c>
      <c r="I24" s="7">
        <v>70000</v>
      </c>
      <c r="J24" s="14">
        <v>22300</v>
      </c>
      <c r="K24" s="15">
        <f>L24+22300</f>
        <v>22300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0.54166666666666663</v>
      </c>
      <c r="AF24" s="81">
        <f t="shared" si="7"/>
        <v>31</v>
      </c>
    </row>
    <row r="25" spans="1:32" ht="21.75" customHeight="1">
      <c r="A25" s="92">
        <v>32</v>
      </c>
      <c r="B25" s="11" t="s">
        <v>57</v>
      </c>
      <c r="C25" s="11" t="s">
        <v>172</v>
      </c>
      <c r="D25" s="52"/>
      <c r="E25" s="53" t="s">
        <v>171</v>
      </c>
      <c r="F25" s="12" t="s">
        <v>173</v>
      </c>
      <c r="G25" s="12">
        <v>30</v>
      </c>
      <c r="H25" s="35">
        <v>20</v>
      </c>
      <c r="I25" s="7">
        <v>2000000</v>
      </c>
      <c r="J25" s="14">
        <v>484736</v>
      </c>
      <c r="K25" s="15">
        <f>L25+322260+481964+478184</f>
        <v>1767144</v>
      </c>
      <c r="L25" s="15">
        <f>9851*28+7461*28</f>
        <v>484736</v>
      </c>
      <c r="M25" s="15">
        <f t="shared" si="0"/>
        <v>484736</v>
      </c>
      <c r="N25" s="15">
        <v>0</v>
      </c>
      <c r="O25" s="58">
        <f t="shared" si="1"/>
        <v>0</v>
      </c>
      <c r="P25" s="39">
        <f t="shared" si="2"/>
        <v>24</v>
      </c>
      <c r="Q25" s="40">
        <f t="shared" si="3"/>
        <v>0</v>
      </c>
      <c r="R25" s="7"/>
      <c r="S25" s="6"/>
      <c r="T25" s="16"/>
      <c r="U25" s="16"/>
      <c r="V25" s="17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1</v>
      </c>
      <c r="AD25" s="10">
        <f t="shared" si="8"/>
        <v>1</v>
      </c>
      <c r="AE25" s="36">
        <f t="shared" si="6"/>
        <v>0.54166666666666663</v>
      </c>
      <c r="AF25" s="81">
        <f t="shared" si="7"/>
        <v>32</v>
      </c>
    </row>
    <row r="26" spans="1:32" ht="21.75" customHeight="1">
      <c r="A26" s="92">
        <v>33</v>
      </c>
      <c r="B26" s="11" t="s">
        <v>57</v>
      </c>
      <c r="C26" s="11" t="s">
        <v>116</v>
      </c>
      <c r="D26" s="52" t="s">
        <v>115</v>
      </c>
      <c r="E26" s="53" t="s">
        <v>414</v>
      </c>
      <c r="F26" s="12" t="s">
        <v>135</v>
      </c>
      <c r="G26" s="12">
        <v>3</v>
      </c>
      <c r="H26" s="35">
        <v>20</v>
      </c>
      <c r="I26" s="7">
        <v>130000</v>
      </c>
      <c r="J26" s="14">
        <v>18078</v>
      </c>
      <c r="K26" s="15">
        <f>L26+15220+23840+22923+6507+15501+18108+17847</f>
        <v>138024</v>
      </c>
      <c r="L26" s="15">
        <f>3427*3+2599*3</f>
        <v>18078</v>
      </c>
      <c r="M26" s="15">
        <f t="shared" si="0"/>
        <v>18078</v>
      </c>
      <c r="N26" s="15">
        <v>0</v>
      </c>
      <c r="O26" s="58">
        <f t="shared" si="1"/>
        <v>0</v>
      </c>
      <c r="P26" s="39">
        <f t="shared" si="2"/>
        <v>24</v>
      </c>
      <c r="Q26" s="40">
        <f t="shared" si="3"/>
        <v>0</v>
      </c>
      <c r="R26" s="7"/>
      <c r="S26" s="6"/>
      <c r="T26" s="16"/>
      <c r="U26" s="16"/>
      <c r="V26" s="114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1</v>
      </c>
      <c r="AD26" s="10">
        <f t="shared" si="8"/>
        <v>1</v>
      </c>
      <c r="AE26" s="36">
        <f t="shared" si="6"/>
        <v>0.54166666666666663</v>
      </c>
      <c r="AF26" s="81">
        <f t="shared" si="7"/>
        <v>33</v>
      </c>
    </row>
    <row r="27" spans="1:32" ht="21.75" customHeight="1">
      <c r="A27" s="92">
        <v>34</v>
      </c>
      <c r="B27" s="11" t="s">
        <v>57</v>
      </c>
      <c r="C27" s="11" t="s">
        <v>116</v>
      </c>
      <c r="D27" s="52" t="s">
        <v>197</v>
      </c>
      <c r="E27" s="53" t="s">
        <v>415</v>
      </c>
      <c r="F27" s="12" t="s">
        <v>124</v>
      </c>
      <c r="G27" s="12">
        <v>2</v>
      </c>
      <c r="H27" s="35">
        <v>20</v>
      </c>
      <c r="I27" s="7">
        <v>130000</v>
      </c>
      <c r="J27" s="14">
        <v>27700</v>
      </c>
      <c r="K27" s="15">
        <f>L27+15632+12648+1958+21292+27256</f>
        <v>106486</v>
      </c>
      <c r="L27" s="15">
        <f>3937*4+2988*4</f>
        <v>27700</v>
      </c>
      <c r="M27" s="15">
        <f t="shared" si="0"/>
        <v>27700</v>
      </c>
      <c r="N27" s="15">
        <v>0</v>
      </c>
      <c r="O27" s="58">
        <f t="shared" si="1"/>
        <v>0</v>
      </c>
      <c r="P27" s="39">
        <f t="shared" si="2"/>
        <v>24</v>
      </c>
      <c r="Q27" s="40">
        <f t="shared" si="3"/>
        <v>0</v>
      </c>
      <c r="R27" s="7"/>
      <c r="S27" s="6"/>
      <c r="T27" s="16"/>
      <c r="U27" s="16"/>
      <c r="V27" s="114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1</v>
      </c>
      <c r="AD27" s="10">
        <f t="shared" si="8"/>
        <v>1</v>
      </c>
      <c r="AE27" s="36">
        <f t="shared" si="6"/>
        <v>0.54166666666666663</v>
      </c>
      <c r="AF27" s="81">
        <f t="shared" si="7"/>
        <v>34</v>
      </c>
    </row>
    <row r="28" spans="1:32" ht="21.75" customHeight="1">
      <c r="A28" s="92">
        <v>35</v>
      </c>
      <c r="B28" s="11" t="s">
        <v>57</v>
      </c>
      <c r="C28" s="11" t="s">
        <v>116</v>
      </c>
      <c r="D28" s="52" t="s">
        <v>121</v>
      </c>
      <c r="E28" s="53" t="s">
        <v>416</v>
      </c>
      <c r="F28" s="12" t="s">
        <v>124</v>
      </c>
      <c r="G28" s="12">
        <v>4</v>
      </c>
      <c r="H28" s="35">
        <v>20</v>
      </c>
      <c r="I28" s="7">
        <v>130000</v>
      </c>
      <c r="J28" s="14">
        <v>29736</v>
      </c>
      <c r="K28" s="15">
        <f>L28+27916+29980+10704+25528+29800+29376</f>
        <v>183040</v>
      </c>
      <c r="L28" s="15">
        <f>4225*4+3209*4</f>
        <v>29736</v>
      </c>
      <c r="M28" s="15">
        <f t="shared" si="0"/>
        <v>29736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8"/>
        <v>1</v>
      </c>
      <c r="AE28" s="36">
        <f t="shared" si="6"/>
        <v>0.54166666666666663</v>
      </c>
      <c r="AF28" s="81">
        <f t="shared" si="7"/>
        <v>35</v>
      </c>
    </row>
    <row r="29" spans="1:32" ht="21.75" customHeight="1" thickBot="1">
      <c r="A29" s="92">
        <v>36</v>
      </c>
      <c r="B29" s="11" t="s">
        <v>57</v>
      </c>
      <c r="C29" s="11" t="s">
        <v>113</v>
      </c>
      <c r="D29" s="52"/>
      <c r="E29" s="53" t="s">
        <v>144</v>
      </c>
      <c r="F29" s="12" t="s">
        <v>114</v>
      </c>
      <c r="G29" s="12">
        <v>4</v>
      </c>
      <c r="H29" s="35">
        <v>20</v>
      </c>
      <c r="I29" s="7">
        <v>1000000</v>
      </c>
      <c r="J29" s="14">
        <v>79328</v>
      </c>
      <c r="K29" s="15">
        <f>L29+28388+70816+76368+81764+83428+47688+53180+83092+82192+79328</f>
        <v>686244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>
        <v>24</v>
      </c>
      <c r="W29" s="5"/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0.54166666666666663</v>
      </c>
      <c r="AF29" s="81">
        <f t="shared" si="7"/>
        <v>36</v>
      </c>
    </row>
    <row r="30" spans="1:32" ht="19.5" thickBot="1">
      <c r="A30" s="452" t="s">
        <v>34</v>
      </c>
      <c r="B30" s="453"/>
      <c r="C30" s="453"/>
      <c r="D30" s="453"/>
      <c r="E30" s="453"/>
      <c r="F30" s="453"/>
      <c r="G30" s="453"/>
      <c r="H30" s="454"/>
      <c r="I30" s="22">
        <f t="shared" ref="I30:N30" si="9">SUM(I6:I29)</f>
        <v>6648190</v>
      </c>
      <c r="J30" s="19">
        <f t="shared" si="9"/>
        <v>805850</v>
      </c>
      <c r="K30" s="20">
        <f t="shared" si="9"/>
        <v>3621111</v>
      </c>
      <c r="L30" s="21">
        <f t="shared" si="9"/>
        <v>672249</v>
      </c>
      <c r="M30" s="20">
        <f t="shared" si="9"/>
        <v>672249</v>
      </c>
      <c r="N30" s="21">
        <f t="shared" si="9"/>
        <v>0</v>
      </c>
      <c r="O30" s="41">
        <f t="shared" si="1"/>
        <v>0</v>
      </c>
      <c r="P30" s="42">
        <f t="shared" ref="P30:AA30" si="10">SUM(P6:P29)</f>
        <v>312</v>
      </c>
      <c r="Q30" s="43">
        <f t="shared" si="10"/>
        <v>264</v>
      </c>
      <c r="R30" s="23">
        <f t="shared" si="10"/>
        <v>0</v>
      </c>
      <c r="S30" s="24">
        <f t="shared" si="10"/>
        <v>105</v>
      </c>
      <c r="T30" s="24">
        <f t="shared" si="10"/>
        <v>0</v>
      </c>
      <c r="U30" s="24">
        <f t="shared" si="10"/>
        <v>0</v>
      </c>
      <c r="V30" s="25">
        <f t="shared" si="10"/>
        <v>48</v>
      </c>
      <c r="W30" s="26">
        <f t="shared" si="10"/>
        <v>111</v>
      </c>
      <c r="X30" s="27">
        <f t="shared" si="10"/>
        <v>0</v>
      </c>
      <c r="Y30" s="27">
        <f t="shared" si="10"/>
        <v>0</v>
      </c>
      <c r="Z30" s="27">
        <f t="shared" si="10"/>
        <v>0</v>
      </c>
      <c r="AA30" s="27">
        <f t="shared" si="10"/>
        <v>0</v>
      </c>
      <c r="AB30" s="28">
        <f>AVERAGE(AB6:AB29)</f>
        <v>0.73913043478260865</v>
      </c>
      <c r="AC30" s="4">
        <f>AVERAGE(AC6:AC29)</f>
        <v>0.54166666666666663</v>
      </c>
      <c r="AD30" s="4">
        <f>AVERAGE(AD6:AD29)</f>
        <v>0.54166666666666663</v>
      </c>
      <c r="AE30" s="29"/>
    </row>
    <row r="31" spans="1:32">
      <c r="T31" s="50" t="s">
        <v>127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128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2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455" t="s">
        <v>45</v>
      </c>
      <c r="B57" s="455"/>
      <c r="C57" s="455"/>
      <c r="D57" s="455"/>
      <c r="E57" s="455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456" t="s">
        <v>630</v>
      </c>
      <c r="B58" s="457"/>
      <c r="C58" s="457"/>
      <c r="D58" s="457"/>
      <c r="E58" s="457"/>
      <c r="F58" s="457"/>
      <c r="G58" s="457"/>
      <c r="H58" s="457"/>
      <c r="I58" s="457"/>
      <c r="J58" s="457"/>
      <c r="K58" s="457"/>
      <c r="L58" s="457"/>
      <c r="M58" s="458"/>
      <c r="N58" s="459" t="s">
        <v>643</v>
      </c>
      <c r="O58" s="460"/>
      <c r="P58" s="460"/>
      <c r="Q58" s="460"/>
      <c r="R58" s="460"/>
      <c r="S58" s="460"/>
      <c r="T58" s="460"/>
      <c r="U58" s="460"/>
      <c r="V58" s="460"/>
      <c r="W58" s="460"/>
      <c r="X58" s="460"/>
      <c r="Y58" s="460"/>
      <c r="Z58" s="460"/>
      <c r="AA58" s="460"/>
      <c r="AB58" s="460"/>
      <c r="AC58" s="460"/>
      <c r="AD58" s="461"/>
    </row>
    <row r="59" spans="1:32" ht="27" customHeight="1">
      <c r="A59" s="462" t="s">
        <v>2</v>
      </c>
      <c r="B59" s="463"/>
      <c r="C59" s="264" t="s">
        <v>46</v>
      </c>
      <c r="D59" s="264" t="s">
        <v>47</v>
      </c>
      <c r="E59" s="264" t="s">
        <v>107</v>
      </c>
      <c r="F59" s="464" t="s">
        <v>106</v>
      </c>
      <c r="G59" s="465"/>
      <c r="H59" s="465"/>
      <c r="I59" s="465"/>
      <c r="J59" s="465"/>
      <c r="K59" s="465"/>
      <c r="L59" s="465"/>
      <c r="M59" s="466"/>
      <c r="N59" s="67" t="s">
        <v>110</v>
      </c>
      <c r="O59" s="264" t="s">
        <v>46</v>
      </c>
      <c r="P59" s="464" t="s">
        <v>47</v>
      </c>
      <c r="Q59" s="467"/>
      <c r="R59" s="464" t="s">
        <v>38</v>
      </c>
      <c r="S59" s="465"/>
      <c r="T59" s="465"/>
      <c r="U59" s="467"/>
      <c r="V59" s="464" t="s">
        <v>48</v>
      </c>
      <c r="W59" s="465"/>
      <c r="X59" s="465"/>
      <c r="Y59" s="465"/>
      <c r="Z59" s="465"/>
      <c r="AA59" s="465"/>
      <c r="AB59" s="465"/>
      <c r="AC59" s="465"/>
      <c r="AD59" s="466"/>
    </row>
    <row r="60" spans="1:32" ht="27" customHeight="1">
      <c r="A60" s="430" t="s">
        <v>126</v>
      </c>
      <c r="B60" s="431"/>
      <c r="C60" s="260" t="s">
        <v>139</v>
      </c>
      <c r="D60" s="260" t="s">
        <v>197</v>
      </c>
      <c r="E60" s="261" t="s">
        <v>631</v>
      </c>
      <c r="F60" s="432" t="s">
        <v>632</v>
      </c>
      <c r="G60" s="433"/>
      <c r="H60" s="433"/>
      <c r="I60" s="433"/>
      <c r="J60" s="433"/>
      <c r="K60" s="433"/>
      <c r="L60" s="433"/>
      <c r="M60" s="434"/>
      <c r="N60" s="141" t="s">
        <v>575</v>
      </c>
      <c r="O60" s="274" t="s">
        <v>442</v>
      </c>
      <c r="P60" s="447"/>
      <c r="Q60" s="448"/>
      <c r="R60" s="447" t="s">
        <v>576</v>
      </c>
      <c r="S60" s="449"/>
      <c r="T60" s="449"/>
      <c r="U60" s="448"/>
      <c r="V60" s="436" t="s">
        <v>141</v>
      </c>
      <c r="W60" s="437"/>
      <c r="X60" s="437"/>
      <c r="Y60" s="437"/>
      <c r="Z60" s="437"/>
      <c r="AA60" s="437"/>
      <c r="AB60" s="437"/>
      <c r="AC60" s="437"/>
      <c r="AD60" s="438"/>
    </row>
    <row r="61" spans="1:32" ht="27" customHeight="1">
      <c r="A61" s="430" t="s">
        <v>126</v>
      </c>
      <c r="B61" s="431"/>
      <c r="C61" s="260" t="s">
        <v>146</v>
      </c>
      <c r="D61" s="260" t="s">
        <v>115</v>
      </c>
      <c r="E61" s="261" t="s">
        <v>633</v>
      </c>
      <c r="F61" s="436" t="s">
        <v>154</v>
      </c>
      <c r="G61" s="437"/>
      <c r="H61" s="437"/>
      <c r="I61" s="437"/>
      <c r="J61" s="437"/>
      <c r="K61" s="437"/>
      <c r="L61" s="437"/>
      <c r="M61" s="438"/>
      <c r="N61" s="141" t="s">
        <v>112</v>
      </c>
      <c r="O61" s="258" t="s">
        <v>146</v>
      </c>
      <c r="P61" s="447" t="s">
        <v>256</v>
      </c>
      <c r="Q61" s="448"/>
      <c r="R61" s="447" t="s">
        <v>644</v>
      </c>
      <c r="S61" s="449"/>
      <c r="T61" s="449"/>
      <c r="U61" s="448"/>
      <c r="V61" s="436" t="s">
        <v>154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112</v>
      </c>
      <c r="B62" s="431"/>
      <c r="C62" s="260" t="s">
        <v>166</v>
      </c>
      <c r="D62" s="260" t="s">
        <v>634</v>
      </c>
      <c r="E62" s="261" t="s">
        <v>635</v>
      </c>
      <c r="F62" s="432" t="s">
        <v>632</v>
      </c>
      <c r="G62" s="433"/>
      <c r="H62" s="433"/>
      <c r="I62" s="433"/>
      <c r="J62" s="433"/>
      <c r="K62" s="433"/>
      <c r="L62" s="433"/>
      <c r="M62" s="434"/>
      <c r="N62" s="141" t="s">
        <v>112</v>
      </c>
      <c r="O62" s="258" t="s">
        <v>646</v>
      </c>
      <c r="P62" s="447" t="s">
        <v>647</v>
      </c>
      <c r="Q62" s="448"/>
      <c r="R62" s="447" t="s">
        <v>645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151</v>
      </c>
      <c r="B63" s="431"/>
      <c r="C63" s="260" t="s">
        <v>219</v>
      </c>
      <c r="D63" s="260" t="s">
        <v>115</v>
      </c>
      <c r="E63" s="261" t="s">
        <v>610</v>
      </c>
      <c r="F63" s="432" t="s">
        <v>636</v>
      </c>
      <c r="G63" s="433"/>
      <c r="H63" s="433"/>
      <c r="I63" s="433"/>
      <c r="J63" s="433"/>
      <c r="K63" s="433"/>
      <c r="L63" s="433"/>
      <c r="M63" s="434"/>
      <c r="N63" s="141" t="s">
        <v>151</v>
      </c>
      <c r="O63" s="258" t="s">
        <v>219</v>
      </c>
      <c r="P63" s="447" t="s">
        <v>115</v>
      </c>
      <c r="Q63" s="448"/>
      <c r="R63" s="447" t="s">
        <v>610</v>
      </c>
      <c r="S63" s="449"/>
      <c r="T63" s="449"/>
      <c r="U63" s="448"/>
      <c r="V63" s="436" t="s">
        <v>141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126</v>
      </c>
      <c r="B64" s="431"/>
      <c r="C64" s="260" t="s">
        <v>191</v>
      </c>
      <c r="D64" s="260" t="s">
        <v>627</v>
      </c>
      <c r="E64" s="261" t="s">
        <v>637</v>
      </c>
      <c r="F64" s="432" t="s">
        <v>638</v>
      </c>
      <c r="G64" s="433"/>
      <c r="H64" s="433"/>
      <c r="I64" s="433"/>
      <c r="J64" s="433"/>
      <c r="K64" s="433"/>
      <c r="L64" s="433"/>
      <c r="M64" s="434"/>
      <c r="N64" s="141" t="s">
        <v>116</v>
      </c>
      <c r="O64" s="258" t="s">
        <v>191</v>
      </c>
      <c r="P64" s="447" t="s">
        <v>611</v>
      </c>
      <c r="Q64" s="448"/>
      <c r="R64" s="447" t="s">
        <v>612</v>
      </c>
      <c r="S64" s="449"/>
      <c r="T64" s="449"/>
      <c r="U64" s="448"/>
      <c r="V64" s="436" t="s">
        <v>141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641</v>
      </c>
      <c r="B65" s="431"/>
      <c r="C65" s="260" t="s">
        <v>642</v>
      </c>
      <c r="D65" s="260" t="s">
        <v>197</v>
      </c>
      <c r="E65" s="261" t="s">
        <v>639</v>
      </c>
      <c r="F65" s="432" t="s">
        <v>640</v>
      </c>
      <c r="G65" s="433"/>
      <c r="H65" s="433"/>
      <c r="I65" s="433"/>
      <c r="J65" s="433"/>
      <c r="K65" s="433"/>
      <c r="L65" s="433"/>
      <c r="M65" s="434"/>
      <c r="N65" s="141" t="s">
        <v>116</v>
      </c>
      <c r="O65" s="258" t="s">
        <v>649</v>
      </c>
      <c r="P65" s="447" t="s">
        <v>256</v>
      </c>
      <c r="Q65" s="448"/>
      <c r="R65" s="447" t="s">
        <v>648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/>
      <c r="B66" s="431"/>
      <c r="C66" s="260"/>
      <c r="D66" s="260"/>
      <c r="E66" s="261"/>
      <c r="F66" s="432"/>
      <c r="G66" s="433"/>
      <c r="H66" s="433"/>
      <c r="I66" s="433"/>
      <c r="J66" s="433"/>
      <c r="K66" s="433"/>
      <c r="L66" s="433"/>
      <c r="M66" s="434"/>
      <c r="N66" s="141"/>
      <c r="O66" s="258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/>
      <c r="B67" s="431"/>
      <c r="C67" s="260"/>
      <c r="D67" s="260"/>
      <c r="E67" s="261"/>
      <c r="F67" s="432"/>
      <c r="G67" s="433"/>
      <c r="H67" s="433"/>
      <c r="I67" s="433"/>
      <c r="J67" s="433"/>
      <c r="K67" s="433"/>
      <c r="L67" s="433"/>
      <c r="M67" s="434"/>
      <c r="N67" s="141"/>
      <c r="O67" s="258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260"/>
      <c r="D68" s="260"/>
      <c r="E68" s="261"/>
      <c r="F68" s="432"/>
      <c r="G68" s="433"/>
      <c r="H68" s="433"/>
      <c r="I68" s="433"/>
      <c r="J68" s="433"/>
      <c r="K68" s="433"/>
      <c r="L68" s="433"/>
      <c r="M68" s="434"/>
      <c r="N68" s="141"/>
      <c r="O68" s="258"/>
      <c r="P68" s="435"/>
      <c r="Q68" s="435"/>
      <c r="R68" s="435"/>
      <c r="S68" s="435"/>
      <c r="T68" s="435"/>
      <c r="U68" s="435"/>
      <c r="V68" s="436"/>
      <c r="W68" s="437"/>
      <c r="X68" s="437"/>
      <c r="Y68" s="437"/>
      <c r="Z68" s="437"/>
      <c r="AA68" s="437"/>
      <c r="AB68" s="437"/>
      <c r="AC68" s="437"/>
      <c r="AD68" s="438"/>
      <c r="AF68" s="81">
        <f>8*3000</f>
        <v>24000</v>
      </c>
    </row>
    <row r="69" spans="1:32" ht="27" customHeight="1" thickBot="1">
      <c r="A69" s="439"/>
      <c r="B69" s="440"/>
      <c r="C69" s="262"/>
      <c r="D69" s="263"/>
      <c r="E69" s="262"/>
      <c r="F69" s="490"/>
      <c r="G69" s="491"/>
      <c r="H69" s="491"/>
      <c r="I69" s="491"/>
      <c r="J69" s="491"/>
      <c r="K69" s="491"/>
      <c r="L69" s="491"/>
      <c r="M69" s="492"/>
      <c r="N69" s="105"/>
      <c r="O69" s="97"/>
      <c r="P69" s="444"/>
      <c r="Q69" s="444"/>
      <c r="R69" s="444"/>
      <c r="S69" s="444"/>
      <c r="T69" s="444"/>
      <c r="U69" s="444"/>
      <c r="V69" s="445"/>
      <c r="W69" s="445"/>
      <c r="X69" s="445"/>
      <c r="Y69" s="445"/>
      <c r="Z69" s="445"/>
      <c r="AA69" s="445"/>
      <c r="AB69" s="445"/>
      <c r="AC69" s="445"/>
      <c r="AD69" s="446"/>
      <c r="AF69" s="81">
        <f>16*3000</f>
        <v>48000</v>
      </c>
    </row>
    <row r="70" spans="1:32" ht="27.75" thickBot="1">
      <c r="A70" s="428" t="s">
        <v>650</v>
      </c>
      <c r="B70" s="428"/>
      <c r="C70" s="428"/>
      <c r="D70" s="428"/>
      <c r="E70" s="428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1">
        <v>24000</v>
      </c>
    </row>
    <row r="71" spans="1:32" ht="29.25" customHeight="1" thickBot="1">
      <c r="A71" s="429" t="s">
        <v>111</v>
      </c>
      <c r="B71" s="426"/>
      <c r="C71" s="259" t="s">
        <v>2</v>
      </c>
      <c r="D71" s="259" t="s">
        <v>37</v>
      </c>
      <c r="E71" s="259" t="s">
        <v>3</v>
      </c>
      <c r="F71" s="426" t="s">
        <v>109</v>
      </c>
      <c r="G71" s="426"/>
      <c r="H71" s="426"/>
      <c r="I71" s="426"/>
      <c r="J71" s="426"/>
      <c r="K71" s="426" t="s">
        <v>39</v>
      </c>
      <c r="L71" s="426"/>
      <c r="M71" s="259" t="s">
        <v>40</v>
      </c>
      <c r="N71" s="426" t="s">
        <v>41</v>
      </c>
      <c r="O71" s="426"/>
      <c r="P71" s="423" t="s">
        <v>42</v>
      </c>
      <c r="Q71" s="425"/>
      <c r="R71" s="423" t="s">
        <v>43</v>
      </c>
      <c r="S71" s="424"/>
      <c r="T71" s="424"/>
      <c r="U71" s="424"/>
      <c r="V71" s="424"/>
      <c r="W71" s="424"/>
      <c r="X71" s="424"/>
      <c r="Y71" s="424"/>
      <c r="Z71" s="424"/>
      <c r="AA71" s="425"/>
      <c r="AB71" s="426" t="s">
        <v>44</v>
      </c>
      <c r="AC71" s="426"/>
      <c r="AD71" s="427"/>
      <c r="AF71" s="81">
        <f>SUM(AF68:AF70)</f>
        <v>96000</v>
      </c>
    </row>
    <row r="72" spans="1:32" ht="25.5" customHeight="1">
      <c r="A72" s="414">
        <v>1</v>
      </c>
      <c r="B72" s="415"/>
      <c r="C72" s="98" t="s">
        <v>652</v>
      </c>
      <c r="D72" s="254"/>
      <c r="E72" s="257" t="s">
        <v>653</v>
      </c>
      <c r="F72" s="416" t="s">
        <v>651</v>
      </c>
      <c r="G72" s="406"/>
      <c r="H72" s="406"/>
      <c r="I72" s="406"/>
      <c r="J72" s="406"/>
      <c r="K72" s="406" t="s">
        <v>654</v>
      </c>
      <c r="L72" s="406"/>
      <c r="M72" s="51" t="s">
        <v>655</v>
      </c>
      <c r="N72" s="417" t="s">
        <v>656</v>
      </c>
      <c r="O72" s="417"/>
      <c r="P72" s="418">
        <v>50</v>
      </c>
      <c r="Q72" s="418"/>
      <c r="R72" s="419"/>
      <c r="S72" s="419"/>
      <c r="T72" s="419"/>
      <c r="U72" s="419"/>
      <c r="V72" s="419"/>
      <c r="W72" s="419"/>
      <c r="X72" s="419"/>
      <c r="Y72" s="419"/>
      <c r="Z72" s="419"/>
      <c r="AA72" s="419"/>
      <c r="AB72" s="406"/>
      <c r="AC72" s="406"/>
      <c r="AD72" s="407"/>
      <c r="AF72" s="50"/>
    </row>
    <row r="73" spans="1:32" ht="25.5" customHeight="1">
      <c r="A73" s="414">
        <v>2</v>
      </c>
      <c r="B73" s="415"/>
      <c r="C73" s="98" t="s">
        <v>652</v>
      </c>
      <c r="D73" s="254"/>
      <c r="E73" s="257" t="s">
        <v>658</v>
      </c>
      <c r="F73" s="420" t="s">
        <v>657</v>
      </c>
      <c r="G73" s="421"/>
      <c r="H73" s="421"/>
      <c r="I73" s="421"/>
      <c r="J73" s="422"/>
      <c r="K73" s="406">
        <v>7301</v>
      </c>
      <c r="L73" s="406"/>
      <c r="M73" s="51" t="s">
        <v>655</v>
      </c>
      <c r="N73" s="417" t="s">
        <v>649</v>
      </c>
      <c r="O73" s="417"/>
      <c r="P73" s="418">
        <v>50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3</v>
      </c>
      <c r="B74" s="415"/>
      <c r="C74" s="98"/>
      <c r="D74" s="254"/>
      <c r="E74" s="257"/>
      <c r="F74" s="416"/>
      <c r="G74" s="406"/>
      <c r="H74" s="406"/>
      <c r="I74" s="406"/>
      <c r="J74" s="406"/>
      <c r="K74" s="406"/>
      <c r="L74" s="406"/>
      <c r="M74" s="51"/>
      <c r="N74" s="417"/>
      <c r="O74" s="417"/>
      <c r="P74" s="418"/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4</v>
      </c>
      <c r="B75" s="415"/>
      <c r="C75" s="98"/>
      <c r="D75" s="254"/>
      <c r="E75" s="257"/>
      <c r="F75" s="420"/>
      <c r="G75" s="421"/>
      <c r="H75" s="421"/>
      <c r="I75" s="421"/>
      <c r="J75" s="422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5</v>
      </c>
      <c r="B76" s="415"/>
      <c r="C76" s="98"/>
      <c r="D76" s="254"/>
      <c r="E76" s="257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6</v>
      </c>
      <c r="B77" s="415"/>
      <c r="C77" s="98"/>
      <c r="D77" s="254"/>
      <c r="E77" s="257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7</v>
      </c>
      <c r="B78" s="415"/>
      <c r="C78" s="98"/>
      <c r="D78" s="254"/>
      <c r="E78" s="257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8</v>
      </c>
      <c r="B79" s="415"/>
      <c r="C79" s="98"/>
      <c r="D79" s="254"/>
      <c r="E79" s="257"/>
      <c r="F79" s="416"/>
      <c r="G79" s="406"/>
      <c r="H79" s="406"/>
      <c r="I79" s="406"/>
      <c r="J79" s="406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9</v>
      </c>
      <c r="B80" s="415"/>
      <c r="C80" s="98"/>
      <c r="D80" s="254"/>
      <c r="E80" s="257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10</v>
      </c>
      <c r="B81" s="415"/>
      <c r="C81" s="98"/>
      <c r="D81" s="254"/>
      <c r="E81" s="257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6.25" customHeight="1" thickBot="1">
      <c r="A82" s="386" t="s">
        <v>659</v>
      </c>
      <c r="B82" s="386"/>
      <c r="C82" s="386"/>
      <c r="D82" s="386"/>
      <c r="E82" s="386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408" t="s">
        <v>111</v>
      </c>
      <c r="B83" s="409"/>
      <c r="C83" s="256" t="s">
        <v>2</v>
      </c>
      <c r="D83" s="256" t="s">
        <v>37</v>
      </c>
      <c r="E83" s="256" t="s">
        <v>120</v>
      </c>
      <c r="F83" s="388" t="s">
        <v>38</v>
      </c>
      <c r="G83" s="388"/>
      <c r="H83" s="388"/>
      <c r="I83" s="388"/>
      <c r="J83" s="388"/>
      <c r="K83" s="410" t="s">
        <v>58</v>
      </c>
      <c r="L83" s="411"/>
      <c r="M83" s="411"/>
      <c r="N83" s="411"/>
      <c r="O83" s="411"/>
      <c r="P83" s="411"/>
      <c r="Q83" s="411"/>
      <c r="R83" s="411"/>
      <c r="S83" s="412"/>
      <c r="T83" s="388" t="s">
        <v>49</v>
      </c>
      <c r="U83" s="388"/>
      <c r="V83" s="410" t="s">
        <v>50</v>
      </c>
      <c r="W83" s="412"/>
      <c r="X83" s="411" t="s">
        <v>51</v>
      </c>
      <c r="Y83" s="411"/>
      <c r="Z83" s="411"/>
      <c r="AA83" s="411"/>
      <c r="AB83" s="411"/>
      <c r="AC83" s="411"/>
      <c r="AD83" s="413"/>
      <c r="AF83" s="50"/>
    </row>
    <row r="84" spans="1:32" ht="33.75" customHeight="1">
      <c r="A84" s="380">
        <v>1</v>
      </c>
      <c r="B84" s="381"/>
      <c r="C84" s="255"/>
      <c r="D84" s="255"/>
      <c r="E84" s="65"/>
      <c r="F84" s="395"/>
      <c r="G84" s="396"/>
      <c r="H84" s="396"/>
      <c r="I84" s="396"/>
      <c r="J84" s="397"/>
      <c r="K84" s="398"/>
      <c r="L84" s="399"/>
      <c r="M84" s="399"/>
      <c r="N84" s="399"/>
      <c r="O84" s="399"/>
      <c r="P84" s="399"/>
      <c r="Q84" s="399"/>
      <c r="R84" s="399"/>
      <c r="S84" s="400"/>
      <c r="T84" s="401"/>
      <c r="U84" s="402"/>
      <c r="V84" s="403"/>
      <c r="W84" s="403"/>
      <c r="X84" s="404"/>
      <c r="Y84" s="404"/>
      <c r="Z84" s="404"/>
      <c r="AA84" s="404"/>
      <c r="AB84" s="404"/>
      <c r="AC84" s="404"/>
      <c r="AD84" s="405"/>
      <c r="AF84" s="50"/>
    </row>
    <row r="85" spans="1:32" ht="30" customHeight="1">
      <c r="A85" s="373">
        <f>A84+1</f>
        <v>2</v>
      </c>
      <c r="B85" s="374"/>
      <c r="C85" s="254"/>
      <c r="D85" s="254"/>
      <c r="E85" s="32"/>
      <c r="F85" s="374"/>
      <c r="G85" s="374"/>
      <c r="H85" s="374"/>
      <c r="I85" s="374"/>
      <c r="J85" s="374"/>
      <c r="K85" s="389"/>
      <c r="L85" s="390"/>
      <c r="M85" s="390"/>
      <c r="N85" s="390"/>
      <c r="O85" s="390"/>
      <c r="P85" s="390"/>
      <c r="Q85" s="390"/>
      <c r="R85" s="390"/>
      <c r="S85" s="391"/>
      <c r="T85" s="392"/>
      <c r="U85" s="392"/>
      <c r="V85" s="392"/>
      <c r="W85" s="392"/>
      <c r="X85" s="393"/>
      <c r="Y85" s="393"/>
      <c r="Z85" s="393"/>
      <c r="AA85" s="393"/>
      <c r="AB85" s="393"/>
      <c r="AC85" s="393"/>
      <c r="AD85" s="394"/>
      <c r="AF85" s="50"/>
    </row>
    <row r="86" spans="1:32" ht="30" customHeight="1">
      <c r="A86" s="373">
        <f t="shared" ref="A86:A90" si="11">A85+1</f>
        <v>3</v>
      </c>
      <c r="B86" s="374"/>
      <c r="C86" s="254"/>
      <c r="D86" s="254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si="11"/>
        <v>4</v>
      </c>
      <c r="B87" s="374"/>
      <c r="C87" s="254"/>
      <c r="D87" s="254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1"/>
        <v>5</v>
      </c>
      <c r="B88" s="374"/>
      <c r="C88" s="254"/>
      <c r="D88" s="254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1"/>
        <v>6</v>
      </c>
      <c r="B89" s="374"/>
      <c r="C89" s="254"/>
      <c r="D89" s="254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1"/>
        <v>7</v>
      </c>
      <c r="B90" s="374"/>
      <c r="C90" s="254"/>
      <c r="D90" s="254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6" thickBot="1">
      <c r="A91" s="386" t="s">
        <v>660</v>
      </c>
      <c r="B91" s="386"/>
      <c r="C91" s="386"/>
      <c r="D91" s="386"/>
      <c r="E91" s="386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387" t="s">
        <v>111</v>
      </c>
      <c r="B92" s="388"/>
      <c r="C92" s="378" t="s">
        <v>52</v>
      </c>
      <c r="D92" s="378"/>
      <c r="E92" s="378" t="s">
        <v>53</v>
      </c>
      <c r="F92" s="378"/>
      <c r="G92" s="378"/>
      <c r="H92" s="378"/>
      <c r="I92" s="378"/>
      <c r="J92" s="378"/>
      <c r="K92" s="378" t="s">
        <v>54</v>
      </c>
      <c r="L92" s="378"/>
      <c r="M92" s="378"/>
      <c r="N92" s="378"/>
      <c r="O92" s="378"/>
      <c r="P92" s="378"/>
      <c r="Q92" s="378"/>
      <c r="R92" s="378"/>
      <c r="S92" s="378"/>
      <c r="T92" s="378" t="s">
        <v>55</v>
      </c>
      <c r="U92" s="378"/>
      <c r="V92" s="378" t="s">
        <v>56</v>
      </c>
      <c r="W92" s="378"/>
      <c r="X92" s="378"/>
      <c r="Y92" s="378" t="s">
        <v>51</v>
      </c>
      <c r="Z92" s="378"/>
      <c r="AA92" s="378"/>
      <c r="AB92" s="378"/>
      <c r="AC92" s="378"/>
      <c r="AD92" s="379"/>
      <c r="AF92" s="50"/>
    </row>
    <row r="93" spans="1:32" ht="30.75" customHeight="1">
      <c r="A93" s="380">
        <v>1</v>
      </c>
      <c r="B93" s="381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3"/>
      <c r="W93" s="383"/>
      <c r="X93" s="383"/>
      <c r="Y93" s="384"/>
      <c r="Z93" s="384"/>
      <c r="AA93" s="384"/>
      <c r="AB93" s="384"/>
      <c r="AC93" s="384"/>
      <c r="AD93" s="385"/>
      <c r="AF93" s="50"/>
    </row>
    <row r="94" spans="1:32" ht="30.75" customHeight="1">
      <c r="A94" s="373">
        <v>2</v>
      </c>
      <c r="B94" s="374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6"/>
      <c r="U94" s="376"/>
      <c r="V94" s="377"/>
      <c r="W94" s="377"/>
      <c r="X94" s="377"/>
      <c r="Y94" s="365"/>
      <c r="Z94" s="365"/>
      <c r="AA94" s="365"/>
      <c r="AB94" s="365"/>
      <c r="AC94" s="365"/>
      <c r="AD94" s="366"/>
      <c r="AF94" s="50"/>
    </row>
    <row r="95" spans="1:32" ht="30.75" customHeight="1" thickBot="1">
      <c r="A95" s="367">
        <v>3</v>
      </c>
      <c r="B95" s="368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70"/>
      <c r="W95" s="370"/>
      <c r="X95" s="370"/>
      <c r="Y95" s="371"/>
      <c r="Z95" s="371"/>
      <c r="AA95" s="371"/>
      <c r="AB95" s="371"/>
      <c r="AC95" s="371"/>
      <c r="AD95" s="372"/>
      <c r="AF95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BCBB-9C64-41D4-BAB3-C71625C21FCF}">
  <sheetPr codeName="Sheet15">
    <pageSetUpPr fitToPage="1"/>
  </sheetPr>
  <dimension ref="A1:AF96"/>
  <sheetViews>
    <sheetView view="pageBreakPreview" zoomScale="70" zoomScaleNormal="72" zoomScaleSheetLayoutView="70" workbookViewId="0">
      <selection activeCell="S25" sqref="S2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8.7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661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266" t="s">
        <v>17</v>
      </c>
      <c r="L5" s="266" t="s">
        <v>18</v>
      </c>
      <c r="M5" s="266" t="s">
        <v>19</v>
      </c>
      <c r="N5" s="26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197</v>
      </c>
      <c r="E6" s="53" t="s">
        <v>397</v>
      </c>
      <c r="F6" s="30" t="s">
        <v>150</v>
      </c>
      <c r="G6" s="12">
        <v>2</v>
      </c>
      <c r="H6" s="13">
        <v>24</v>
      </c>
      <c r="I6" s="31">
        <v>30000</v>
      </c>
      <c r="J6" s="14">
        <v>10576</v>
      </c>
      <c r="K6" s="15">
        <f>L6+7048</f>
        <v>17624</v>
      </c>
      <c r="L6" s="15">
        <f>2673*2+2615*2</f>
        <v>10576</v>
      </c>
      <c r="M6" s="15">
        <f t="shared" ref="M6:M30" si="0">L6-N6</f>
        <v>10576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24</v>
      </c>
      <c r="Q6" s="40">
        <f t="shared" ref="Q6:Q30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1</v>
      </c>
      <c r="AD6" s="10">
        <f>AC6*AB6*(1-O6)</f>
        <v>1</v>
      </c>
      <c r="AE6" s="36">
        <f t="shared" ref="AE6:AE30" si="6">$AD$31</f>
        <v>0.56333333333333324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116</v>
      </c>
      <c r="D7" s="52" t="s">
        <v>137</v>
      </c>
      <c r="E7" s="53" t="s">
        <v>574</v>
      </c>
      <c r="F7" s="30" t="s">
        <v>136</v>
      </c>
      <c r="G7" s="12">
        <v>1</v>
      </c>
      <c r="H7" s="13">
        <v>24</v>
      </c>
      <c r="I7" s="31">
        <v>490</v>
      </c>
      <c r="J7" s="14">
        <v>1525</v>
      </c>
      <c r="K7" s="15">
        <f>L7</f>
        <v>0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ref="AD7:AD30" si="8">AC7*AB7*(1-O7)</f>
        <v>0</v>
      </c>
      <c r="AE7" s="36">
        <f t="shared" si="6"/>
        <v>0.56333333333333324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256</v>
      </c>
      <c r="E8" s="53" t="s">
        <v>662</v>
      </c>
      <c r="F8" s="30" t="s">
        <v>510</v>
      </c>
      <c r="G8" s="12">
        <v>1</v>
      </c>
      <c r="H8" s="13">
        <v>35</v>
      </c>
      <c r="I8" s="31">
        <v>2000</v>
      </c>
      <c r="J8" s="5">
        <v>5127</v>
      </c>
      <c r="K8" s="15">
        <f>L8</f>
        <v>5127</v>
      </c>
      <c r="L8" s="15">
        <f>2601+2526</f>
        <v>5127</v>
      </c>
      <c r="M8" s="15">
        <f t="shared" si="0"/>
        <v>5127</v>
      </c>
      <c r="N8" s="15">
        <v>0</v>
      </c>
      <c r="O8" s="58">
        <f t="shared" si="1"/>
        <v>0</v>
      </c>
      <c r="P8" s="39">
        <f t="shared" si="2"/>
        <v>23</v>
      </c>
      <c r="Q8" s="40">
        <f t="shared" si="3"/>
        <v>1</v>
      </c>
      <c r="R8" s="7"/>
      <c r="S8" s="6"/>
      <c r="T8" s="16"/>
      <c r="U8" s="16"/>
      <c r="V8" s="17"/>
      <c r="W8" s="5">
        <v>1</v>
      </c>
      <c r="X8" s="16"/>
      <c r="Y8" s="16"/>
      <c r="Z8" s="16"/>
      <c r="AA8" s="18"/>
      <c r="AB8" s="8">
        <f t="shared" si="4"/>
        <v>1</v>
      </c>
      <c r="AC8" s="9">
        <f t="shared" si="5"/>
        <v>0.95833333333333337</v>
      </c>
      <c r="AD8" s="10">
        <f t="shared" si="8"/>
        <v>0.95833333333333337</v>
      </c>
      <c r="AE8" s="36">
        <f t="shared" si="6"/>
        <v>0.56333333333333324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324</v>
      </c>
      <c r="F9" s="30" t="s">
        <v>348</v>
      </c>
      <c r="G9" s="12">
        <v>1</v>
      </c>
      <c r="H9" s="13">
        <v>24</v>
      </c>
      <c r="I9" s="7">
        <v>260000</v>
      </c>
      <c r="J9" s="14">
        <v>5186</v>
      </c>
      <c r="K9" s="15">
        <f>L9+4269+5331+5350+4338+5606+3735+4837+5664+5652+5661</f>
        <v>55629</v>
      </c>
      <c r="L9" s="15">
        <f>2798+2388</f>
        <v>5186</v>
      </c>
      <c r="M9" s="15">
        <f t="shared" si="0"/>
        <v>5186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0.56333333333333324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575</v>
      </c>
      <c r="D10" s="52"/>
      <c r="E10" s="53" t="s">
        <v>576</v>
      </c>
      <c r="F10" s="30" t="s">
        <v>600</v>
      </c>
      <c r="G10" s="33">
        <v>2</v>
      </c>
      <c r="H10" s="35">
        <v>24</v>
      </c>
      <c r="I10" s="7">
        <v>10000</v>
      </c>
      <c r="J10" s="14">
        <v>6060</v>
      </c>
      <c r="K10" s="15">
        <f>L10</f>
        <v>6060</v>
      </c>
      <c r="L10" s="15">
        <f>320*2+2710*2</f>
        <v>6060</v>
      </c>
      <c r="M10" s="15">
        <f t="shared" si="0"/>
        <v>6060</v>
      </c>
      <c r="N10" s="15">
        <v>0</v>
      </c>
      <c r="O10" s="58">
        <f t="shared" si="1"/>
        <v>0</v>
      </c>
      <c r="P10" s="39">
        <f t="shared" si="2"/>
        <v>16</v>
      </c>
      <c r="Q10" s="40">
        <f t="shared" si="3"/>
        <v>8</v>
      </c>
      <c r="R10" s="7"/>
      <c r="S10" s="6">
        <v>8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0.66666666666666663</v>
      </c>
      <c r="AD10" s="10">
        <f t="shared" si="8"/>
        <v>0.66666666666666663</v>
      </c>
      <c r="AE10" s="36">
        <f t="shared" si="6"/>
        <v>0.56333333333333324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121</v>
      </c>
      <c r="E11" s="53" t="s">
        <v>663</v>
      </c>
      <c r="F11" s="30" t="s">
        <v>165</v>
      </c>
      <c r="G11" s="33">
        <v>1</v>
      </c>
      <c r="H11" s="35">
        <v>24</v>
      </c>
      <c r="I11" s="7">
        <v>5000</v>
      </c>
      <c r="J11" s="14">
        <v>4868</v>
      </c>
      <c r="K11" s="15">
        <f>L11</f>
        <v>4868</v>
      </c>
      <c r="L11" s="15">
        <f>2479+2389</f>
        <v>4868</v>
      </c>
      <c r="M11" s="15">
        <f t="shared" si="0"/>
        <v>4868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8"/>
        <v>1</v>
      </c>
      <c r="AE11" s="36">
        <f t="shared" si="6"/>
        <v>0.56333333333333324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80000</v>
      </c>
      <c r="J12" s="5">
        <v>4994</v>
      </c>
      <c r="K12" s="15">
        <f>L12+2299+960+4314+5153+4996+5031+573+5044+5157+4963+4296+5172+5278+5197+4806+5013+5210+5209+5025</f>
        <v>88690</v>
      </c>
      <c r="L12" s="15">
        <f>2491+2503</f>
        <v>4994</v>
      </c>
      <c r="M12" s="15">
        <f t="shared" si="0"/>
        <v>4994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0.56333333333333324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112</v>
      </c>
      <c r="D13" s="52" t="s">
        <v>115</v>
      </c>
      <c r="E13" s="53" t="s">
        <v>187</v>
      </c>
      <c r="F13" s="30" t="s">
        <v>122</v>
      </c>
      <c r="G13" s="33">
        <v>1</v>
      </c>
      <c r="H13" s="35">
        <v>22</v>
      </c>
      <c r="I13" s="7">
        <v>10000</v>
      </c>
      <c r="J13" s="14">
        <v>5374</v>
      </c>
      <c r="K13" s="15">
        <f>L13+5133+5420</f>
        <v>15927</v>
      </c>
      <c r="L13" s="15">
        <f>2691+2683</f>
        <v>5374</v>
      </c>
      <c r="M13" s="15">
        <f t="shared" si="0"/>
        <v>5374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0.56333333333333324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151</v>
      </c>
      <c r="D14" s="52" t="s">
        <v>115</v>
      </c>
      <c r="E14" s="53" t="s">
        <v>626</v>
      </c>
      <c r="F14" s="30" t="s">
        <v>148</v>
      </c>
      <c r="G14" s="33">
        <v>1</v>
      </c>
      <c r="H14" s="35">
        <v>50</v>
      </c>
      <c r="I14" s="7">
        <v>700</v>
      </c>
      <c r="J14" s="5">
        <v>251</v>
      </c>
      <c r="K14" s="15">
        <f>L14+447</f>
        <v>698</v>
      </c>
      <c r="L14" s="15">
        <f>200+51</f>
        <v>251</v>
      </c>
      <c r="M14" s="15">
        <f t="shared" si="0"/>
        <v>251</v>
      </c>
      <c r="N14" s="15">
        <v>0</v>
      </c>
      <c r="O14" s="58">
        <f t="shared" si="1"/>
        <v>0</v>
      </c>
      <c r="P14" s="39">
        <f t="shared" si="2"/>
        <v>5</v>
      </c>
      <c r="Q14" s="40">
        <f t="shared" si="3"/>
        <v>19</v>
      </c>
      <c r="R14" s="7"/>
      <c r="S14" s="6">
        <v>19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0.20833333333333334</v>
      </c>
      <c r="AD14" s="10">
        <f t="shared" si="8"/>
        <v>0.20833333333333334</v>
      </c>
      <c r="AE14" s="36">
        <f t="shared" si="6"/>
        <v>0.56333333333333324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126</v>
      </c>
      <c r="D15" s="52"/>
      <c r="E15" s="53" t="s">
        <v>400</v>
      </c>
      <c r="F15" s="30" t="s">
        <v>411</v>
      </c>
      <c r="G15" s="12">
        <v>4</v>
      </c>
      <c r="H15" s="13">
        <v>24</v>
      </c>
      <c r="I15" s="31">
        <v>200000</v>
      </c>
      <c r="J15" s="14">
        <v>35852</v>
      </c>
      <c r="K15" s="15">
        <f>L15+36796+36616+36728</f>
        <v>145992</v>
      </c>
      <c r="L15" s="15">
        <f>4572*4+4391*4</f>
        <v>35852</v>
      </c>
      <c r="M15" s="15">
        <f t="shared" si="0"/>
        <v>35852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0.56333333333333324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197</v>
      </c>
      <c r="E16" s="53" t="s">
        <v>366</v>
      </c>
      <c r="F16" s="30" t="s">
        <v>123</v>
      </c>
      <c r="G16" s="12">
        <v>2</v>
      </c>
      <c r="H16" s="13">
        <v>22</v>
      </c>
      <c r="I16" s="31">
        <v>260000</v>
      </c>
      <c r="J16" s="5">
        <v>5890</v>
      </c>
      <c r="K16" s="15">
        <f>L16+9350+9873+10572+11420+9694+7670+11372+10884+8431</f>
        <v>95156</v>
      </c>
      <c r="L16" s="15">
        <f>387*2+2558*2</f>
        <v>5890</v>
      </c>
      <c r="M16" s="15">
        <f t="shared" si="0"/>
        <v>5890</v>
      </c>
      <c r="N16" s="15">
        <v>0</v>
      </c>
      <c r="O16" s="58">
        <f t="shared" si="1"/>
        <v>0</v>
      </c>
      <c r="P16" s="39">
        <f t="shared" si="2"/>
        <v>17</v>
      </c>
      <c r="Q16" s="40">
        <f t="shared" si="3"/>
        <v>7</v>
      </c>
      <c r="R16" s="7"/>
      <c r="S16" s="6">
        <v>7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0.70833333333333337</v>
      </c>
      <c r="AD16" s="10">
        <f t="shared" si="8"/>
        <v>0.70833333333333337</v>
      </c>
      <c r="AE16" s="36">
        <f t="shared" si="6"/>
        <v>0.56333333333333324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116</v>
      </c>
      <c r="D17" s="52" t="s">
        <v>137</v>
      </c>
      <c r="E17" s="53" t="s">
        <v>532</v>
      </c>
      <c r="F17" s="30" t="s">
        <v>478</v>
      </c>
      <c r="G17" s="12">
        <v>1</v>
      </c>
      <c r="H17" s="13">
        <v>24</v>
      </c>
      <c r="I17" s="7">
        <v>300</v>
      </c>
      <c r="J17" s="14">
        <v>1191</v>
      </c>
      <c r="K17" s="15">
        <f>L17+1191</f>
        <v>1191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0.56333333333333324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371</v>
      </c>
      <c r="F18" s="30" t="s">
        <v>135</v>
      </c>
      <c r="G18" s="12">
        <v>2</v>
      </c>
      <c r="H18" s="13">
        <v>22</v>
      </c>
      <c r="I18" s="31">
        <v>260000</v>
      </c>
      <c r="J18" s="5">
        <v>9740</v>
      </c>
      <c r="K18" s="15">
        <f>L18+10480+11444+11648+11082+10368+10658+11130+11168+12108</f>
        <v>109826</v>
      </c>
      <c r="L18" s="15">
        <f>2269*2+2601*2</f>
        <v>9740</v>
      </c>
      <c r="M18" s="15">
        <f t="shared" si="0"/>
        <v>9740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0.56333333333333324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116</v>
      </c>
      <c r="D19" s="52" t="s">
        <v>256</v>
      </c>
      <c r="E19" s="53" t="s">
        <v>664</v>
      </c>
      <c r="F19" s="30" t="s">
        <v>148</v>
      </c>
      <c r="G19" s="33">
        <v>1</v>
      </c>
      <c r="H19" s="35">
        <v>24</v>
      </c>
      <c r="I19" s="7">
        <v>200</v>
      </c>
      <c r="J19" s="14">
        <v>1281</v>
      </c>
      <c r="K19" s="15">
        <f>L19</f>
        <v>1281</v>
      </c>
      <c r="L19" s="15">
        <v>1281</v>
      </c>
      <c r="M19" s="15">
        <f t="shared" si="0"/>
        <v>1281</v>
      </c>
      <c r="N19" s="15">
        <v>0</v>
      </c>
      <c r="O19" s="58">
        <f t="shared" si="1"/>
        <v>0</v>
      </c>
      <c r="P19" s="39">
        <f t="shared" si="2"/>
        <v>7</v>
      </c>
      <c r="Q19" s="40">
        <f t="shared" si="3"/>
        <v>17</v>
      </c>
      <c r="R19" s="7"/>
      <c r="S19" s="6"/>
      <c r="T19" s="16"/>
      <c r="U19" s="16"/>
      <c r="V19" s="17"/>
      <c r="W19" s="5">
        <v>17</v>
      </c>
      <c r="X19" s="16"/>
      <c r="Y19" s="16"/>
      <c r="Z19" s="16"/>
      <c r="AA19" s="18"/>
      <c r="AB19" s="8">
        <f t="shared" si="4"/>
        <v>1</v>
      </c>
      <c r="AC19" s="9">
        <f t="shared" si="5"/>
        <v>0.29166666666666669</v>
      </c>
      <c r="AD19" s="10">
        <f t="shared" si="8"/>
        <v>0.29166666666666669</v>
      </c>
      <c r="AE19" s="36">
        <f t="shared" si="6"/>
        <v>0.56333333333333324</v>
      </c>
      <c r="AF19" s="81">
        <f t="shared" si="7"/>
        <v>14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115</v>
      </c>
      <c r="E20" s="53" t="s">
        <v>665</v>
      </c>
      <c r="F20" s="30" t="s">
        <v>122</v>
      </c>
      <c r="G20" s="33">
        <v>1</v>
      </c>
      <c r="H20" s="35">
        <v>24</v>
      </c>
      <c r="I20" s="7">
        <v>300</v>
      </c>
      <c r="J20" s="14">
        <v>568</v>
      </c>
      <c r="K20" s="15">
        <f>L20</f>
        <v>568</v>
      </c>
      <c r="L20" s="15">
        <f>59+509</f>
        <v>568</v>
      </c>
      <c r="M20" s="15">
        <f t="shared" ref="M20" si="9">L20-N20</f>
        <v>568</v>
      </c>
      <c r="N20" s="15">
        <v>0</v>
      </c>
      <c r="O20" s="58">
        <f t="shared" ref="O20" si="10">IF(L20=0,"0",N20/L20)</f>
        <v>0</v>
      </c>
      <c r="P20" s="39">
        <f t="shared" ref="P20" si="11">IF(L20=0,"0",(24-Q20))</f>
        <v>12</v>
      </c>
      <c r="Q20" s="40">
        <f t="shared" ref="Q20" si="12">SUM(R20:AA20)</f>
        <v>12</v>
      </c>
      <c r="R20" s="7"/>
      <c r="S20" s="6">
        <v>10</v>
      </c>
      <c r="T20" s="16"/>
      <c r="U20" s="16"/>
      <c r="V20" s="17"/>
      <c r="W20" s="5">
        <v>2</v>
      </c>
      <c r="X20" s="16"/>
      <c r="Y20" s="16"/>
      <c r="Z20" s="16"/>
      <c r="AA20" s="18"/>
      <c r="AB20" s="8">
        <f t="shared" ref="AB20" si="13">IF(J20=0,"0",(L20/J20))</f>
        <v>1</v>
      </c>
      <c r="AC20" s="9">
        <f t="shared" ref="AC20" si="14">IF(P20=0,"0",(P20/24))</f>
        <v>0.5</v>
      </c>
      <c r="AD20" s="10">
        <f t="shared" ref="AD20" si="15">AC20*AB20*(1-O20)</f>
        <v>0.5</v>
      </c>
      <c r="AE20" s="36">
        <f t="shared" si="6"/>
        <v>0.56333333333333324</v>
      </c>
      <c r="AF20" s="81">
        <f t="shared" ref="AF20" si="16">A20</f>
        <v>14</v>
      </c>
    </row>
    <row r="21" spans="1:32" ht="27" customHeight="1">
      <c r="A21" s="106">
        <v>15</v>
      </c>
      <c r="B21" s="11" t="s">
        <v>57</v>
      </c>
      <c r="C21" s="11" t="s">
        <v>116</v>
      </c>
      <c r="D21" s="52" t="s">
        <v>627</v>
      </c>
      <c r="E21" s="53" t="s">
        <v>628</v>
      </c>
      <c r="F21" s="30" t="s">
        <v>348</v>
      </c>
      <c r="G21" s="33" t="s">
        <v>629</v>
      </c>
      <c r="H21" s="35">
        <v>24</v>
      </c>
      <c r="I21" s="7">
        <v>40000</v>
      </c>
      <c r="J21" s="14">
        <v>3529</v>
      </c>
      <c r="K21" s="15">
        <f>L21+3583</f>
        <v>7112</v>
      </c>
      <c r="L21" s="15">
        <f>1306+2223</f>
        <v>3529</v>
      </c>
      <c r="M21" s="15">
        <f t="shared" si="0"/>
        <v>3529</v>
      </c>
      <c r="N21" s="15">
        <v>0</v>
      </c>
      <c r="O21" s="58">
        <f t="shared" si="1"/>
        <v>0</v>
      </c>
      <c r="P21" s="39">
        <f t="shared" si="2"/>
        <v>19</v>
      </c>
      <c r="Q21" s="40">
        <f t="shared" si="3"/>
        <v>5</v>
      </c>
      <c r="R21" s="7"/>
      <c r="S21" s="6">
        <v>5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0.79166666666666663</v>
      </c>
      <c r="AD21" s="10">
        <f t="shared" si="8"/>
        <v>0.79166666666666663</v>
      </c>
      <c r="AE21" s="36">
        <f t="shared" si="6"/>
        <v>0.56333333333333324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352</v>
      </c>
      <c r="F22" s="12" t="s">
        <v>114</v>
      </c>
      <c r="G22" s="12">
        <v>4</v>
      </c>
      <c r="H22" s="35">
        <v>20</v>
      </c>
      <c r="I22" s="7">
        <v>2000000</v>
      </c>
      <c r="J22" s="14">
        <v>22548</v>
      </c>
      <c r="K22" s="15">
        <f>L22+64424+64620+22548</f>
        <v>151592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>
        <v>24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0.56333333333333324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0.56333333333333324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353</v>
      </c>
      <c r="F24" s="12" t="s">
        <v>180</v>
      </c>
      <c r="G24" s="12">
        <v>4</v>
      </c>
      <c r="H24" s="35">
        <v>15</v>
      </c>
      <c r="I24" s="7">
        <v>20000</v>
      </c>
      <c r="J24" s="14">
        <v>24024</v>
      </c>
      <c r="K24" s="15">
        <f>L24+14040+7084+2888+25304+4864+24024</f>
        <v>78204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0.56333333333333324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0.56333333333333324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30</v>
      </c>
      <c r="H26" s="35">
        <v>20</v>
      </c>
      <c r="I26" s="7">
        <v>2000000</v>
      </c>
      <c r="J26" s="14">
        <v>189476</v>
      </c>
      <c r="K26" s="15">
        <f>L26+322260+481964+478184+484736</f>
        <v>1956620</v>
      </c>
      <c r="L26" s="15">
        <f>6767*28</f>
        <v>189476</v>
      </c>
      <c r="M26" s="15">
        <f t="shared" si="0"/>
        <v>189476</v>
      </c>
      <c r="N26" s="15">
        <v>0</v>
      </c>
      <c r="O26" s="58">
        <f t="shared" si="1"/>
        <v>0</v>
      </c>
      <c r="P26" s="39">
        <f t="shared" si="2"/>
        <v>8</v>
      </c>
      <c r="Q26" s="40">
        <f t="shared" si="3"/>
        <v>16</v>
      </c>
      <c r="R26" s="7"/>
      <c r="S26" s="6"/>
      <c r="T26" s="16"/>
      <c r="U26" s="16"/>
      <c r="V26" s="17"/>
      <c r="W26" s="5">
        <v>16</v>
      </c>
      <c r="X26" s="16"/>
      <c r="Y26" s="16"/>
      <c r="Z26" s="16"/>
      <c r="AA26" s="18"/>
      <c r="AB26" s="8">
        <f t="shared" si="4"/>
        <v>1</v>
      </c>
      <c r="AC26" s="9">
        <f t="shared" si="5"/>
        <v>0.33333333333333331</v>
      </c>
      <c r="AD26" s="10">
        <f t="shared" si="8"/>
        <v>0.33333333333333331</v>
      </c>
      <c r="AE26" s="36">
        <f t="shared" si="6"/>
        <v>0.56333333333333324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115</v>
      </c>
      <c r="E27" s="53" t="s">
        <v>414</v>
      </c>
      <c r="F27" s="12" t="s">
        <v>135</v>
      </c>
      <c r="G27" s="12">
        <v>3</v>
      </c>
      <c r="H27" s="35">
        <v>20</v>
      </c>
      <c r="I27" s="7">
        <v>130000</v>
      </c>
      <c r="J27" s="14">
        <v>15393</v>
      </c>
      <c r="K27" s="15">
        <f>L27+15220+23840+22923+6507+15501+18108+17847+18078</f>
        <v>153417</v>
      </c>
      <c r="L27" s="15">
        <f>3227*3+1904*3</f>
        <v>15393</v>
      </c>
      <c r="M27" s="15">
        <f t="shared" si="0"/>
        <v>15393</v>
      </c>
      <c r="N27" s="15">
        <v>0</v>
      </c>
      <c r="O27" s="58">
        <f t="shared" si="1"/>
        <v>0</v>
      </c>
      <c r="P27" s="39">
        <f t="shared" si="2"/>
        <v>21</v>
      </c>
      <c r="Q27" s="40">
        <f t="shared" si="3"/>
        <v>3</v>
      </c>
      <c r="R27" s="7"/>
      <c r="S27" s="6"/>
      <c r="T27" s="16"/>
      <c r="U27" s="16"/>
      <c r="V27" s="114">
        <v>3</v>
      </c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0.875</v>
      </c>
      <c r="AD27" s="10">
        <f t="shared" si="8"/>
        <v>0.875</v>
      </c>
      <c r="AE27" s="36">
        <f t="shared" si="6"/>
        <v>0.56333333333333324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197</v>
      </c>
      <c r="E28" s="53" t="s">
        <v>415</v>
      </c>
      <c r="F28" s="12" t="s">
        <v>124</v>
      </c>
      <c r="G28" s="12">
        <v>2</v>
      </c>
      <c r="H28" s="35">
        <v>20</v>
      </c>
      <c r="I28" s="7">
        <v>130000</v>
      </c>
      <c r="J28" s="14">
        <v>24332</v>
      </c>
      <c r="K28" s="15">
        <f>L28+15632+12648+1958+21292+27256+2770</f>
        <v>105888</v>
      </c>
      <c r="L28" s="15">
        <f>3814*4+2269*4</f>
        <v>24332</v>
      </c>
      <c r="M28" s="15">
        <f t="shared" si="0"/>
        <v>24332</v>
      </c>
      <c r="N28" s="15">
        <v>0</v>
      </c>
      <c r="O28" s="58">
        <f t="shared" si="1"/>
        <v>0</v>
      </c>
      <c r="P28" s="39">
        <f t="shared" si="2"/>
        <v>21</v>
      </c>
      <c r="Q28" s="40">
        <f t="shared" si="3"/>
        <v>3</v>
      </c>
      <c r="R28" s="7"/>
      <c r="S28" s="6"/>
      <c r="T28" s="16"/>
      <c r="U28" s="16"/>
      <c r="V28" s="114">
        <v>3</v>
      </c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0.875</v>
      </c>
      <c r="AD28" s="10">
        <f t="shared" si="8"/>
        <v>0.875</v>
      </c>
      <c r="AE28" s="36">
        <f t="shared" si="6"/>
        <v>0.56333333333333324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416</v>
      </c>
      <c r="F29" s="12" t="s">
        <v>124</v>
      </c>
      <c r="G29" s="12">
        <v>4</v>
      </c>
      <c r="H29" s="35">
        <v>20</v>
      </c>
      <c r="I29" s="7">
        <v>130000</v>
      </c>
      <c r="J29" s="14">
        <v>26116</v>
      </c>
      <c r="K29" s="15">
        <f>L29+27916+29980+10704+25528+29800+29376+29736</f>
        <v>209156</v>
      </c>
      <c r="L29" s="15">
        <f>4081*4+2448*4</f>
        <v>26116</v>
      </c>
      <c r="M29" s="15">
        <f t="shared" si="0"/>
        <v>26116</v>
      </c>
      <c r="N29" s="15">
        <v>0</v>
      </c>
      <c r="O29" s="58">
        <f t="shared" si="1"/>
        <v>0</v>
      </c>
      <c r="P29" s="39">
        <f t="shared" si="2"/>
        <v>21</v>
      </c>
      <c r="Q29" s="40">
        <f t="shared" si="3"/>
        <v>3</v>
      </c>
      <c r="R29" s="7"/>
      <c r="S29" s="6"/>
      <c r="T29" s="16"/>
      <c r="U29" s="16"/>
      <c r="V29" s="114">
        <v>3</v>
      </c>
      <c r="W29" s="5"/>
      <c r="X29" s="16"/>
      <c r="Y29" s="16"/>
      <c r="Z29" s="16"/>
      <c r="AA29" s="18"/>
      <c r="AB29" s="8">
        <f t="shared" si="4"/>
        <v>1</v>
      </c>
      <c r="AC29" s="9">
        <f t="shared" si="5"/>
        <v>0.875</v>
      </c>
      <c r="AD29" s="10">
        <f t="shared" si="8"/>
        <v>0.875</v>
      </c>
      <c r="AE29" s="36">
        <f t="shared" si="6"/>
        <v>0.56333333333333324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0.56333333333333324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17">SUM(I6:I30)</f>
        <v>6638990</v>
      </c>
      <c r="J31" s="19">
        <f t="shared" si="17"/>
        <v>505529</v>
      </c>
      <c r="K31" s="20">
        <f t="shared" si="17"/>
        <v>3919170</v>
      </c>
      <c r="L31" s="21">
        <f t="shared" si="17"/>
        <v>354613</v>
      </c>
      <c r="M31" s="20">
        <f t="shared" si="17"/>
        <v>354613</v>
      </c>
      <c r="N31" s="21">
        <f t="shared" si="17"/>
        <v>0</v>
      </c>
      <c r="O31" s="41">
        <f t="shared" si="1"/>
        <v>0</v>
      </c>
      <c r="P31" s="42">
        <f t="shared" ref="P31:AA31" si="18">SUM(P6:P30)</f>
        <v>338</v>
      </c>
      <c r="Q31" s="43">
        <f t="shared" si="18"/>
        <v>262</v>
      </c>
      <c r="R31" s="23">
        <f t="shared" si="18"/>
        <v>0</v>
      </c>
      <c r="S31" s="24">
        <f t="shared" si="18"/>
        <v>73</v>
      </c>
      <c r="T31" s="24">
        <f t="shared" si="18"/>
        <v>0</v>
      </c>
      <c r="U31" s="24">
        <f t="shared" si="18"/>
        <v>0</v>
      </c>
      <c r="V31" s="25">
        <f t="shared" si="18"/>
        <v>57</v>
      </c>
      <c r="W31" s="26">
        <f t="shared" si="18"/>
        <v>132</v>
      </c>
      <c r="X31" s="27">
        <f t="shared" si="18"/>
        <v>0</v>
      </c>
      <c r="Y31" s="27">
        <f t="shared" si="18"/>
        <v>0</v>
      </c>
      <c r="Z31" s="27">
        <f t="shared" si="18"/>
        <v>0</v>
      </c>
      <c r="AA31" s="27">
        <f t="shared" si="18"/>
        <v>0</v>
      </c>
      <c r="AB31" s="28">
        <f>AVERAGE(AB6:AB30)</f>
        <v>0.75</v>
      </c>
      <c r="AC31" s="4">
        <f>AVERAGE(AC6:AC30)</f>
        <v>0.56333333333333324</v>
      </c>
      <c r="AD31" s="4">
        <f>AVERAGE(AD6:AD30)</f>
        <v>0.56333333333333324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666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670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267" t="s">
        <v>46</v>
      </c>
      <c r="D60" s="267" t="s">
        <v>47</v>
      </c>
      <c r="E60" s="267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267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112</v>
      </c>
      <c r="B61" s="431"/>
      <c r="C61" s="268" t="s">
        <v>146</v>
      </c>
      <c r="D61" s="268" t="s">
        <v>256</v>
      </c>
      <c r="E61" s="269" t="s">
        <v>662</v>
      </c>
      <c r="F61" s="432" t="s">
        <v>154</v>
      </c>
      <c r="G61" s="433"/>
      <c r="H61" s="433"/>
      <c r="I61" s="433"/>
      <c r="J61" s="433"/>
      <c r="K61" s="433"/>
      <c r="L61" s="433"/>
      <c r="M61" s="434"/>
      <c r="N61" s="141" t="s">
        <v>116</v>
      </c>
      <c r="O61" s="274" t="s">
        <v>142</v>
      </c>
      <c r="P61" s="447" t="s">
        <v>197</v>
      </c>
      <c r="Q61" s="448"/>
      <c r="R61" s="447" t="s">
        <v>280</v>
      </c>
      <c r="S61" s="449"/>
      <c r="T61" s="449"/>
      <c r="U61" s="448"/>
      <c r="V61" s="436" t="s">
        <v>154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575</v>
      </c>
      <c r="B62" s="431"/>
      <c r="C62" s="268" t="s">
        <v>442</v>
      </c>
      <c r="D62" s="268"/>
      <c r="E62" s="269" t="s">
        <v>667</v>
      </c>
      <c r="F62" s="436" t="s">
        <v>141</v>
      </c>
      <c r="G62" s="437"/>
      <c r="H62" s="437"/>
      <c r="I62" s="437"/>
      <c r="J62" s="437"/>
      <c r="K62" s="437"/>
      <c r="L62" s="437"/>
      <c r="M62" s="438"/>
      <c r="N62" s="141" t="s">
        <v>112</v>
      </c>
      <c r="O62" s="274" t="s">
        <v>166</v>
      </c>
      <c r="P62" s="447" t="s">
        <v>296</v>
      </c>
      <c r="Q62" s="448"/>
      <c r="R62" s="447" t="s">
        <v>671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112</v>
      </c>
      <c r="B63" s="431"/>
      <c r="C63" s="268" t="s">
        <v>166</v>
      </c>
      <c r="D63" s="268" t="s">
        <v>121</v>
      </c>
      <c r="E63" s="269" t="s">
        <v>668</v>
      </c>
      <c r="F63" s="432" t="s">
        <v>154</v>
      </c>
      <c r="G63" s="433"/>
      <c r="H63" s="433"/>
      <c r="I63" s="433"/>
      <c r="J63" s="433"/>
      <c r="K63" s="433"/>
      <c r="L63" s="433"/>
      <c r="M63" s="434"/>
      <c r="N63" s="141" t="s">
        <v>151</v>
      </c>
      <c r="O63" s="274" t="s">
        <v>219</v>
      </c>
      <c r="P63" s="447" t="s">
        <v>115</v>
      </c>
      <c r="Q63" s="448"/>
      <c r="R63" s="447" t="s">
        <v>610</v>
      </c>
      <c r="S63" s="449"/>
      <c r="T63" s="449"/>
      <c r="U63" s="448"/>
      <c r="V63" s="436" t="s">
        <v>141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151</v>
      </c>
      <c r="B64" s="431"/>
      <c r="C64" s="268" t="s">
        <v>219</v>
      </c>
      <c r="D64" s="268" t="s">
        <v>115</v>
      </c>
      <c r="E64" s="269" t="s">
        <v>610</v>
      </c>
      <c r="F64" s="432" t="s">
        <v>669</v>
      </c>
      <c r="G64" s="433"/>
      <c r="H64" s="433"/>
      <c r="I64" s="433"/>
      <c r="J64" s="433"/>
      <c r="K64" s="433"/>
      <c r="L64" s="433"/>
      <c r="M64" s="434"/>
      <c r="N64" s="141" t="s">
        <v>116</v>
      </c>
      <c r="O64" s="274" t="s">
        <v>208</v>
      </c>
      <c r="P64" s="447" t="s">
        <v>147</v>
      </c>
      <c r="Q64" s="448"/>
      <c r="R64" s="447" t="s">
        <v>672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126</v>
      </c>
      <c r="B65" s="431"/>
      <c r="C65" s="268" t="s">
        <v>191</v>
      </c>
      <c r="D65" s="268" t="s">
        <v>627</v>
      </c>
      <c r="E65" s="269" t="s">
        <v>637</v>
      </c>
      <c r="F65" s="436" t="s">
        <v>141</v>
      </c>
      <c r="G65" s="437"/>
      <c r="H65" s="437"/>
      <c r="I65" s="437"/>
      <c r="J65" s="437"/>
      <c r="K65" s="437"/>
      <c r="L65" s="437"/>
      <c r="M65" s="438"/>
      <c r="N65" s="141"/>
      <c r="O65" s="274"/>
      <c r="P65" s="447"/>
      <c r="Q65" s="448"/>
      <c r="R65" s="447"/>
      <c r="S65" s="449"/>
      <c r="T65" s="449"/>
      <c r="U65" s="448"/>
      <c r="V65" s="436"/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641</v>
      </c>
      <c r="B66" s="431"/>
      <c r="C66" s="268" t="s">
        <v>642</v>
      </c>
      <c r="D66" s="268" t="s">
        <v>197</v>
      </c>
      <c r="E66" s="269" t="s">
        <v>639</v>
      </c>
      <c r="F66" s="436" t="s">
        <v>141</v>
      </c>
      <c r="G66" s="437"/>
      <c r="H66" s="437"/>
      <c r="I66" s="437"/>
      <c r="J66" s="437"/>
      <c r="K66" s="437"/>
      <c r="L66" s="437"/>
      <c r="M66" s="438"/>
      <c r="N66" s="141"/>
      <c r="O66" s="274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641</v>
      </c>
      <c r="B67" s="431"/>
      <c r="C67" s="268" t="s">
        <v>208</v>
      </c>
      <c r="D67" s="268" t="s">
        <v>256</v>
      </c>
      <c r="E67" s="269" t="s">
        <v>664</v>
      </c>
      <c r="F67" s="432" t="s">
        <v>154</v>
      </c>
      <c r="G67" s="433"/>
      <c r="H67" s="433"/>
      <c r="I67" s="433"/>
      <c r="J67" s="433"/>
      <c r="K67" s="433"/>
      <c r="L67" s="433"/>
      <c r="M67" s="434"/>
      <c r="N67" s="141"/>
      <c r="O67" s="274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112</v>
      </c>
      <c r="B68" s="431"/>
      <c r="C68" s="268" t="s">
        <v>208</v>
      </c>
      <c r="D68" s="268" t="s">
        <v>115</v>
      </c>
      <c r="E68" s="269" t="s">
        <v>665</v>
      </c>
      <c r="F68" s="432" t="s">
        <v>200</v>
      </c>
      <c r="G68" s="433"/>
      <c r="H68" s="433"/>
      <c r="I68" s="433"/>
      <c r="J68" s="433"/>
      <c r="K68" s="433"/>
      <c r="L68" s="433"/>
      <c r="M68" s="434"/>
      <c r="N68" s="141"/>
      <c r="O68" s="274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/>
      <c r="B69" s="431"/>
      <c r="C69" s="268"/>
      <c r="D69" s="268"/>
      <c r="E69" s="269"/>
      <c r="F69" s="432"/>
      <c r="G69" s="433"/>
      <c r="H69" s="433"/>
      <c r="I69" s="433"/>
      <c r="J69" s="433"/>
      <c r="K69" s="433"/>
      <c r="L69" s="433"/>
      <c r="M69" s="434"/>
      <c r="N69" s="141"/>
      <c r="O69" s="274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270"/>
      <c r="D70" s="271"/>
      <c r="E70" s="270"/>
      <c r="F70" s="490"/>
      <c r="G70" s="491"/>
      <c r="H70" s="491"/>
      <c r="I70" s="491"/>
      <c r="J70" s="491"/>
      <c r="K70" s="491"/>
      <c r="L70" s="491"/>
      <c r="M70" s="492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673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272" t="s">
        <v>2</v>
      </c>
      <c r="D72" s="272" t="s">
        <v>37</v>
      </c>
      <c r="E72" s="272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272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652</v>
      </c>
      <c r="D73" s="276"/>
      <c r="E73" s="273" t="s">
        <v>653</v>
      </c>
      <c r="F73" s="416" t="s">
        <v>651</v>
      </c>
      <c r="G73" s="406"/>
      <c r="H73" s="406"/>
      <c r="I73" s="406"/>
      <c r="J73" s="406"/>
      <c r="K73" s="406" t="s">
        <v>676</v>
      </c>
      <c r="L73" s="406"/>
      <c r="M73" s="51" t="s">
        <v>655</v>
      </c>
      <c r="N73" s="417" t="s">
        <v>656</v>
      </c>
      <c r="O73" s="417"/>
      <c r="P73" s="418">
        <v>50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/>
      <c r="D74" s="276"/>
      <c r="E74" s="273"/>
      <c r="F74" s="420"/>
      <c r="G74" s="421"/>
      <c r="H74" s="421"/>
      <c r="I74" s="421"/>
      <c r="J74" s="422"/>
      <c r="K74" s="406"/>
      <c r="L74" s="406"/>
      <c r="M74" s="51"/>
      <c r="N74" s="417"/>
      <c r="O74" s="417"/>
      <c r="P74" s="418"/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/>
      <c r="D75" s="276"/>
      <c r="E75" s="273"/>
      <c r="F75" s="416"/>
      <c r="G75" s="406"/>
      <c r="H75" s="406"/>
      <c r="I75" s="406"/>
      <c r="J75" s="406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/>
      <c r="D76" s="276"/>
      <c r="E76" s="273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/>
      <c r="D77" s="276"/>
      <c r="E77" s="273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276"/>
      <c r="E78" s="273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276"/>
      <c r="E79" s="273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276"/>
      <c r="E80" s="273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276"/>
      <c r="E81" s="273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276"/>
      <c r="E82" s="273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674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275" t="s">
        <v>2</v>
      </c>
      <c r="D84" s="275" t="s">
        <v>37</v>
      </c>
      <c r="E84" s="275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277"/>
      <c r="D85" s="277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276"/>
      <c r="D86" s="276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9">A86+1</f>
        <v>3</v>
      </c>
      <c r="B87" s="374"/>
      <c r="C87" s="276"/>
      <c r="D87" s="276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9"/>
        <v>4</v>
      </c>
      <c r="B88" s="374"/>
      <c r="C88" s="276"/>
      <c r="D88" s="276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5</v>
      </c>
      <c r="B89" s="374"/>
      <c r="C89" s="276"/>
      <c r="D89" s="276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6</v>
      </c>
      <c r="B90" s="374"/>
      <c r="C90" s="276"/>
      <c r="D90" s="276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7</v>
      </c>
      <c r="B91" s="374"/>
      <c r="C91" s="276"/>
      <c r="D91" s="276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675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B450-120C-4D6C-8F99-770E38F74244}">
  <sheetPr codeName="Sheet16">
    <pageSetUpPr fitToPage="1"/>
  </sheetPr>
  <dimension ref="A1:AF96"/>
  <sheetViews>
    <sheetView view="pageBreakPreview" zoomScale="70" zoomScaleNormal="72" zoomScaleSheetLayoutView="70" workbookViewId="0">
      <selection activeCell="R78" sqref="R78:AA7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8.7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677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289" t="s">
        <v>17</v>
      </c>
      <c r="L5" s="289" t="s">
        <v>18</v>
      </c>
      <c r="M5" s="289" t="s">
        <v>19</v>
      </c>
      <c r="N5" s="28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197</v>
      </c>
      <c r="E6" s="53" t="s">
        <v>397</v>
      </c>
      <c r="F6" s="30" t="s">
        <v>150</v>
      </c>
      <c r="G6" s="12">
        <v>2</v>
      </c>
      <c r="H6" s="13">
        <v>24</v>
      </c>
      <c r="I6" s="31">
        <v>30000</v>
      </c>
      <c r="J6" s="14">
        <v>10332</v>
      </c>
      <c r="K6" s="15">
        <f>L6+7048+10576</f>
        <v>27956</v>
      </c>
      <c r="L6" s="15">
        <f>2411*2+2755*2</f>
        <v>10332</v>
      </c>
      <c r="M6" s="15">
        <f t="shared" ref="M6:M30" si="0">L6-N6</f>
        <v>10332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24</v>
      </c>
      <c r="Q6" s="40">
        <f t="shared" ref="Q6:Q30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1</v>
      </c>
      <c r="AD6" s="10">
        <f>AC6*AB6*(1-O6)</f>
        <v>1</v>
      </c>
      <c r="AE6" s="36">
        <f t="shared" ref="AE6:AE30" si="6">$AD$31</f>
        <v>0.41499999999999998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224</v>
      </c>
      <c r="E7" s="53" t="s">
        <v>678</v>
      </c>
      <c r="F7" s="30" t="s">
        <v>138</v>
      </c>
      <c r="G7" s="12">
        <v>1</v>
      </c>
      <c r="H7" s="13">
        <v>24</v>
      </c>
      <c r="I7" s="31">
        <v>1000</v>
      </c>
      <c r="J7" s="14">
        <v>1525</v>
      </c>
      <c r="K7" s="15">
        <f>L7</f>
        <v>0</v>
      </c>
      <c r="L7" s="15">
        <v>0</v>
      </c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>
        <v>24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ref="AD7:AD30" si="8">AC7*AB7*(1-O7)</f>
        <v>0</v>
      </c>
      <c r="AE7" s="36">
        <f t="shared" si="6"/>
        <v>0.41499999999999998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334</v>
      </c>
      <c r="D8" s="52"/>
      <c r="E8" s="53" t="s">
        <v>335</v>
      </c>
      <c r="F8" s="30" t="s">
        <v>167</v>
      </c>
      <c r="G8" s="12">
        <v>1</v>
      </c>
      <c r="H8" s="13">
        <v>24</v>
      </c>
      <c r="I8" s="31">
        <v>600</v>
      </c>
      <c r="J8" s="5">
        <v>600</v>
      </c>
      <c r="K8" s="15">
        <f>L8</f>
        <v>600</v>
      </c>
      <c r="L8" s="15">
        <v>600</v>
      </c>
      <c r="M8" s="15">
        <f t="shared" si="0"/>
        <v>600</v>
      </c>
      <c r="N8" s="15">
        <v>0</v>
      </c>
      <c r="O8" s="58">
        <f t="shared" si="1"/>
        <v>0</v>
      </c>
      <c r="P8" s="39">
        <f t="shared" si="2"/>
        <v>4</v>
      </c>
      <c r="Q8" s="40">
        <f t="shared" si="3"/>
        <v>20</v>
      </c>
      <c r="R8" s="7"/>
      <c r="S8" s="6"/>
      <c r="T8" s="16"/>
      <c r="U8" s="16"/>
      <c r="V8" s="17"/>
      <c r="W8" s="5">
        <v>20</v>
      </c>
      <c r="X8" s="16"/>
      <c r="Y8" s="16"/>
      <c r="Z8" s="16"/>
      <c r="AA8" s="18"/>
      <c r="AB8" s="8">
        <f t="shared" si="4"/>
        <v>1</v>
      </c>
      <c r="AC8" s="9">
        <f t="shared" si="5"/>
        <v>0.16666666666666666</v>
      </c>
      <c r="AD8" s="10">
        <f t="shared" si="8"/>
        <v>0.16666666666666666</v>
      </c>
      <c r="AE8" s="36">
        <f t="shared" si="6"/>
        <v>0.41499999999999998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280</v>
      </c>
      <c r="F9" s="30" t="s">
        <v>306</v>
      </c>
      <c r="G9" s="12">
        <v>1</v>
      </c>
      <c r="H9" s="13">
        <v>24</v>
      </c>
      <c r="I9" s="7">
        <v>9000</v>
      </c>
      <c r="J9" s="14">
        <v>5186</v>
      </c>
      <c r="K9" s="15">
        <f>L9</f>
        <v>0</v>
      </c>
      <c r="L9" s="15">
        <f>0</f>
        <v>0</v>
      </c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>
        <v>24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8"/>
        <v>0</v>
      </c>
      <c r="AE9" s="36">
        <f t="shared" si="6"/>
        <v>0.41499999999999998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575</v>
      </c>
      <c r="D10" s="52"/>
      <c r="E10" s="53" t="s">
        <v>576</v>
      </c>
      <c r="F10" s="30" t="s">
        <v>600</v>
      </c>
      <c r="G10" s="33">
        <v>2</v>
      </c>
      <c r="H10" s="35">
        <v>24</v>
      </c>
      <c r="I10" s="7">
        <v>10000</v>
      </c>
      <c r="J10" s="14">
        <v>10334</v>
      </c>
      <c r="K10" s="15">
        <f>L10+6060</f>
        <v>16394</v>
      </c>
      <c r="L10" s="15">
        <f>2790*2+2377*2</f>
        <v>10334</v>
      </c>
      <c r="M10" s="15">
        <f t="shared" si="0"/>
        <v>10334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0.41499999999999998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296</v>
      </c>
      <c r="E11" s="53" t="s">
        <v>671</v>
      </c>
      <c r="F11" s="30" t="s">
        <v>165</v>
      </c>
      <c r="G11" s="33">
        <v>2</v>
      </c>
      <c r="H11" s="35">
        <v>24</v>
      </c>
      <c r="I11" s="7">
        <v>10000</v>
      </c>
      <c r="J11" s="14">
        <v>10628</v>
      </c>
      <c r="K11" s="15">
        <f>L11</f>
        <v>10628</v>
      </c>
      <c r="L11" s="15">
        <f>2432*2+2882*2</f>
        <v>10628</v>
      </c>
      <c r="M11" s="15">
        <f t="shared" si="0"/>
        <v>10628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8"/>
        <v>1</v>
      </c>
      <c r="AE11" s="36">
        <f t="shared" si="6"/>
        <v>0.41499999999999998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80000</v>
      </c>
      <c r="J12" s="5">
        <v>4596</v>
      </c>
      <c r="K12" s="15">
        <f>L12+2299+960+4314+5153+4996+5031+573+5044+5157+4963+4296+5172+5278+5197+4806+5013+5210+5209+5025+4994</f>
        <v>93286</v>
      </c>
      <c r="L12" s="15">
        <f>2334+2262</f>
        <v>4596</v>
      </c>
      <c r="M12" s="15">
        <f t="shared" si="0"/>
        <v>4596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0.41499999999999998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112</v>
      </c>
      <c r="D13" s="52" t="s">
        <v>296</v>
      </c>
      <c r="E13" s="53" t="s">
        <v>286</v>
      </c>
      <c r="F13" s="30" t="s">
        <v>165</v>
      </c>
      <c r="G13" s="33">
        <v>2</v>
      </c>
      <c r="H13" s="35">
        <v>22</v>
      </c>
      <c r="I13" s="7">
        <v>2000</v>
      </c>
      <c r="J13" s="14">
        <v>2600</v>
      </c>
      <c r="K13" s="15">
        <f>L13</f>
        <v>2600</v>
      </c>
      <c r="L13" s="15">
        <f>1300*2</f>
        <v>2600</v>
      </c>
      <c r="M13" s="15">
        <f t="shared" si="0"/>
        <v>2600</v>
      </c>
      <c r="N13" s="15">
        <v>0</v>
      </c>
      <c r="O13" s="58">
        <f t="shared" si="1"/>
        <v>0</v>
      </c>
      <c r="P13" s="39">
        <f t="shared" si="2"/>
        <v>8</v>
      </c>
      <c r="Q13" s="40">
        <f t="shared" si="3"/>
        <v>16</v>
      </c>
      <c r="R13" s="7"/>
      <c r="S13" s="6"/>
      <c r="T13" s="16"/>
      <c r="U13" s="16"/>
      <c r="V13" s="17"/>
      <c r="W13" s="5">
        <v>16</v>
      </c>
      <c r="X13" s="16"/>
      <c r="Y13" s="16"/>
      <c r="Z13" s="16"/>
      <c r="AA13" s="18"/>
      <c r="AB13" s="8">
        <f t="shared" si="4"/>
        <v>1</v>
      </c>
      <c r="AC13" s="9">
        <f t="shared" si="5"/>
        <v>0.33333333333333331</v>
      </c>
      <c r="AD13" s="10">
        <f t="shared" si="8"/>
        <v>0.33333333333333331</v>
      </c>
      <c r="AE13" s="36">
        <f t="shared" si="6"/>
        <v>0.41499999999999998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151</v>
      </c>
      <c r="D14" s="52" t="s">
        <v>115</v>
      </c>
      <c r="E14" s="53" t="s">
        <v>610</v>
      </c>
      <c r="F14" s="30" t="s">
        <v>148</v>
      </c>
      <c r="G14" s="33">
        <v>1</v>
      </c>
      <c r="H14" s="35">
        <v>50</v>
      </c>
      <c r="I14" s="7">
        <v>700</v>
      </c>
      <c r="J14" s="5">
        <v>251</v>
      </c>
      <c r="K14" s="15">
        <f>L14+447+251</f>
        <v>698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0.41499999999999998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126</v>
      </c>
      <c r="D15" s="52"/>
      <c r="E15" s="53" t="s">
        <v>400</v>
      </c>
      <c r="F15" s="30" t="s">
        <v>411</v>
      </c>
      <c r="G15" s="12">
        <v>4</v>
      </c>
      <c r="H15" s="13">
        <v>24</v>
      </c>
      <c r="I15" s="31">
        <v>200000</v>
      </c>
      <c r="J15" s="14">
        <v>38696</v>
      </c>
      <c r="K15" s="15">
        <f>L15+36796+36616+36728+35852</f>
        <v>184688</v>
      </c>
      <c r="L15" s="15">
        <f>5275*4+4399*4</f>
        <v>38696</v>
      </c>
      <c r="M15" s="15">
        <f t="shared" si="0"/>
        <v>38696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0.41499999999999998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197</v>
      </c>
      <c r="E16" s="53" t="s">
        <v>366</v>
      </c>
      <c r="F16" s="30" t="s">
        <v>123</v>
      </c>
      <c r="G16" s="12">
        <v>2</v>
      </c>
      <c r="H16" s="13">
        <v>22</v>
      </c>
      <c r="I16" s="31">
        <v>260000</v>
      </c>
      <c r="J16" s="5">
        <v>10900</v>
      </c>
      <c r="K16" s="15">
        <f>L16+9350+9873+10572+11420+9694+7670+11372+10884+8431+5890</f>
        <v>106056</v>
      </c>
      <c r="L16" s="15">
        <f>2864*2+2586*2</f>
        <v>10900</v>
      </c>
      <c r="M16" s="15">
        <f t="shared" si="0"/>
        <v>10900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0.41499999999999998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334</v>
      </c>
      <c r="D17" s="52"/>
      <c r="E17" s="53" t="s">
        <v>331</v>
      </c>
      <c r="F17" s="30" t="s">
        <v>183</v>
      </c>
      <c r="G17" s="12">
        <v>1</v>
      </c>
      <c r="H17" s="13">
        <v>24</v>
      </c>
      <c r="I17" s="7">
        <v>600</v>
      </c>
      <c r="J17" s="14">
        <v>600</v>
      </c>
      <c r="K17" s="15">
        <f>L17</f>
        <v>600</v>
      </c>
      <c r="L17" s="15">
        <v>600</v>
      </c>
      <c r="M17" s="15">
        <f t="shared" si="0"/>
        <v>600</v>
      </c>
      <c r="N17" s="15">
        <v>0</v>
      </c>
      <c r="O17" s="58">
        <f t="shared" si="1"/>
        <v>0</v>
      </c>
      <c r="P17" s="39">
        <f t="shared" si="2"/>
        <v>4</v>
      </c>
      <c r="Q17" s="40">
        <f t="shared" si="3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4"/>
        <v>1</v>
      </c>
      <c r="AC17" s="9">
        <f t="shared" si="5"/>
        <v>0.16666666666666666</v>
      </c>
      <c r="AD17" s="10">
        <f t="shared" si="8"/>
        <v>0.16666666666666666</v>
      </c>
      <c r="AE17" s="36">
        <f t="shared" si="6"/>
        <v>0.41499999999999998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371</v>
      </c>
      <c r="F18" s="30" t="s">
        <v>135</v>
      </c>
      <c r="G18" s="12">
        <v>2</v>
      </c>
      <c r="H18" s="13">
        <v>22</v>
      </c>
      <c r="I18" s="31">
        <v>260000</v>
      </c>
      <c r="J18" s="5">
        <v>10720</v>
      </c>
      <c r="K18" s="15">
        <f>L18+10480+11444+11648+11082+10368+10658+11130+11168+12108+9740</f>
        <v>120546</v>
      </c>
      <c r="L18" s="15">
        <f>2512*2+2848*2</f>
        <v>10720</v>
      </c>
      <c r="M18" s="15">
        <f t="shared" si="0"/>
        <v>10720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0.41499999999999998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116</v>
      </c>
      <c r="D19" s="52" t="s">
        <v>256</v>
      </c>
      <c r="E19" s="53" t="s">
        <v>672</v>
      </c>
      <c r="F19" s="30" t="s">
        <v>123</v>
      </c>
      <c r="G19" s="33">
        <v>1</v>
      </c>
      <c r="H19" s="35">
        <v>24</v>
      </c>
      <c r="I19" s="7">
        <v>200</v>
      </c>
      <c r="J19" s="14">
        <v>1244</v>
      </c>
      <c r="K19" s="15">
        <f>L19</f>
        <v>1244</v>
      </c>
      <c r="L19" s="15">
        <v>1244</v>
      </c>
      <c r="M19" s="15">
        <f t="shared" si="0"/>
        <v>1244</v>
      </c>
      <c r="N19" s="15">
        <v>0</v>
      </c>
      <c r="O19" s="58">
        <f t="shared" si="1"/>
        <v>0</v>
      </c>
      <c r="P19" s="39">
        <f t="shared" si="2"/>
        <v>7</v>
      </c>
      <c r="Q19" s="40">
        <f t="shared" si="3"/>
        <v>17</v>
      </c>
      <c r="R19" s="7"/>
      <c r="S19" s="6"/>
      <c r="T19" s="16"/>
      <c r="U19" s="16"/>
      <c r="V19" s="17"/>
      <c r="W19" s="5">
        <v>17</v>
      </c>
      <c r="X19" s="16"/>
      <c r="Y19" s="16"/>
      <c r="Z19" s="16"/>
      <c r="AA19" s="18"/>
      <c r="AB19" s="8">
        <f t="shared" si="4"/>
        <v>1</v>
      </c>
      <c r="AC19" s="9">
        <f t="shared" si="5"/>
        <v>0.29166666666666669</v>
      </c>
      <c r="AD19" s="10">
        <f t="shared" si="8"/>
        <v>0.29166666666666669</v>
      </c>
      <c r="AE19" s="36">
        <f t="shared" si="6"/>
        <v>0.41499999999999998</v>
      </c>
      <c r="AF19" s="81">
        <f t="shared" si="7"/>
        <v>14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115</v>
      </c>
      <c r="E20" s="53" t="s">
        <v>679</v>
      </c>
      <c r="F20" s="30" t="s">
        <v>122</v>
      </c>
      <c r="G20" s="33">
        <v>1</v>
      </c>
      <c r="H20" s="35">
        <v>24</v>
      </c>
      <c r="I20" s="7">
        <v>500</v>
      </c>
      <c r="J20" s="14">
        <v>594</v>
      </c>
      <c r="K20" s="15">
        <f>L20</f>
        <v>594</v>
      </c>
      <c r="L20" s="15">
        <f>189+405</f>
        <v>594</v>
      </c>
      <c r="M20" s="15">
        <f t="shared" si="0"/>
        <v>594</v>
      </c>
      <c r="N20" s="15">
        <v>0</v>
      </c>
      <c r="O20" s="58">
        <f t="shared" si="1"/>
        <v>0</v>
      </c>
      <c r="P20" s="39">
        <f t="shared" si="2"/>
        <v>13</v>
      </c>
      <c r="Q20" s="40">
        <f t="shared" si="3"/>
        <v>11</v>
      </c>
      <c r="R20" s="7"/>
      <c r="S20" s="6"/>
      <c r="T20" s="16">
        <v>8</v>
      </c>
      <c r="U20" s="16"/>
      <c r="V20" s="17"/>
      <c r="W20" s="5">
        <v>3</v>
      </c>
      <c r="X20" s="16"/>
      <c r="Y20" s="16"/>
      <c r="Z20" s="16"/>
      <c r="AA20" s="18"/>
      <c r="AB20" s="8">
        <f t="shared" si="4"/>
        <v>1</v>
      </c>
      <c r="AC20" s="9">
        <f t="shared" si="5"/>
        <v>0.54166666666666663</v>
      </c>
      <c r="AD20" s="10">
        <f t="shared" si="8"/>
        <v>0.54166666666666663</v>
      </c>
      <c r="AE20" s="36">
        <f t="shared" si="6"/>
        <v>0.41499999999999998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116</v>
      </c>
      <c r="D21" s="52" t="s">
        <v>627</v>
      </c>
      <c r="E21" s="53" t="s">
        <v>628</v>
      </c>
      <c r="F21" s="30" t="s">
        <v>348</v>
      </c>
      <c r="G21" s="33" t="s">
        <v>170</v>
      </c>
      <c r="H21" s="35">
        <v>24</v>
      </c>
      <c r="I21" s="7">
        <v>40000</v>
      </c>
      <c r="J21" s="14">
        <v>4577</v>
      </c>
      <c r="K21" s="15">
        <f>L21+3583+3529</f>
        <v>11689</v>
      </c>
      <c r="L21" s="15">
        <f>2426+2151</f>
        <v>4577</v>
      </c>
      <c r="M21" s="15">
        <f t="shared" si="0"/>
        <v>4577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0.41499999999999998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352</v>
      </c>
      <c r="F22" s="12" t="s">
        <v>114</v>
      </c>
      <c r="G22" s="12">
        <v>4</v>
      </c>
      <c r="H22" s="35">
        <v>20</v>
      </c>
      <c r="I22" s="7">
        <v>2000000</v>
      </c>
      <c r="J22" s="14">
        <v>54104</v>
      </c>
      <c r="K22" s="15">
        <f>L22+64424+64620+22548</f>
        <v>205696</v>
      </c>
      <c r="L22" s="15">
        <f>8176*4+5350*4</f>
        <v>54104</v>
      </c>
      <c r="M22" s="15">
        <f t="shared" si="0"/>
        <v>54104</v>
      </c>
      <c r="N22" s="15">
        <v>0</v>
      </c>
      <c r="O22" s="58">
        <f t="shared" si="1"/>
        <v>0</v>
      </c>
      <c r="P22" s="39">
        <f t="shared" si="2"/>
        <v>21</v>
      </c>
      <c r="Q22" s="40">
        <f t="shared" si="3"/>
        <v>3</v>
      </c>
      <c r="R22" s="7"/>
      <c r="S22" s="6">
        <v>3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0.875</v>
      </c>
      <c r="AD22" s="10">
        <f t="shared" si="8"/>
        <v>0.875</v>
      </c>
      <c r="AE22" s="36">
        <f t="shared" si="6"/>
        <v>0.41499999999999998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0.41499999999999998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353</v>
      </c>
      <c r="F24" s="12" t="s">
        <v>180</v>
      </c>
      <c r="G24" s="12">
        <v>4</v>
      </c>
      <c r="H24" s="35">
        <v>15</v>
      </c>
      <c r="I24" s="7">
        <v>20000</v>
      </c>
      <c r="J24" s="14">
        <v>24024</v>
      </c>
      <c r="K24" s="15">
        <f>L24+14040+7084+2888+25304+4864+24024</f>
        <v>78204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/>
      <c r="X24" s="16"/>
      <c r="Y24" s="16"/>
      <c r="Z24" s="16"/>
      <c r="AA24" s="18">
        <v>24</v>
      </c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0.41499999999999998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0.41499999999999998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30</v>
      </c>
      <c r="H26" s="35">
        <v>20</v>
      </c>
      <c r="I26" s="7">
        <v>2000000</v>
      </c>
      <c r="J26" s="14">
        <v>189476</v>
      </c>
      <c r="K26" s="15">
        <f>L26+322260+481964+478184+484736+189476</f>
        <v>1956620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16</v>
      </c>
      <c r="R26" s="7"/>
      <c r="S26" s="6"/>
      <c r="T26" s="16"/>
      <c r="U26" s="16"/>
      <c r="V26" s="17"/>
      <c r="W26" s="5">
        <v>16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0.41499999999999998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115</v>
      </c>
      <c r="E27" s="53" t="s">
        <v>414</v>
      </c>
      <c r="F27" s="12" t="s">
        <v>135</v>
      </c>
      <c r="G27" s="12">
        <v>3</v>
      </c>
      <c r="H27" s="35">
        <v>20</v>
      </c>
      <c r="I27" s="7">
        <v>130000</v>
      </c>
      <c r="J27" s="14">
        <v>15393</v>
      </c>
      <c r="K27" s="15">
        <f>L27+15220+23840+22923+6507+15501+18108+17847+18078+15393</f>
        <v>153417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3</v>
      </c>
      <c r="R27" s="7"/>
      <c r="S27" s="6"/>
      <c r="T27" s="16"/>
      <c r="U27" s="16"/>
      <c r="V27" s="114">
        <v>3</v>
      </c>
      <c r="W27" s="5"/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0.41499999999999998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197</v>
      </c>
      <c r="E28" s="53" t="s">
        <v>415</v>
      </c>
      <c r="F28" s="12" t="s">
        <v>124</v>
      </c>
      <c r="G28" s="12">
        <v>4</v>
      </c>
      <c r="H28" s="35">
        <v>20</v>
      </c>
      <c r="I28" s="7">
        <v>130000</v>
      </c>
      <c r="J28" s="14">
        <v>24332</v>
      </c>
      <c r="K28" s="15">
        <f>L28+15632+12648+1958+21292+27256+2770+24332</f>
        <v>105888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3</v>
      </c>
      <c r="R28" s="7"/>
      <c r="S28" s="6"/>
      <c r="T28" s="16"/>
      <c r="U28" s="16"/>
      <c r="V28" s="114">
        <v>3</v>
      </c>
      <c r="W28" s="5"/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0.41499999999999998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416</v>
      </c>
      <c r="F29" s="12" t="s">
        <v>124</v>
      </c>
      <c r="G29" s="12">
        <v>4</v>
      </c>
      <c r="H29" s="35">
        <v>20</v>
      </c>
      <c r="I29" s="7">
        <v>130000</v>
      </c>
      <c r="J29" s="14">
        <v>26116</v>
      </c>
      <c r="K29" s="15">
        <f>L29+27916+29980+10704+25528+29800+29376+29736+26116</f>
        <v>209156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3</v>
      </c>
      <c r="R29" s="7"/>
      <c r="S29" s="6"/>
      <c r="T29" s="16"/>
      <c r="U29" s="16"/>
      <c r="V29" s="114">
        <v>3</v>
      </c>
      <c r="W29" s="5"/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0.41499999999999998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0.41499999999999998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9">SUM(I6:I30)</f>
        <v>6384600</v>
      </c>
      <c r="J31" s="19">
        <f t="shared" si="9"/>
        <v>548456</v>
      </c>
      <c r="K31" s="20">
        <f t="shared" si="9"/>
        <v>3995104</v>
      </c>
      <c r="L31" s="21">
        <f t="shared" si="9"/>
        <v>160525</v>
      </c>
      <c r="M31" s="20">
        <f t="shared" si="9"/>
        <v>160525</v>
      </c>
      <c r="N31" s="21">
        <f t="shared" si="9"/>
        <v>0</v>
      </c>
      <c r="O31" s="41">
        <f t="shared" si="1"/>
        <v>0</v>
      </c>
      <c r="P31" s="42">
        <f t="shared" ref="P31:AA31" si="10">SUM(P6:P30)</f>
        <v>249</v>
      </c>
      <c r="Q31" s="43">
        <f t="shared" si="10"/>
        <v>280</v>
      </c>
      <c r="R31" s="23">
        <f t="shared" si="10"/>
        <v>0</v>
      </c>
      <c r="S31" s="24">
        <f t="shared" si="10"/>
        <v>75</v>
      </c>
      <c r="T31" s="24">
        <f t="shared" si="10"/>
        <v>8</v>
      </c>
      <c r="U31" s="24">
        <f t="shared" si="10"/>
        <v>0</v>
      </c>
      <c r="V31" s="25">
        <f t="shared" si="10"/>
        <v>57</v>
      </c>
      <c r="W31" s="26">
        <f t="shared" si="10"/>
        <v>116</v>
      </c>
      <c r="X31" s="27">
        <f t="shared" si="10"/>
        <v>0</v>
      </c>
      <c r="Y31" s="27">
        <f t="shared" si="10"/>
        <v>0</v>
      </c>
      <c r="Z31" s="27">
        <f t="shared" si="10"/>
        <v>0</v>
      </c>
      <c r="AA31" s="27">
        <f t="shared" si="10"/>
        <v>24</v>
      </c>
      <c r="AB31" s="28">
        <f>AVERAGE(AB6:AB30)</f>
        <v>0.58333333333333337</v>
      </c>
      <c r="AC31" s="4">
        <f>AVERAGE(AC6:AC30)</f>
        <v>0.41499999999999998</v>
      </c>
      <c r="AD31" s="4">
        <f>AVERAGE(AD6:AD30)</f>
        <v>0.41499999999999998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680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690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288" t="s">
        <v>46</v>
      </c>
      <c r="D60" s="288" t="s">
        <v>47</v>
      </c>
      <c r="E60" s="288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288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334</v>
      </c>
      <c r="B61" s="431"/>
      <c r="C61" s="284" t="s">
        <v>146</v>
      </c>
      <c r="D61" s="284"/>
      <c r="E61" s="285" t="s">
        <v>335</v>
      </c>
      <c r="F61" s="432" t="s">
        <v>685</v>
      </c>
      <c r="G61" s="433"/>
      <c r="H61" s="433"/>
      <c r="I61" s="433"/>
      <c r="J61" s="433"/>
      <c r="K61" s="433"/>
      <c r="L61" s="433"/>
      <c r="M61" s="434"/>
      <c r="N61" s="141" t="s">
        <v>116</v>
      </c>
      <c r="O61" s="282" t="s">
        <v>142</v>
      </c>
      <c r="P61" s="447" t="s">
        <v>197</v>
      </c>
      <c r="Q61" s="448"/>
      <c r="R61" s="447" t="s">
        <v>280</v>
      </c>
      <c r="S61" s="449"/>
      <c r="T61" s="449"/>
      <c r="U61" s="448"/>
      <c r="V61" s="436" t="s">
        <v>141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116</v>
      </c>
      <c r="B62" s="431"/>
      <c r="C62" s="284" t="s">
        <v>142</v>
      </c>
      <c r="D62" s="284" t="s">
        <v>197</v>
      </c>
      <c r="E62" s="285" t="s">
        <v>681</v>
      </c>
      <c r="F62" s="432" t="s">
        <v>682</v>
      </c>
      <c r="G62" s="433"/>
      <c r="H62" s="433"/>
      <c r="I62" s="433"/>
      <c r="J62" s="433"/>
      <c r="K62" s="433"/>
      <c r="L62" s="433"/>
      <c r="M62" s="434"/>
      <c r="N62" s="141" t="s">
        <v>116</v>
      </c>
      <c r="O62" s="282" t="s">
        <v>242</v>
      </c>
      <c r="P62" s="447" t="s">
        <v>115</v>
      </c>
      <c r="Q62" s="448"/>
      <c r="R62" s="447" t="s">
        <v>691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112</v>
      </c>
      <c r="B63" s="431"/>
      <c r="C63" s="284" t="s">
        <v>166</v>
      </c>
      <c r="D63" s="284" t="s">
        <v>296</v>
      </c>
      <c r="E63" s="285" t="s">
        <v>683</v>
      </c>
      <c r="F63" s="432" t="s">
        <v>154</v>
      </c>
      <c r="G63" s="433"/>
      <c r="H63" s="433"/>
      <c r="I63" s="433"/>
      <c r="J63" s="433"/>
      <c r="K63" s="433"/>
      <c r="L63" s="433"/>
      <c r="M63" s="434"/>
      <c r="N63" s="141" t="s">
        <v>151</v>
      </c>
      <c r="O63" s="282" t="s">
        <v>219</v>
      </c>
      <c r="P63" s="447" t="s">
        <v>115</v>
      </c>
      <c r="Q63" s="448"/>
      <c r="R63" s="447" t="s">
        <v>610</v>
      </c>
      <c r="S63" s="449"/>
      <c r="T63" s="449"/>
      <c r="U63" s="448"/>
      <c r="V63" s="436" t="s">
        <v>141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151</v>
      </c>
      <c r="B64" s="431"/>
      <c r="C64" s="284" t="s">
        <v>219</v>
      </c>
      <c r="D64" s="284" t="s">
        <v>115</v>
      </c>
      <c r="E64" s="285" t="s">
        <v>610</v>
      </c>
      <c r="F64" s="432" t="s">
        <v>669</v>
      </c>
      <c r="G64" s="433"/>
      <c r="H64" s="433"/>
      <c r="I64" s="433"/>
      <c r="J64" s="433"/>
      <c r="K64" s="433"/>
      <c r="L64" s="433"/>
      <c r="M64" s="434"/>
      <c r="N64" s="141" t="s">
        <v>116</v>
      </c>
      <c r="O64" s="282" t="s">
        <v>261</v>
      </c>
      <c r="P64" s="447" t="s">
        <v>147</v>
      </c>
      <c r="Q64" s="448"/>
      <c r="R64" s="447" t="s">
        <v>692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112</v>
      </c>
      <c r="B65" s="431"/>
      <c r="C65" s="284" t="s">
        <v>261</v>
      </c>
      <c r="D65" s="284" t="s">
        <v>296</v>
      </c>
      <c r="E65" s="285" t="s">
        <v>684</v>
      </c>
      <c r="F65" s="436" t="s">
        <v>372</v>
      </c>
      <c r="G65" s="437"/>
      <c r="H65" s="437"/>
      <c r="I65" s="437"/>
      <c r="J65" s="437"/>
      <c r="K65" s="437"/>
      <c r="L65" s="437"/>
      <c r="M65" s="438"/>
      <c r="N65" s="141" t="s">
        <v>693</v>
      </c>
      <c r="O65" s="282" t="s">
        <v>694</v>
      </c>
      <c r="P65" s="447" t="s">
        <v>695</v>
      </c>
      <c r="Q65" s="448"/>
      <c r="R65" s="447" t="s">
        <v>696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334</v>
      </c>
      <c r="B66" s="431"/>
      <c r="C66" s="284" t="s">
        <v>204</v>
      </c>
      <c r="D66" s="284"/>
      <c r="E66" s="285" t="s">
        <v>331</v>
      </c>
      <c r="F66" s="436" t="s">
        <v>372</v>
      </c>
      <c r="G66" s="437"/>
      <c r="H66" s="437"/>
      <c r="I66" s="437"/>
      <c r="J66" s="437"/>
      <c r="K66" s="437"/>
      <c r="L66" s="437"/>
      <c r="M66" s="438"/>
      <c r="N66" s="141" t="s">
        <v>693</v>
      </c>
      <c r="O66" s="282" t="s">
        <v>699</v>
      </c>
      <c r="P66" s="447" t="s">
        <v>700</v>
      </c>
      <c r="Q66" s="448"/>
      <c r="R66" s="447" t="s">
        <v>697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116</v>
      </c>
      <c r="B67" s="431"/>
      <c r="C67" s="284" t="s">
        <v>208</v>
      </c>
      <c r="D67" s="284" t="s">
        <v>147</v>
      </c>
      <c r="E67" s="285" t="s">
        <v>672</v>
      </c>
      <c r="F67" s="432" t="s">
        <v>154</v>
      </c>
      <c r="G67" s="433"/>
      <c r="H67" s="433"/>
      <c r="I67" s="433"/>
      <c r="J67" s="433"/>
      <c r="K67" s="433"/>
      <c r="L67" s="433"/>
      <c r="M67" s="434"/>
      <c r="N67" s="141" t="s">
        <v>116</v>
      </c>
      <c r="O67" s="282" t="s">
        <v>701</v>
      </c>
      <c r="P67" s="447" t="s">
        <v>115</v>
      </c>
      <c r="Q67" s="448"/>
      <c r="R67" s="447" t="s">
        <v>698</v>
      </c>
      <c r="S67" s="449"/>
      <c r="T67" s="449"/>
      <c r="U67" s="448"/>
      <c r="V67" s="436" t="s">
        <v>154</v>
      </c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112</v>
      </c>
      <c r="B68" s="431"/>
      <c r="C68" s="284" t="s">
        <v>208</v>
      </c>
      <c r="D68" s="284" t="s">
        <v>115</v>
      </c>
      <c r="E68" s="285" t="s">
        <v>679</v>
      </c>
      <c r="F68" s="432" t="s">
        <v>154</v>
      </c>
      <c r="G68" s="433"/>
      <c r="H68" s="433"/>
      <c r="I68" s="433"/>
      <c r="J68" s="433"/>
      <c r="K68" s="433"/>
      <c r="L68" s="433"/>
      <c r="M68" s="434"/>
      <c r="N68" s="141"/>
      <c r="O68" s="282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 t="s">
        <v>686</v>
      </c>
      <c r="B69" s="431"/>
      <c r="C69" s="284" t="s">
        <v>687</v>
      </c>
      <c r="D69" s="284"/>
      <c r="E69" s="285" t="s">
        <v>688</v>
      </c>
      <c r="F69" s="432" t="s">
        <v>689</v>
      </c>
      <c r="G69" s="433"/>
      <c r="H69" s="433"/>
      <c r="I69" s="433"/>
      <c r="J69" s="433"/>
      <c r="K69" s="433"/>
      <c r="L69" s="433"/>
      <c r="M69" s="434"/>
      <c r="N69" s="141"/>
      <c r="O69" s="282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286"/>
      <c r="D70" s="287"/>
      <c r="E70" s="286"/>
      <c r="F70" s="490"/>
      <c r="G70" s="491"/>
      <c r="H70" s="491"/>
      <c r="I70" s="491"/>
      <c r="J70" s="491"/>
      <c r="K70" s="491"/>
      <c r="L70" s="491"/>
      <c r="M70" s="492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702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283" t="s">
        <v>2</v>
      </c>
      <c r="D72" s="283" t="s">
        <v>37</v>
      </c>
      <c r="E72" s="283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283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116</v>
      </c>
      <c r="D73" s="278"/>
      <c r="E73" s="281" t="s">
        <v>703</v>
      </c>
      <c r="F73" s="416" t="s">
        <v>210</v>
      </c>
      <c r="G73" s="406"/>
      <c r="H73" s="406"/>
      <c r="I73" s="406"/>
      <c r="J73" s="406"/>
      <c r="K73" s="406" t="s">
        <v>165</v>
      </c>
      <c r="L73" s="406"/>
      <c r="M73" s="51" t="s">
        <v>704</v>
      </c>
      <c r="N73" s="417" t="s">
        <v>146</v>
      </c>
      <c r="O73" s="417"/>
      <c r="P73" s="418">
        <v>50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 t="s">
        <v>706</v>
      </c>
      <c r="D74" s="278"/>
      <c r="E74" s="281"/>
      <c r="F74" s="420" t="s">
        <v>705</v>
      </c>
      <c r="G74" s="421"/>
      <c r="H74" s="421"/>
      <c r="I74" s="421"/>
      <c r="J74" s="422"/>
      <c r="K74" s="406" t="s">
        <v>707</v>
      </c>
      <c r="L74" s="406"/>
      <c r="M74" s="51" t="s">
        <v>708</v>
      </c>
      <c r="N74" s="417" t="s">
        <v>701</v>
      </c>
      <c r="O74" s="417"/>
      <c r="P74" s="418">
        <v>50</v>
      </c>
      <c r="Q74" s="418"/>
      <c r="R74" s="419" t="s">
        <v>709</v>
      </c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 t="s">
        <v>711</v>
      </c>
      <c r="D75" s="278"/>
      <c r="E75" s="281" t="s">
        <v>712</v>
      </c>
      <c r="F75" s="416" t="s">
        <v>710</v>
      </c>
      <c r="G75" s="406"/>
      <c r="H75" s="406"/>
      <c r="I75" s="406"/>
      <c r="J75" s="406"/>
      <c r="K75" s="406" t="s">
        <v>713</v>
      </c>
      <c r="L75" s="406"/>
      <c r="M75" s="51" t="s">
        <v>708</v>
      </c>
      <c r="N75" s="417" t="s">
        <v>714</v>
      </c>
      <c r="O75" s="417"/>
      <c r="P75" s="418">
        <v>100</v>
      </c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 t="s">
        <v>706</v>
      </c>
      <c r="D76" s="278"/>
      <c r="E76" s="281"/>
      <c r="F76" s="420" t="s">
        <v>715</v>
      </c>
      <c r="G76" s="421"/>
      <c r="H76" s="421"/>
      <c r="I76" s="421"/>
      <c r="J76" s="422"/>
      <c r="K76" s="406" t="s">
        <v>716</v>
      </c>
      <c r="L76" s="406"/>
      <c r="M76" s="51" t="s">
        <v>708</v>
      </c>
      <c r="N76" s="417" t="s">
        <v>714</v>
      </c>
      <c r="O76" s="417"/>
      <c r="P76" s="418">
        <v>50</v>
      </c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 t="s">
        <v>116</v>
      </c>
      <c r="D77" s="278"/>
      <c r="E77" s="281"/>
      <c r="F77" s="420" t="s">
        <v>717</v>
      </c>
      <c r="G77" s="421"/>
      <c r="H77" s="421"/>
      <c r="I77" s="421"/>
      <c r="J77" s="422"/>
      <c r="K77" s="406" t="s">
        <v>718</v>
      </c>
      <c r="L77" s="406"/>
      <c r="M77" s="51" t="s">
        <v>708</v>
      </c>
      <c r="N77" s="417" t="s">
        <v>719</v>
      </c>
      <c r="O77" s="417"/>
      <c r="P77" s="418">
        <v>1200</v>
      </c>
      <c r="Q77" s="418"/>
      <c r="R77" s="419" t="s">
        <v>722</v>
      </c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278"/>
      <c r="E78" s="281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278"/>
      <c r="E79" s="281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278"/>
      <c r="E80" s="281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278"/>
      <c r="E81" s="281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278"/>
      <c r="E82" s="281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720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280" t="s">
        <v>2</v>
      </c>
      <c r="D84" s="280" t="s">
        <v>37</v>
      </c>
      <c r="E84" s="280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279"/>
      <c r="D85" s="279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278"/>
      <c r="D86" s="278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1">A86+1</f>
        <v>3</v>
      </c>
      <c r="B87" s="374"/>
      <c r="C87" s="278"/>
      <c r="D87" s="278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1"/>
        <v>4</v>
      </c>
      <c r="B88" s="374"/>
      <c r="C88" s="278"/>
      <c r="D88" s="278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1"/>
        <v>5</v>
      </c>
      <c r="B89" s="374"/>
      <c r="C89" s="278"/>
      <c r="D89" s="278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1"/>
        <v>6</v>
      </c>
      <c r="B90" s="374"/>
      <c r="C90" s="278"/>
      <c r="D90" s="278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1"/>
        <v>7</v>
      </c>
      <c r="B91" s="374"/>
      <c r="C91" s="278"/>
      <c r="D91" s="278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721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DDA2-9A75-4734-BC04-3B5E8D0DB7FF}">
  <sheetPr codeName="Sheet17">
    <pageSetUpPr fitToPage="1"/>
  </sheetPr>
  <dimension ref="A1:AF99"/>
  <sheetViews>
    <sheetView view="pageBreakPreview" topLeftCell="A13" zoomScale="70" zoomScaleNormal="72" zoomScaleSheetLayoutView="70" workbookViewId="0">
      <selection activeCell="AG62" sqref="AG6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8.7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723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301" t="s">
        <v>17</v>
      </c>
      <c r="L5" s="301" t="s">
        <v>18</v>
      </c>
      <c r="M5" s="301" t="s">
        <v>19</v>
      </c>
      <c r="N5" s="30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197</v>
      </c>
      <c r="E6" s="53" t="s">
        <v>397</v>
      </c>
      <c r="F6" s="30" t="s">
        <v>150</v>
      </c>
      <c r="G6" s="12">
        <v>2</v>
      </c>
      <c r="H6" s="13">
        <v>24</v>
      </c>
      <c r="I6" s="31">
        <v>30000</v>
      </c>
      <c r="J6" s="14">
        <v>1634</v>
      </c>
      <c r="K6" s="15">
        <f>L6+7048+10576+10332</f>
        <v>29590</v>
      </c>
      <c r="L6" s="15">
        <f>817*2</f>
        <v>1634</v>
      </c>
      <c r="M6" s="15">
        <f t="shared" ref="M6:M33" si="0">L6-N6</f>
        <v>1634</v>
      </c>
      <c r="N6" s="15">
        <v>0</v>
      </c>
      <c r="O6" s="58">
        <f t="shared" ref="O6:O34" si="1">IF(L6=0,"0",N6/L6)</f>
        <v>0</v>
      </c>
      <c r="P6" s="39">
        <f t="shared" ref="P6:P33" si="2">IF(L6=0,"0",(24-Q6))</f>
        <v>4</v>
      </c>
      <c r="Q6" s="40">
        <f t="shared" ref="Q6:Q33" si="3">SUM(R6:AA6)</f>
        <v>20</v>
      </c>
      <c r="R6" s="7"/>
      <c r="S6" s="6"/>
      <c r="T6" s="16"/>
      <c r="U6" s="16"/>
      <c r="V6" s="17"/>
      <c r="W6" s="5">
        <v>20</v>
      </c>
      <c r="X6" s="16"/>
      <c r="Y6" s="16"/>
      <c r="Z6" s="16"/>
      <c r="AA6" s="18"/>
      <c r="AB6" s="8">
        <f t="shared" ref="AB6:AB33" si="4">IF(J6=0,"0",(L6/J6))</f>
        <v>1</v>
      </c>
      <c r="AC6" s="9">
        <f t="shared" ref="AC6:AC33" si="5">IF(P6=0,"0",(P6/24))</f>
        <v>0.16666666666666666</v>
      </c>
      <c r="AD6" s="10">
        <f>AC6*AB6*(1-O6)</f>
        <v>0.16666666666666666</v>
      </c>
      <c r="AE6" s="36">
        <f t="shared" ref="AE6:AE33" si="6">$AD$34</f>
        <v>0.38988095238095238</v>
      </c>
      <c r="AF6" s="81">
        <f t="shared" ref="AF6:AF33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224</v>
      </c>
      <c r="E7" s="53" t="s">
        <v>678</v>
      </c>
      <c r="F7" s="30" t="s">
        <v>138</v>
      </c>
      <c r="G7" s="12">
        <v>1</v>
      </c>
      <c r="H7" s="13">
        <v>24</v>
      </c>
      <c r="I7" s="31">
        <v>1000</v>
      </c>
      <c r="J7" s="14">
        <v>1076</v>
      </c>
      <c r="K7" s="15">
        <f>L7</f>
        <v>1076</v>
      </c>
      <c r="L7" s="15">
        <f>1076</f>
        <v>1076</v>
      </c>
      <c r="M7" s="15">
        <f t="shared" si="0"/>
        <v>1076</v>
      </c>
      <c r="N7" s="15">
        <v>0</v>
      </c>
      <c r="O7" s="58">
        <f t="shared" si="1"/>
        <v>0</v>
      </c>
      <c r="P7" s="39">
        <f t="shared" si="2"/>
        <v>5</v>
      </c>
      <c r="Q7" s="40">
        <f t="shared" si="3"/>
        <v>19</v>
      </c>
      <c r="R7" s="7"/>
      <c r="S7" s="6"/>
      <c r="T7" s="16"/>
      <c r="U7" s="16"/>
      <c r="V7" s="17"/>
      <c r="W7" s="5">
        <v>19</v>
      </c>
      <c r="X7" s="16"/>
      <c r="Y7" s="16"/>
      <c r="Z7" s="16"/>
      <c r="AA7" s="18"/>
      <c r="AB7" s="8">
        <f t="shared" si="4"/>
        <v>1</v>
      </c>
      <c r="AC7" s="9">
        <f t="shared" si="5"/>
        <v>0.20833333333333334</v>
      </c>
      <c r="AD7" s="10">
        <f t="shared" ref="AD7:AD33" si="8">AC7*AB7*(1-O7)</f>
        <v>0.20833333333333334</v>
      </c>
      <c r="AE7" s="36">
        <f t="shared" si="6"/>
        <v>0.38988095238095238</v>
      </c>
      <c r="AF7" s="81">
        <f t="shared" si="7"/>
        <v>2</v>
      </c>
    </row>
    <row r="8" spans="1:32" ht="27" customHeight="1">
      <c r="A8" s="92">
        <v>3</v>
      </c>
      <c r="B8" s="11" t="s">
        <v>724</v>
      </c>
      <c r="C8" s="34" t="s">
        <v>334</v>
      </c>
      <c r="D8" s="52"/>
      <c r="E8" s="53" t="s">
        <v>336</v>
      </c>
      <c r="F8" s="30" t="s">
        <v>340</v>
      </c>
      <c r="G8" s="12">
        <v>1</v>
      </c>
      <c r="H8" s="13">
        <v>24</v>
      </c>
      <c r="I8" s="31">
        <v>600</v>
      </c>
      <c r="J8" s="5">
        <v>600</v>
      </c>
      <c r="K8" s="15">
        <f>L8</f>
        <v>600</v>
      </c>
      <c r="L8" s="15">
        <v>600</v>
      </c>
      <c r="M8" s="15">
        <f t="shared" si="0"/>
        <v>600</v>
      </c>
      <c r="N8" s="15">
        <v>0</v>
      </c>
      <c r="O8" s="58">
        <f t="shared" si="1"/>
        <v>0</v>
      </c>
      <c r="P8" s="39">
        <f t="shared" si="2"/>
        <v>4</v>
      </c>
      <c r="Q8" s="40">
        <f t="shared" si="3"/>
        <v>20</v>
      </c>
      <c r="R8" s="7"/>
      <c r="S8" s="6"/>
      <c r="T8" s="16"/>
      <c r="U8" s="16"/>
      <c r="V8" s="17"/>
      <c r="W8" s="5">
        <v>20</v>
      </c>
      <c r="X8" s="16"/>
      <c r="Y8" s="16"/>
      <c r="Z8" s="16"/>
      <c r="AA8" s="18"/>
      <c r="AB8" s="8">
        <f t="shared" si="4"/>
        <v>1</v>
      </c>
      <c r="AC8" s="9">
        <f t="shared" si="5"/>
        <v>0.16666666666666666</v>
      </c>
      <c r="AD8" s="10">
        <f t="shared" si="8"/>
        <v>0.16666666666666666</v>
      </c>
      <c r="AE8" s="36">
        <f t="shared" si="6"/>
        <v>0.38988095238095238</v>
      </c>
      <c r="AF8" s="81">
        <f t="shared" si="7"/>
        <v>3</v>
      </c>
    </row>
    <row r="9" spans="1:32" ht="27" customHeight="1">
      <c r="A9" s="92">
        <v>3</v>
      </c>
      <c r="B9" s="11" t="s">
        <v>57</v>
      </c>
      <c r="C9" s="34" t="s">
        <v>116</v>
      </c>
      <c r="D9" s="52" t="s">
        <v>115</v>
      </c>
      <c r="E9" s="53" t="s">
        <v>725</v>
      </c>
      <c r="F9" s="30" t="s">
        <v>148</v>
      </c>
      <c r="G9" s="12">
        <v>1</v>
      </c>
      <c r="H9" s="13">
        <v>24</v>
      </c>
      <c r="I9" s="7">
        <v>200</v>
      </c>
      <c r="J9" s="14">
        <v>1554</v>
      </c>
      <c r="K9" s="15">
        <f>L9</f>
        <v>1554</v>
      </c>
      <c r="L9" s="15">
        <v>1554</v>
      </c>
      <c r="M9" s="15">
        <f t="shared" ref="M9" si="9">L9-N9</f>
        <v>1554</v>
      </c>
      <c r="N9" s="15">
        <v>0</v>
      </c>
      <c r="O9" s="58">
        <f t="shared" ref="O9" si="10">IF(L9=0,"0",N9/L9)</f>
        <v>0</v>
      </c>
      <c r="P9" s="39">
        <f t="shared" ref="P9" si="11">IF(L9=0,"0",(24-Q9))</f>
        <v>9</v>
      </c>
      <c r="Q9" s="40">
        <f t="shared" ref="Q9" si="12">SUM(R9:AA9)</f>
        <v>15</v>
      </c>
      <c r="R9" s="7"/>
      <c r="S9" s="6"/>
      <c r="T9" s="16"/>
      <c r="U9" s="16"/>
      <c r="V9" s="17"/>
      <c r="W9" s="5">
        <v>15</v>
      </c>
      <c r="X9" s="16"/>
      <c r="Y9" s="16"/>
      <c r="Z9" s="16"/>
      <c r="AA9" s="18"/>
      <c r="AB9" s="8">
        <f t="shared" ref="AB9" si="13">IF(J9=0,"0",(L9/J9))</f>
        <v>1</v>
      </c>
      <c r="AC9" s="9">
        <f t="shared" ref="AC9" si="14">IF(P9=0,"0",(P9/24))</f>
        <v>0.375</v>
      </c>
      <c r="AD9" s="10">
        <f t="shared" ref="AD9" si="15">AC9*AB9*(1-O9)</f>
        <v>0.375</v>
      </c>
      <c r="AE9" s="36">
        <f t="shared" si="6"/>
        <v>0.38988095238095238</v>
      </c>
      <c r="AF9" s="81">
        <f t="shared" ref="AF9" si="16">A9</f>
        <v>3</v>
      </c>
    </row>
    <row r="10" spans="1:32" ht="27" customHeight="1">
      <c r="A10" s="92">
        <v>4</v>
      </c>
      <c r="B10" s="11" t="s">
        <v>57</v>
      </c>
      <c r="C10" s="34" t="s">
        <v>116</v>
      </c>
      <c r="D10" s="52" t="s">
        <v>147</v>
      </c>
      <c r="E10" s="53" t="s">
        <v>280</v>
      </c>
      <c r="F10" s="30" t="s">
        <v>306</v>
      </c>
      <c r="G10" s="12">
        <v>1</v>
      </c>
      <c r="H10" s="13">
        <v>24</v>
      </c>
      <c r="I10" s="7">
        <v>9000</v>
      </c>
      <c r="J10" s="14">
        <v>4799</v>
      </c>
      <c r="K10" s="15">
        <f>L10</f>
        <v>4799</v>
      </c>
      <c r="L10" s="15">
        <f>2162+2637</f>
        <v>4799</v>
      </c>
      <c r="M10" s="15">
        <f t="shared" si="0"/>
        <v>4799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0.38988095238095238</v>
      </c>
      <c r="AF10" s="81">
        <f t="shared" si="7"/>
        <v>4</v>
      </c>
    </row>
    <row r="11" spans="1:32" ht="27" customHeight="1">
      <c r="A11" s="92">
        <v>5</v>
      </c>
      <c r="B11" s="11" t="s">
        <v>57</v>
      </c>
      <c r="C11" s="11" t="s">
        <v>575</v>
      </c>
      <c r="D11" s="52"/>
      <c r="E11" s="53" t="s">
        <v>576</v>
      </c>
      <c r="F11" s="30" t="s">
        <v>600</v>
      </c>
      <c r="G11" s="33">
        <v>2</v>
      </c>
      <c r="H11" s="35">
        <v>24</v>
      </c>
      <c r="I11" s="7">
        <v>10000</v>
      </c>
      <c r="J11" s="14">
        <v>10898</v>
      </c>
      <c r="K11" s="15">
        <f>L11+6060+10334</f>
        <v>27292</v>
      </c>
      <c r="L11" s="15">
        <f>2677*2+2772*2</f>
        <v>10898</v>
      </c>
      <c r="M11" s="15">
        <f t="shared" si="0"/>
        <v>10898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8"/>
        <v>1</v>
      </c>
      <c r="AE11" s="36">
        <f t="shared" si="6"/>
        <v>0.38988095238095238</v>
      </c>
      <c r="AF11" s="81">
        <f t="shared" si="7"/>
        <v>5</v>
      </c>
    </row>
    <row r="12" spans="1:32" ht="27" customHeight="1">
      <c r="A12" s="92">
        <v>6</v>
      </c>
      <c r="B12" s="11" t="s">
        <v>57</v>
      </c>
      <c r="C12" s="11" t="s">
        <v>112</v>
      </c>
      <c r="D12" s="52" t="s">
        <v>307</v>
      </c>
      <c r="E12" s="53" t="s">
        <v>726</v>
      </c>
      <c r="F12" s="30" t="s">
        <v>165</v>
      </c>
      <c r="G12" s="33">
        <v>2</v>
      </c>
      <c r="H12" s="35">
        <v>24</v>
      </c>
      <c r="I12" s="7">
        <v>2000</v>
      </c>
      <c r="J12" s="14">
        <v>2250</v>
      </c>
      <c r="K12" s="15">
        <f>L12</f>
        <v>2250</v>
      </c>
      <c r="L12" s="15">
        <f>306*2+819*2</f>
        <v>2250</v>
      </c>
      <c r="M12" s="15">
        <f t="shared" ref="M12" si="17">L12-N12</f>
        <v>2250</v>
      </c>
      <c r="N12" s="15">
        <v>0</v>
      </c>
      <c r="O12" s="58">
        <f t="shared" ref="O12" si="18">IF(L12=0,"0",N12/L12)</f>
        <v>0</v>
      </c>
      <c r="P12" s="39">
        <f t="shared" ref="P12" si="19">IF(L12=0,"0",(24-Q12))</f>
        <v>5</v>
      </c>
      <c r="Q12" s="40">
        <f t="shared" ref="Q12" si="20">SUM(R12:AA12)</f>
        <v>19</v>
      </c>
      <c r="R12" s="7"/>
      <c r="S12" s="6"/>
      <c r="T12" s="16"/>
      <c r="U12" s="16"/>
      <c r="V12" s="17"/>
      <c r="W12" s="5">
        <v>19</v>
      </c>
      <c r="X12" s="16"/>
      <c r="Y12" s="16"/>
      <c r="Z12" s="16"/>
      <c r="AA12" s="18"/>
      <c r="AB12" s="8">
        <f t="shared" ref="AB12" si="21">IF(J12=0,"0",(L12/J12))</f>
        <v>1</v>
      </c>
      <c r="AC12" s="9">
        <f t="shared" ref="AC12" si="22">IF(P12=0,"0",(P12/24))</f>
        <v>0.20833333333333334</v>
      </c>
      <c r="AD12" s="10">
        <f t="shared" ref="AD12" si="23">AC12*AB12*(1-O12)</f>
        <v>0.20833333333333334</v>
      </c>
      <c r="AE12" s="36">
        <f t="shared" si="6"/>
        <v>0.38988095238095238</v>
      </c>
      <c r="AF12" s="81">
        <f t="shared" ref="AF12" si="24">A12</f>
        <v>6</v>
      </c>
    </row>
    <row r="13" spans="1:32" ht="27" customHeight="1">
      <c r="A13" s="92">
        <v>6</v>
      </c>
      <c r="B13" s="11" t="s">
        <v>57</v>
      </c>
      <c r="C13" s="11" t="s">
        <v>112</v>
      </c>
      <c r="D13" s="52" t="s">
        <v>256</v>
      </c>
      <c r="E13" s="53" t="s">
        <v>727</v>
      </c>
      <c r="F13" s="30" t="s">
        <v>148</v>
      </c>
      <c r="G13" s="33">
        <v>1</v>
      </c>
      <c r="H13" s="35">
        <v>24</v>
      </c>
      <c r="I13" s="7">
        <v>1000</v>
      </c>
      <c r="J13" s="14">
        <v>1197</v>
      </c>
      <c r="K13" s="15">
        <f>L13</f>
        <v>1197</v>
      </c>
      <c r="L13" s="15">
        <v>1197</v>
      </c>
      <c r="M13" s="15">
        <f t="shared" si="0"/>
        <v>1197</v>
      </c>
      <c r="N13" s="15">
        <v>0</v>
      </c>
      <c r="O13" s="58">
        <f t="shared" si="1"/>
        <v>0</v>
      </c>
      <c r="P13" s="39">
        <f t="shared" si="2"/>
        <v>6</v>
      </c>
      <c r="Q13" s="40">
        <f t="shared" si="3"/>
        <v>18</v>
      </c>
      <c r="R13" s="7"/>
      <c r="S13" s="6"/>
      <c r="T13" s="16"/>
      <c r="U13" s="16"/>
      <c r="V13" s="17"/>
      <c r="W13" s="5">
        <v>18</v>
      </c>
      <c r="X13" s="16"/>
      <c r="Y13" s="16"/>
      <c r="Z13" s="16"/>
      <c r="AA13" s="18"/>
      <c r="AB13" s="8">
        <f t="shared" si="4"/>
        <v>1</v>
      </c>
      <c r="AC13" s="9">
        <f t="shared" si="5"/>
        <v>0.25</v>
      </c>
      <c r="AD13" s="10">
        <f t="shared" si="8"/>
        <v>0.25</v>
      </c>
      <c r="AE13" s="36">
        <f t="shared" si="6"/>
        <v>0.38988095238095238</v>
      </c>
      <c r="AF13" s="81">
        <f t="shared" si="7"/>
        <v>6</v>
      </c>
    </row>
    <row r="14" spans="1:32" ht="27" customHeight="1">
      <c r="A14" s="92">
        <v>7</v>
      </c>
      <c r="B14" s="11" t="s">
        <v>57</v>
      </c>
      <c r="C14" s="34" t="s">
        <v>116</v>
      </c>
      <c r="D14" s="52" t="s">
        <v>115</v>
      </c>
      <c r="E14" s="53" t="s">
        <v>728</v>
      </c>
      <c r="F14" s="30" t="s">
        <v>159</v>
      </c>
      <c r="G14" s="12">
        <v>2</v>
      </c>
      <c r="H14" s="13">
        <v>22</v>
      </c>
      <c r="I14" s="31">
        <v>71000</v>
      </c>
      <c r="J14" s="5">
        <v>9138</v>
      </c>
      <c r="K14" s="15">
        <f>L14</f>
        <v>9138</v>
      </c>
      <c r="L14" s="15">
        <f>2168*2+2401*2</f>
        <v>9138</v>
      </c>
      <c r="M14" s="15">
        <f t="shared" si="0"/>
        <v>9138</v>
      </c>
      <c r="N14" s="15">
        <v>0</v>
      </c>
      <c r="O14" s="58">
        <f t="shared" si="1"/>
        <v>0</v>
      </c>
      <c r="P14" s="39">
        <f t="shared" si="2"/>
        <v>23</v>
      </c>
      <c r="Q14" s="40">
        <f t="shared" si="3"/>
        <v>1</v>
      </c>
      <c r="R14" s="7"/>
      <c r="S14" s="6"/>
      <c r="T14" s="16">
        <v>1</v>
      </c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0.95833333333333337</v>
      </c>
      <c r="AD14" s="10">
        <f t="shared" si="8"/>
        <v>0.95833333333333337</v>
      </c>
      <c r="AE14" s="36">
        <f t="shared" si="6"/>
        <v>0.38988095238095238</v>
      </c>
      <c r="AF14" s="81">
        <f t="shared" si="7"/>
        <v>7</v>
      </c>
    </row>
    <row r="15" spans="1:32" ht="27" customHeight="1">
      <c r="A15" s="92">
        <v>8</v>
      </c>
      <c r="B15" s="11" t="s">
        <v>57</v>
      </c>
      <c r="C15" s="11" t="s">
        <v>116</v>
      </c>
      <c r="D15" s="52" t="s">
        <v>147</v>
      </c>
      <c r="E15" s="53" t="s">
        <v>729</v>
      </c>
      <c r="F15" s="30" t="s">
        <v>730</v>
      </c>
      <c r="G15" s="33">
        <v>2</v>
      </c>
      <c r="H15" s="35">
        <v>22</v>
      </c>
      <c r="I15" s="7">
        <v>68000</v>
      </c>
      <c r="J15" s="14">
        <v>10908</v>
      </c>
      <c r="K15" s="15">
        <f>L15</f>
        <v>10908</v>
      </c>
      <c r="L15" s="15">
        <f>2115*2+3339*2</f>
        <v>10908</v>
      </c>
      <c r="M15" s="15">
        <f t="shared" si="0"/>
        <v>10908</v>
      </c>
      <c r="N15" s="15">
        <v>0</v>
      </c>
      <c r="O15" s="58">
        <f t="shared" si="1"/>
        <v>0</v>
      </c>
      <c r="P15" s="39">
        <f t="shared" si="2"/>
        <v>21</v>
      </c>
      <c r="Q15" s="40">
        <f t="shared" si="3"/>
        <v>3</v>
      </c>
      <c r="R15" s="7"/>
      <c r="S15" s="6">
        <v>3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0.875</v>
      </c>
      <c r="AD15" s="10">
        <f t="shared" si="8"/>
        <v>0.875</v>
      </c>
      <c r="AE15" s="36">
        <f t="shared" si="6"/>
        <v>0.38988095238095238</v>
      </c>
      <c r="AF15" s="81">
        <f t="shared" si="7"/>
        <v>8</v>
      </c>
    </row>
    <row r="16" spans="1:32" ht="27" customHeight="1">
      <c r="A16" s="99">
        <v>9</v>
      </c>
      <c r="B16" s="11" t="s">
        <v>57</v>
      </c>
      <c r="C16" s="34" t="s">
        <v>151</v>
      </c>
      <c r="D16" s="52" t="s">
        <v>115</v>
      </c>
      <c r="E16" s="53" t="s">
        <v>610</v>
      </c>
      <c r="F16" s="30" t="s">
        <v>148</v>
      </c>
      <c r="G16" s="33">
        <v>1</v>
      </c>
      <c r="H16" s="35">
        <v>50</v>
      </c>
      <c r="I16" s="7">
        <v>700</v>
      </c>
      <c r="J16" s="5">
        <v>251</v>
      </c>
      <c r="K16" s="15">
        <f>L16+447+251</f>
        <v>698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>
        <v>24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0.38988095238095238</v>
      </c>
      <c r="AF16" s="81">
        <f t="shared" si="7"/>
        <v>9</v>
      </c>
    </row>
    <row r="17" spans="1:32" ht="27" customHeight="1">
      <c r="A17" s="106">
        <v>10</v>
      </c>
      <c r="B17" s="11" t="s">
        <v>57</v>
      </c>
      <c r="C17" s="34" t="s">
        <v>126</v>
      </c>
      <c r="D17" s="52"/>
      <c r="E17" s="53" t="s">
        <v>400</v>
      </c>
      <c r="F17" s="30" t="s">
        <v>411</v>
      </c>
      <c r="G17" s="12">
        <v>4</v>
      </c>
      <c r="H17" s="13">
        <v>24</v>
      </c>
      <c r="I17" s="31">
        <v>200000</v>
      </c>
      <c r="J17" s="14">
        <v>37640</v>
      </c>
      <c r="K17" s="15">
        <f>L17+36796+36616+36728+35852+38694</f>
        <v>222326</v>
      </c>
      <c r="L17" s="15">
        <f>5245*4+4165*4</f>
        <v>37640</v>
      </c>
      <c r="M17" s="15">
        <f t="shared" si="0"/>
        <v>37640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0.38988095238095238</v>
      </c>
      <c r="AF17" s="81">
        <f t="shared" si="7"/>
        <v>10</v>
      </c>
    </row>
    <row r="18" spans="1:32" ht="27" customHeight="1">
      <c r="A18" s="92">
        <v>11</v>
      </c>
      <c r="B18" s="11" t="s">
        <v>57</v>
      </c>
      <c r="C18" s="34" t="s">
        <v>116</v>
      </c>
      <c r="D18" s="52" t="s">
        <v>197</v>
      </c>
      <c r="E18" s="53" t="s">
        <v>366</v>
      </c>
      <c r="F18" s="30" t="s">
        <v>123</v>
      </c>
      <c r="G18" s="12">
        <v>2</v>
      </c>
      <c r="H18" s="13">
        <v>22</v>
      </c>
      <c r="I18" s="31">
        <v>260000</v>
      </c>
      <c r="J18" s="5">
        <v>11458</v>
      </c>
      <c r="K18" s="15">
        <f>L18+9350+9873+10572+11420+9694+7670+11372+10884+8431+5890+10900</f>
        <v>117514</v>
      </c>
      <c r="L18" s="15">
        <f>2855*2+2874*2</f>
        <v>11458</v>
      </c>
      <c r="M18" s="15">
        <f t="shared" si="0"/>
        <v>11458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0.38988095238095238</v>
      </c>
      <c r="AF18" s="81">
        <f t="shared" si="7"/>
        <v>11</v>
      </c>
    </row>
    <row r="19" spans="1:32" ht="27" customHeight="1">
      <c r="A19" s="106">
        <v>12</v>
      </c>
      <c r="B19" s="11" t="s">
        <v>57</v>
      </c>
      <c r="C19" s="34" t="s">
        <v>334</v>
      </c>
      <c r="D19" s="52"/>
      <c r="E19" s="53" t="s">
        <v>331</v>
      </c>
      <c r="F19" s="30" t="s">
        <v>183</v>
      </c>
      <c r="G19" s="12">
        <v>1</v>
      </c>
      <c r="H19" s="13">
        <v>24</v>
      </c>
      <c r="I19" s="7">
        <v>600</v>
      </c>
      <c r="J19" s="14">
        <v>600</v>
      </c>
      <c r="K19" s="15">
        <f>L19+600</f>
        <v>600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8"/>
        <v>0</v>
      </c>
      <c r="AE19" s="36">
        <f t="shared" si="6"/>
        <v>0.38988095238095238</v>
      </c>
      <c r="AF19" s="81">
        <f t="shared" si="7"/>
        <v>12</v>
      </c>
    </row>
    <row r="20" spans="1:32" ht="27" customHeight="1">
      <c r="A20" s="92">
        <v>13</v>
      </c>
      <c r="B20" s="11" t="s">
        <v>57</v>
      </c>
      <c r="C20" s="34" t="s">
        <v>116</v>
      </c>
      <c r="D20" s="52" t="s">
        <v>115</v>
      </c>
      <c r="E20" s="53" t="s">
        <v>371</v>
      </c>
      <c r="F20" s="30" t="s">
        <v>135</v>
      </c>
      <c r="G20" s="12">
        <v>2</v>
      </c>
      <c r="H20" s="13">
        <v>22</v>
      </c>
      <c r="I20" s="31">
        <v>260000</v>
      </c>
      <c r="J20" s="5">
        <v>10498</v>
      </c>
      <c r="K20" s="15">
        <f>L20+10480+11444+11648+11082+10368+10658+11130+11168+12108+9740+10720</f>
        <v>131044</v>
      </c>
      <c r="L20" s="15">
        <f>2394*2+2855*2</f>
        <v>10498</v>
      </c>
      <c r="M20" s="15">
        <f t="shared" si="0"/>
        <v>10498</v>
      </c>
      <c r="N20" s="15">
        <v>0</v>
      </c>
      <c r="O20" s="58">
        <f t="shared" si="1"/>
        <v>0</v>
      </c>
      <c r="P20" s="39">
        <f t="shared" si="2"/>
        <v>22</v>
      </c>
      <c r="Q20" s="40">
        <f t="shared" si="3"/>
        <v>2</v>
      </c>
      <c r="R20" s="7"/>
      <c r="S20" s="6">
        <v>2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0.91666666666666663</v>
      </c>
      <c r="AD20" s="10">
        <f t="shared" si="8"/>
        <v>0.91666666666666663</v>
      </c>
      <c r="AE20" s="36">
        <f t="shared" si="6"/>
        <v>0.38988095238095238</v>
      </c>
      <c r="AF20" s="81">
        <f t="shared" si="7"/>
        <v>13</v>
      </c>
    </row>
    <row r="21" spans="1:32" ht="27" customHeight="1">
      <c r="A21" s="92">
        <v>14</v>
      </c>
      <c r="B21" s="11" t="s">
        <v>57</v>
      </c>
      <c r="C21" s="11" t="s">
        <v>116</v>
      </c>
      <c r="D21" s="52" t="s">
        <v>256</v>
      </c>
      <c r="E21" s="53" t="s">
        <v>731</v>
      </c>
      <c r="F21" s="30" t="s">
        <v>510</v>
      </c>
      <c r="G21" s="33">
        <v>1</v>
      </c>
      <c r="H21" s="35">
        <v>24</v>
      </c>
      <c r="I21" s="7">
        <v>100</v>
      </c>
      <c r="J21" s="14">
        <v>615</v>
      </c>
      <c r="K21" s="15">
        <f>L21</f>
        <v>615</v>
      </c>
      <c r="L21" s="15">
        <v>615</v>
      </c>
      <c r="M21" s="15">
        <f t="shared" ref="M21" si="25">L21-N21</f>
        <v>615</v>
      </c>
      <c r="N21" s="15">
        <v>0</v>
      </c>
      <c r="O21" s="58">
        <f t="shared" ref="O21" si="26">IF(L21=0,"0",N21/L21)</f>
        <v>0</v>
      </c>
      <c r="P21" s="39">
        <f t="shared" ref="P21" si="27">IF(L21=0,"0",(24-Q21))</f>
        <v>7</v>
      </c>
      <c r="Q21" s="40">
        <f t="shared" ref="Q21" si="28">SUM(R21:AA21)</f>
        <v>17</v>
      </c>
      <c r="R21" s="7"/>
      <c r="S21" s="6"/>
      <c r="T21" s="16"/>
      <c r="U21" s="16"/>
      <c r="V21" s="17"/>
      <c r="W21" s="5">
        <v>17</v>
      </c>
      <c r="X21" s="16"/>
      <c r="Y21" s="16"/>
      <c r="Z21" s="16"/>
      <c r="AA21" s="18"/>
      <c r="AB21" s="8">
        <f t="shared" ref="AB21" si="29">IF(J21=0,"0",(L21/J21))</f>
        <v>1</v>
      </c>
      <c r="AC21" s="9">
        <f t="shared" ref="AC21" si="30">IF(P21=0,"0",(P21/24))</f>
        <v>0.29166666666666669</v>
      </c>
      <c r="AD21" s="10">
        <f t="shared" ref="AD21" si="31">AC21*AB21*(1-O21)</f>
        <v>0.29166666666666669</v>
      </c>
      <c r="AE21" s="36">
        <f t="shared" si="6"/>
        <v>0.38988095238095238</v>
      </c>
      <c r="AF21" s="81">
        <f t="shared" ref="AF21" si="32">A21</f>
        <v>14</v>
      </c>
    </row>
    <row r="22" spans="1:32" ht="27" customHeight="1">
      <c r="A22" s="92">
        <v>14</v>
      </c>
      <c r="B22" s="11" t="s">
        <v>57</v>
      </c>
      <c r="C22" s="11" t="s">
        <v>112</v>
      </c>
      <c r="D22" s="52" t="s">
        <v>115</v>
      </c>
      <c r="E22" s="53" t="s">
        <v>732</v>
      </c>
      <c r="F22" s="30" t="s">
        <v>122</v>
      </c>
      <c r="G22" s="33">
        <v>1</v>
      </c>
      <c r="H22" s="35">
        <v>24</v>
      </c>
      <c r="I22" s="7">
        <v>6000</v>
      </c>
      <c r="J22" s="14">
        <v>615</v>
      </c>
      <c r="K22" s="15">
        <f>L22</f>
        <v>0</v>
      </c>
      <c r="L22" s="15">
        <v>0</v>
      </c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>
        <v>16</v>
      </c>
      <c r="T22" s="16">
        <v>8</v>
      </c>
      <c r="U22" s="16"/>
      <c r="V22" s="17"/>
      <c r="W22" s="5"/>
      <c r="X22" s="16"/>
      <c r="Y22" s="16"/>
      <c r="Z22" s="16"/>
      <c r="AA22" s="18"/>
      <c r="AB22" s="8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0.38988095238095238</v>
      </c>
      <c r="AF22" s="81">
        <f t="shared" si="7"/>
        <v>14</v>
      </c>
    </row>
    <row r="23" spans="1:32" ht="27" customHeight="1">
      <c r="A23" s="92">
        <v>14</v>
      </c>
      <c r="B23" s="11" t="s">
        <v>57</v>
      </c>
      <c r="C23" s="11" t="s">
        <v>112</v>
      </c>
      <c r="D23" s="52" t="s">
        <v>147</v>
      </c>
      <c r="E23" s="53" t="s">
        <v>733</v>
      </c>
      <c r="F23" s="30" t="s">
        <v>122</v>
      </c>
      <c r="G23" s="33">
        <v>1</v>
      </c>
      <c r="H23" s="35">
        <v>24</v>
      </c>
      <c r="I23" s="7">
        <v>6000</v>
      </c>
      <c r="J23" s="14">
        <v>2187</v>
      </c>
      <c r="K23" s="15">
        <f>L23</f>
        <v>2187</v>
      </c>
      <c r="L23" s="15">
        <f>2187</f>
        <v>2187</v>
      </c>
      <c r="M23" s="15">
        <f t="shared" si="0"/>
        <v>2187</v>
      </c>
      <c r="N23" s="15">
        <v>0</v>
      </c>
      <c r="O23" s="58">
        <f t="shared" si="1"/>
        <v>0</v>
      </c>
      <c r="P23" s="39">
        <f t="shared" si="2"/>
        <v>12</v>
      </c>
      <c r="Q23" s="40">
        <f t="shared" si="3"/>
        <v>12</v>
      </c>
      <c r="R23" s="7"/>
      <c r="S23" s="6"/>
      <c r="T23" s="16">
        <v>12</v>
      </c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0.5</v>
      </c>
      <c r="AD23" s="10">
        <f t="shared" si="8"/>
        <v>0.5</v>
      </c>
      <c r="AE23" s="36">
        <f t="shared" si="6"/>
        <v>0.38988095238095238</v>
      </c>
      <c r="AF23" s="81">
        <f t="shared" si="7"/>
        <v>14</v>
      </c>
    </row>
    <row r="24" spans="1:32" ht="27" customHeight="1">
      <c r="A24" s="106">
        <v>15</v>
      </c>
      <c r="B24" s="11" t="s">
        <v>57</v>
      </c>
      <c r="C24" s="11" t="s">
        <v>116</v>
      </c>
      <c r="D24" s="52" t="s">
        <v>627</v>
      </c>
      <c r="E24" s="53" t="s">
        <v>628</v>
      </c>
      <c r="F24" s="30" t="s">
        <v>348</v>
      </c>
      <c r="G24" s="33" t="s">
        <v>170</v>
      </c>
      <c r="H24" s="35">
        <v>24</v>
      </c>
      <c r="I24" s="7">
        <v>40000</v>
      </c>
      <c r="J24" s="14">
        <v>4677</v>
      </c>
      <c r="K24" s="15">
        <f>L24+3583+3529+4577</f>
        <v>16366</v>
      </c>
      <c r="L24" s="15">
        <f>2342+2335</f>
        <v>4677</v>
      </c>
      <c r="M24" s="15">
        <f t="shared" si="0"/>
        <v>4677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8"/>
        <v>1</v>
      </c>
      <c r="AE24" s="36">
        <f t="shared" si="6"/>
        <v>0.38988095238095238</v>
      </c>
      <c r="AF24" s="81">
        <f t="shared" si="7"/>
        <v>15</v>
      </c>
    </row>
    <row r="25" spans="1:32" ht="26.25" customHeight="1">
      <c r="A25" s="92">
        <v>16</v>
      </c>
      <c r="B25" s="11" t="s">
        <v>57</v>
      </c>
      <c r="C25" s="11" t="s">
        <v>113</v>
      </c>
      <c r="D25" s="52"/>
      <c r="E25" s="53" t="s">
        <v>352</v>
      </c>
      <c r="F25" s="12" t="s">
        <v>114</v>
      </c>
      <c r="G25" s="12">
        <v>4</v>
      </c>
      <c r="H25" s="35">
        <v>20</v>
      </c>
      <c r="I25" s="7">
        <v>2000000</v>
      </c>
      <c r="J25" s="14">
        <v>64632</v>
      </c>
      <c r="K25" s="15">
        <f>L25+64424+64620+22548+54104</f>
        <v>270328</v>
      </c>
      <c r="L25" s="15">
        <f>7984*4+8174*4</f>
        <v>64632</v>
      </c>
      <c r="M25" s="15">
        <f t="shared" si="0"/>
        <v>64632</v>
      </c>
      <c r="N25" s="15">
        <v>0</v>
      </c>
      <c r="O25" s="58">
        <f t="shared" si="1"/>
        <v>0</v>
      </c>
      <c r="P25" s="39">
        <f t="shared" si="2"/>
        <v>24</v>
      </c>
      <c r="Q25" s="40">
        <f t="shared" si="3"/>
        <v>0</v>
      </c>
      <c r="R25" s="7"/>
      <c r="S25" s="6"/>
      <c r="T25" s="16"/>
      <c r="U25" s="16"/>
      <c r="V25" s="17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1</v>
      </c>
      <c r="AD25" s="10">
        <f t="shared" si="8"/>
        <v>1</v>
      </c>
      <c r="AE25" s="36">
        <f t="shared" si="6"/>
        <v>0.38988095238095238</v>
      </c>
      <c r="AF25" s="81">
        <f t="shared" si="7"/>
        <v>16</v>
      </c>
    </row>
    <row r="26" spans="1:32" ht="26.25" customHeight="1">
      <c r="A26" s="115">
        <v>17</v>
      </c>
      <c r="B26" s="11" t="s">
        <v>57</v>
      </c>
      <c r="C26" s="11"/>
      <c r="D26" s="52"/>
      <c r="E26" s="53"/>
      <c r="F26" s="12"/>
      <c r="G26" s="12"/>
      <c r="H26" s="35"/>
      <c r="I26" s="7">
        <v>0</v>
      </c>
      <c r="J26" s="14">
        <v>0</v>
      </c>
      <c r="K26" s="15">
        <f>L26</f>
        <v>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/>
      <c r="W26" s="5">
        <v>24</v>
      </c>
      <c r="X26" s="16"/>
      <c r="Y26" s="16"/>
      <c r="Z26" s="16"/>
      <c r="AA26" s="18"/>
      <c r="AB26" s="8" t="str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0.38988095238095238</v>
      </c>
      <c r="AF26" s="81">
        <f t="shared" si="7"/>
        <v>17</v>
      </c>
    </row>
    <row r="27" spans="1:32" ht="26.25" customHeight="1">
      <c r="A27" s="115">
        <v>18</v>
      </c>
      <c r="B27" s="11" t="s">
        <v>57</v>
      </c>
      <c r="C27" s="11" t="s">
        <v>116</v>
      </c>
      <c r="D27" s="52" t="s">
        <v>178</v>
      </c>
      <c r="E27" s="53" t="s">
        <v>353</v>
      </c>
      <c r="F27" s="12" t="s">
        <v>180</v>
      </c>
      <c r="G27" s="12">
        <v>4</v>
      </c>
      <c r="H27" s="35">
        <v>15</v>
      </c>
      <c r="I27" s="7">
        <v>20000</v>
      </c>
      <c r="J27" s="14">
        <v>24024</v>
      </c>
      <c r="K27" s="15">
        <f>L27+14040+7084+2888+25304+4864+24024</f>
        <v>78204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7"/>
      <c r="W27" s="5"/>
      <c r="X27" s="16"/>
      <c r="Y27" s="16"/>
      <c r="Z27" s="16"/>
      <c r="AA27" s="18">
        <v>24</v>
      </c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0.38988095238095238</v>
      </c>
      <c r="AF27" s="81">
        <f t="shared" si="7"/>
        <v>18</v>
      </c>
    </row>
    <row r="28" spans="1:32" ht="21.75" customHeight="1">
      <c r="A28" s="92">
        <v>31</v>
      </c>
      <c r="B28" s="11" t="s">
        <v>57</v>
      </c>
      <c r="C28" s="11" t="s">
        <v>116</v>
      </c>
      <c r="D28" s="52" t="s">
        <v>115</v>
      </c>
      <c r="E28" s="53" t="s">
        <v>143</v>
      </c>
      <c r="F28" s="12" t="s">
        <v>135</v>
      </c>
      <c r="G28" s="12">
        <v>4</v>
      </c>
      <c r="H28" s="35">
        <v>20</v>
      </c>
      <c r="I28" s="7">
        <v>70000</v>
      </c>
      <c r="J28" s="14">
        <v>22300</v>
      </c>
      <c r="K28" s="15">
        <f>L28+22300</f>
        <v>22300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7">
        <v>24</v>
      </c>
      <c r="W28" s="5"/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0.38988095238095238</v>
      </c>
      <c r="AF28" s="81">
        <f t="shared" si="7"/>
        <v>31</v>
      </c>
    </row>
    <row r="29" spans="1:32" ht="21.75" customHeight="1">
      <c r="A29" s="92">
        <v>32</v>
      </c>
      <c r="B29" s="11" t="s">
        <v>57</v>
      </c>
      <c r="C29" s="11" t="s">
        <v>172</v>
      </c>
      <c r="D29" s="52"/>
      <c r="E29" s="53" t="s">
        <v>171</v>
      </c>
      <c r="F29" s="12" t="s">
        <v>173</v>
      </c>
      <c r="G29" s="12">
        <v>30</v>
      </c>
      <c r="H29" s="35">
        <v>20</v>
      </c>
      <c r="I29" s="7">
        <v>2000000</v>
      </c>
      <c r="J29" s="14">
        <v>189476</v>
      </c>
      <c r="K29" s="15">
        <f>L29+322260+481964+478184+484736+189476</f>
        <v>1956620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16</v>
      </c>
      <c r="R29" s="7"/>
      <c r="S29" s="6"/>
      <c r="T29" s="16"/>
      <c r="U29" s="16"/>
      <c r="V29" s="17"/>
      <c r="W29" s="5">
        <v>16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0.38988095238095238</v>
      </c>
      <c r="AF29" s="81">
        <f t="shared" si="7"/>
        <v>32</v>
      </c>
    </row>
    <row r="30" spans="1:32" ht="21.75" customHeight="1">
      <c r="A30" s="92">
        <v>33</v>
      </c>
      <c r="B30" s="11" t="s">
        <v>57</v>
      </c>
      <c r="C30" s="11" t="s">
        <v>116</v>
      </c>
      <c r="D30" s="52" t="s">
        <v>115</v>
      </c>
      <c r="E30" s="53" t="s">
        <v>414</v>
      </c>
      <c r="F30" s="12" t="s">
        <v>135</v>
      </c>
      <c r="G30" s="12">
        <v>3</v>
      </c>
      <c r="H30" s="35">
        <v>20</v>
      </c>
      <c r="I30" s="7">
        <v>130000</v>
      </c>
      <c r="J30" s="14">
        <v>15393</v>
      </c>
      <c r="K30" s="15">
        <f>L30+15220+23840+22923+6507+15501+18108+17847+18078+15393</f>
        <v>153417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3</v>
      </c>
      <c r="R30" s="7"/>
      <c r="S30" s="6"/>
      <c r="T30" s="16"/>
      <c r="U30" s="16"/>
      <c r="V30" s="114">
        <v>3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0.38988095238095238</v>
      </c>
      <c r="AF30" s="81">
        <f t="shared" si="7"/>
        <v>33</v>
      </c>
    </row>
    <row r="31" spans="1:32" ht="21.75" customHeight="1">
      <c r="A31" s="92">
        <v>34</v>
      </c>
      <c r="B31" s="11" t="s">
        <v>57</v>
      </c>
      <c r="C31" s="11" t="s">
        <v>116</v>
      </c>
      <c r="D31" s="52" t="s">
        <v>197</v>
      </c>
      <c r="E31" s="53" t="s">
        <v>415</v>
      </c>
      <c r="F31" s="12" t="s">
        <v>124</v>
      </c>
      <c r="G31" s="12">
        <v>4</v>
      </c>
      <c r="H31" s="35">
        <v>20</v>
      </c>
      <c r="I31" s="7">
        <v>130000</v>
      </c>
      <c r="J31" s="14">
        <v>24332</v>
      </c>
      <c r="K31" s="15">
        <f>L31+15632+12648+1958+21292+27256+2770+24332</f>
        <v>105888</v>
      </c>
      <c r="L31" s="15"/>
      <c r="M31" s="15">
        <f t="shared" si="0"/>
        <v>0</v>
      </c>
      <c r="N31" s="15">
        <v>0</v>
      </c>
      <c r="O31" s="58" t="str">
        <f t="shared" si="1"/>
        <v>0</v>
      </c>
      <c r="P31" s="39" t="str">
        <f t="shared" si="2"/>
        <v>0</v>
      </c>
      <c r="Q31" s="40">
        <f t="shared" si="3"/>
        <v>3</v>
      </c>
      <c r="R31" s="7"/>
      <c r="S31" s="6"/>
      <c r="T31" s="16"/>
      <c r="U31" s="16"/>
      <c r="V31" s="114">
        <v>3</v>
      </c>
      <c r="W31" s="5"/>
      <c r="X31" s="16"/>
      <c r="Y31" s="16"/>
      <c r="Z31" s="16"/>
      <c r="AA31" s="18"/>
      <c r="AB31" s="8">
        <f t="shared" si="4"/>
        <v>0</v>
      </c>
      <c r="AC31" s="9">
        <f t="shared" si="5"/>
        <v>0</v>
      </c>
      <c r="AD31" s="10">
        <f t="shared" si="8"/>
        <v>0</v>
      </c>
      <c r="AE31" s="36">
        <f t="shared" si="6"/>
        <v>0.38988095238095238</v>
      </c>
      <c r="AF31" s="81">
        <f t="shared" si="7"/>
        <v>34</v>
      </c>
    </row>
    <row r="32" spans="1:32" ht="21.75" customHeight="1">
      <c r="A32" s="92">
        <v>35</v>
      </c>
      <c r="B32" s="11" t="s">
        <v>57</v>
      </c>
      <c r="C32" s="11" t="s">
        <v>116</v>
      </c>
      <c r="D32" s="52" t="s">
        <v>121</v>
      </c>
      <c r="E32" s="53" t="s">
        <v>416</v>
      </c>
      <c r="F32" s="12" t="s">
        <v>124</v>
      </c>
      <c r="G32" s="12">
        <v>4</v>
      </c>
      <c r="H32" s="35">
        <v>20</v>
      </c>
      <c r="I32" s="7">
        <v>130000</v>
      </c>
      <c r="J32" s="14">
        <v>26116</v>
      </c>
      <c r="K32" s="15">
        <f>L32+27916+29980+10704+25528+29800+29376+29736+26116</f>
        <v>209156</v>
      </c>
      <c r="L32" s="15"/>
      <c r="M32" s="15">
        <f t="shared" si="0"/>
        <v>0</v>
      </c>
      <c r="N32" s="15">
        <v>0</v>
      </c>
      <c r="O32" s="58" t="str">
        <f t="shared" si="1"/>
        <v>0</v>
      </c>
      <c r="P32" s="39" t="str">
        <f t="shared" si="2"/>
        <v>0</v>
      </c>
      <c r="Q32" s="40">
        <f t="shared" si="3"/>
        <v>3</v>
      </c>
      <c r="R32" s="7"/>
      <c r="S32" s="6"/>
      <c r="T32" s="16"/>
      <c r="U32" s="16"/>
      <c r="V32" s="114">
        <v>3</v>
      </c>
      <c r="W32" s="5"/>
      <c r="X32" s="16"/>
      <c r="Y32" s="16"/>
      <c r="Z32" s="16"/>
      <c r="AA32" s="18"/>
      <c r="AB32" s="8">
        <f t="shared" si="4"/>
        <v>0</v>
      </c>
      <c r="AC32" s="9">
        <f t="shared" si="5"/>
        <v>0</v>
      </c>
      <c r="AD32" s="10">
        <f t="shared" si="8"/>
        <v>0</v>
      </c>
      <c r="AE32" s="36">
        <f t="shared" si="6"/>
        <v>0.38988095238095238</v>
      </c>
      <c r="AF32" s="81">
        <f t="shared" si="7"/>
        <v>35</v>
      </c>
    </row>
    <row r="33" spans="1:32" ht="21.75" customHeight="1" thickBot="1">
      <c r="A33" s="92">
        <v>36</v>
      </c>
      <c r="B33" s="11" t="s">
        <v>57</v>
      </c>
      <c r="C33" s="11" t="s">
        <v>113</v>
      </c>
      <c r="D33" s="52"/>
      <c r="E33" s="53" t="s">
        <v>144</v>
      </c>
      <c r="F33" s="12" t="s">
        <v>114</v>
      </c>
      <c r="G33" s="12">
        <v>4</v>
      </c>
      <c r="H33" s="35">
        <v>20</v>
      </c>
      <c r="I33" s="7">
        <v>1000000</v>
      </c>
      <c r="J33" s="14">
        <v>79328</v>
      </c>
      <c r="K33" s="15">
        <f>L33+28388+70816+76368+81764+83428+47688+53180+83092+82192+79328</f>
        <v>686244</v>
      </c>
      <c r="L33" s="15"/>
      <c r="M33" s="15">
        <f t="shared" si="0"/>
        <v>0</v>
      </c>
      <c r="N33" s="15">
        <v>0</v>
      </c>
      <c r="O33" s="58" t="str">
        <f t="shared" si="1"/>
        <v>0</v>
      </c>
      <c r="P33" s="39" t="str">
        <f t="shared" si="2"/>
        <v>0</v>
      </c>
      <c r="Q33" s="40">
        <f t="shared" si="3"/>
        <v>24</v>
      </c>
      <c r="R33" s="7"/>
      <c r="S33" s="6"/>
      <c r="T33" s="16"/>
      <c r="U33" s="16"/>
      <c r="V33" s="114">
        <v>24</v>
      </c>
      <c r="W33" s="5"/>
      <c r="X33" s="16"/>
      <c r="Y33" s="16"/>
      <c r="Z33" s="16"/>
      <c r="AA33" s="18"/>
      <c r="AB33" s="8">
        <f t="shared" si="4"/>
        <v>0</v>
      </c>
      <c r="AC33" s="9">
        <f t="shared" si="5"/>
        <v>0</v>
      </c>
      <c r="AD33" s="10">
        <f t="shared" si="8"/>
        <v>0</v>
      </c>
      <c r="AE33" s="36">
        <f t="shared" si="6"/>
        <v>0.38988095238095238</v>
      </c>
      <c r="AF33" s="81">
        <f t="shared" si="7"/>
        <v>36</v>
      </c>
    </row>
    <row r="34" spans="1:32" ht="19.5" thickBot="1">
      <c r="A34" s="452" t="s">
        <v>34</v>
      </c>
      <c r="B34" s="453"/>
      <c r="C34" s="453"/>
      <c r="D34" s="453"/>
      <c r="E34" s="453"/>
      <c r="F34" s="453"/>
      <c r="G34" s="453"/>
      <c r="H34" s="454"/>
      <c r="I34" s="22">
        <f t="shared" ref="I34:N34" si="33">SUM(I6:I33)</f>
        <v>6446200</v>
      </c>
      <c r="J34" s="19">
        <f t="shared" si="33"/>
        <v>558196</v>
      </c>
      <c r="K34" s="20">
        <f t="shared" si="33"/>
        <v>4061911</v>
      </c>
      <c r="L34" s="21">
        <f t="shared" si="33"/>
        <v>175761</v>
      </c>
      <c r="M34" s="20">
        <f t="shared" si="33"/>
        <v>175761</v>
      </c>
      <c r="N34" s="21">
        <f t="shared" si="33"/>
        <v>0</v>
      </c>
      <c r="O34" s="41">
        <f t="shared" si="1"/>
        <v>0</v>
      </c>
      <c r="P34" s="42">
        <f t="shared" ref="P34:AA34" si="34">SUM(P6:P33)</f>
        <v>262</v>
      </c>
      <c r="Q34" s="43">
        <f t="shared" si="34"/>
        <v>339</v>
      </c>
      <c r="R34" s="23">
        <f t="shared" si="34"/>
        <v>0</v>
      </c>
      <c r="S34" s="24">
        <f t="shared" si="34"/>
        <v>45</v>
      </c>
      <c r="T34" s="24">
        <f t="shared" si="34"/>
        <v>21</v>
      </c>
      <c r="U34" s="24">
        <f t="shared" si="34"/>
        <v>0</v>
      </c>
      <c r="V34" s="25">
        <f t="shared" si="34"/>
        <v>57</v>
      </c>
      <c r="W34" s="26">
        <f t="shared" si="34"/>
        <v>192</v>
      </c>
      <c r="X34" s="27">
        <f t="shared" si="34"/>
        <v>0</v>
      </c>
      <c r="Y34" s="27">
        <f t="shared" si="34"/>
        <v>0</v>
      </c>
      <c r="Z34" s="27">
        <f t="shared" si="34"/>
        <v>0</v>
      </c>
      <c r="AA34" s="27">
        <f t="shared" si="34"/>
        <v>24</v>
      </c>
      <c r="AB34" s="28">
        <f>AVERAGE(AB6:AB33)</f>
        <v>0.62962962962962965</v>
      </c>
      <c r="AC34" s="4">
        <f>AVERAGE(AC6:AC33)</f>
        <v>0.38988095238095238</v>
      </c>
      <c r="AD34" s="4">
        <f>AVERAGE(AD6:AD33)</f>
        <v>0.38988095238095238</v>
      </c>
      <c r="AE34" s="29"/>
    </row>
    <row r="35" spans="1:32">
      <c r="T35" s="50" t="s">
        <v>127</v>
      </c>
    </row>
    <row r="36" spans="1:32" ht="18.75">
      <c r="A36" s="2"/>
      <c r="B36" s="2" t="s">
        <v>35</v>
      </c>
      <c r="C36" s="2"/>
      <c r="D36" s="2"/>
      <c r="E36" s="2"/>
      <c r="F36" s="2"/>
      <c r="G36" s="2"/>
      <c r="H36" s="3"/>
      <c r="I36" s="3"/>
      <c r="J36" s="2"/>
      <c r="K36" s="2"/>
      <c r="L36" s="2"/>
      <c r="M36" s="2"/>
      <c r="N36" s="2" t="s">
        <v>36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2" ht="7.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1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 ht="7.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 ht="7.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 ht="7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 ht="7.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 ht="7.5" customHeight="1">
      <c r="A42" s="49"/>
      <c r="B42" s="49" t="s">
        <v>128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 ht="7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2" ht="7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</row>
    <row r="45" spans="1:32" ht="7.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82"/>
    </row>
    <row r="46" spans="1:32" ht="7.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7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7.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7.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7.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12" customHeight="1">
      <c r="A51" s="59"/>
      <c r="B51" s="59"/>
      <c r="C51" s="59"/>
      <c r="D51" s="59"/>
      <c r="E51" s="59"/>
      <c r="F51" s="37"/>
      <c r="G51" s="37"/>
      <c r="H51" s="38"/>
      <c r="I51" s="38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F51" s="50"/>
    </row>
    <row r="52" spans="1:32" ht="12" customHeight="1">
      <c r="A52" s="60"/>
      <c r="B52" s="60"/>
      <c r="C52" s="61"/>
      <c r="D52" s="61"/>
      <c r="E52" s="61"/>
      <c r="F52" s="60"/>
      <c r="G52" s="60"/>
      <c r="H52" s="60"/>
      <c r="I52" s="60"/>
      <c r="J52" s="60"/>
      <c r="K52" s="60"/>
      <c r="L52" s="60"/>
      <c r="M52" s="61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F52" s="50"/>
    </row>
    <row r="53" spans="1:32" ht="12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2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2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2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2" customHeight="1">
      <c r="A57" s="60"/>
      <c r="B57" s="60"/>
      <c r="C57" s="62"/>
      <c r="D57" s="61"/>
      <c r="E57" s="61"/>
      <c r="F57" s="60"/>
      <c r="G57" s="60"/>
      <c r="H57" s="60"/>
      <c r="I57" s="60"/>
      <c r="J57" s="60"/>
      <c r="K57" s="60"/>
      <c r="L57" s="60"/>
      <c r="M57" s="62"/>
      <c r="N57" s="60"/>
      <c r="O57" s="60"/>
      <c r="P57" s="63"/>
      <c r="Q57" s="63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0"/>
      <c r="AC57" s="60"/>
      <c r="AD57" s="60"/>
      <c r="AF57" s="50"/>
    </row>
    <row r="58" spans="1:32" ht="12" customHeight="1">
      <c r="A58" s="60"/>
      <c r="B58" s="60"/>
      <c r="C58" s="62"/>
      <c r="D58" s="61"/>
      <c r="E58" s="61"/>
      <c r="F58" s="60"/>
      <c r="G58" s="60"/>
      <c r="H58" s="60"/>
      <c r="I58" s="60"/>
      <c r="J58" s="60"/>
      <c r="K58" s="60"/>
      <c r="L58" s="60"/>
      <c r="M58" s="62"/>
      <c r="N58" s="60"/>
      <c r="O58" s="60"/>
      <c r="P58" s="63"/>
      <c r="Q58" s="63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0"/>
      <c r="AC58" s="60"/>
      <c r="AD58" s="60"/>
      <c r="AF58" s="50"/>
    </row>
    <row r="59" spans="1:32" ht="12" customHeight="1">
      <c r="A59" s="60"/>
      <c r="B59" s="60"/>
      <c r="C59" s="62"/>
      <c r="D59" s="61"/>
      <c r="E59" s="61"/>
      <c r="F59" s="60"/>
      <c r="G59" s="60"/>
      <c r="H59" s="60"/>
      <c r="I59" s="60"/>
      <c r="J59" s="60"/>
      <c r="K59" s="60"/>
      <c r="L59" s="60"/>
      <c r="M59" s="62"/>
      <c r="N59" s="60"/>
      <c r="O59" s="60"/>
      <c r="P59" s="63"/>
      <c r="Q59" s="63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0"/>
      <c r="AC59" s="60"/>
      <c r="AD59" s="60"/>
      <c r="AF59" s="50"/>
    </row>
    <row r="60" spans="1:32" ht="14.2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F60" s="50"/>
    </row>
    <row r="61" spans="1:32" ht="36" thickBot="1">
      <c r="A61" s="455" t="s">
        <v>45</v>
      </c>
      <c r="B61" s="455"/>
      <c r="C61" s="455"/>
      <c r="D61" s="455"/>
      <c r="E61" s="455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F61" s="50"/>
    </row>
    <row r="62" spans="1:32" ht="26.25" thickBot="1">
      <c r="A62" s="456" t="s">
        <v>734</v>
      </c>
      <c r="B62" s="457"/>
      <c r="C62" s="457"/>
      <c r="D62" s="457"/>
      <c r="E62" s="457"/>
      <c r="F62" s="457"/>
      <c r="G62" s="457"/>
      <c r="H62" s="457"/>
      <c r="I62" s="457"/>
      <c r="J62" s="457"/>
      <c r="K62" s="457"/>
      <c r="L62" s="457"/>
      <c r="M62" s="458"/>
      <c r="N62" s="459" t="s">
        <v>741</v>
      </c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1"/>
    </row>
    <row r="63" spans="1:32" ht="27" customHeight="1">
      <c r="A63" s="462" t="s">
        <v>2</v>
      </c>
      <c r="B63" s="463"/>
      <c r="C63" s="300" t="s">
        <v>46</v>
      </c>
      <c r="D63" s="300" t="s">
        <v>47</v>
      </c>
      <c r="E63" s="300" t="s">
        <v>107</v>
      </c>
      <c r="F63" s="464" t="s">
        <v>106</v>
      </c>
      <c r="G63" s="465"/>
      <c r="H63" s="465"/>
      <c r="I63" s="465"/>
      <c r="J63" s="465"/>
      <c r="K63" s="465"/>
      <c r="L63" s="465"/>
      <c r="M63" s="466"/>
      <c r="N63" s="67" t="s">
        <v>110</v>
      </c>
      <c r="O63" s="300" t="s">
        <v>46</v>
      </c>
      <c r="P63" s="464" t="s">
        <v>47</v>
      </c>
      <c r="Q63" s="467"/>
      <c r="R63" s="464" t="s">
        <v>38</v>
      </c>
      <c r="S63" s="465"/>
      <c r="T63" s="465"/>
      <c r="U63" s="467"/>
      <c r="V63" s="464" t="s">
        <v>48</v>
      </c>
      <c r="W63" s="465"/>
      <c r="X63" s="465"/>
      <c r="Y63" s="465"/>
      <c r="Z63" s="465"/>
      <c r="AA63" s="465"/>
      <c r="AB63" s="465"/>
      <c r="AC63" s="465"/>
      <c r="AD63" s="466"/>
    </row>
    <row r="64" spans="1:32" ht="27" customHeight="1">
      <c r="A64" s="430" t="s">
        <v>334</v>
      </c>
      <c r="B64" s="431"/>
      <c r="C64" s="296" t="s">
        <v>146</v>
      </c>
      <c r="D64" s="296"/>
      <c r="E64" s="297" t="s">
        <v>336</v>
      </c>
      <c r="F64" s="432" t="s">
        <v>372</v>
      </c>
      <c r="G64" s="433"/>
      <c r="H64" s="433"/>
      <c r="I64" s="433"/>
      <c r="J64" s="433"/>
      <c r="K64" s="433"/>
      <c r="L64" s="433"/>
      <c r="M64" s="434"/>
      <c r="N64" s="141" t="s">
        <v>112</v>
      </c>
      <c r="O64" s="294" t="s">
        <v>160</v>
      </c>
      <c r="P64" s="447" t="s">
        <v>137</v>
      </c>
      <c r="Q64" s="448"/>
      <c r="R64" s="447" t="s">
        <v>742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116</v>
      </c>
      <c r="B65" s="431"/>
      <c r="C65" s="296" t="s">
        <v>142</v>
      </c>
      <c r="D65" s="296" t="s">
        <v>197</v>
      </c>
      <c r="E65" s="297" t="s">
        <v>681</v>
      </c>
      <c r="F65" s="432" t="s">
        <v>141</v>
      </c>
      <c r="G65" s="433"/>
      <c r="H65" s="433"/>
      <c r="I65" s="433"/>
      <c r="J65" s="433"/>
      <c r="K65" s="433"/>
      <c r="L65" s="433"/>
      <c r="M65" s="434"/>
      <c r="N65" s="141" t="s">
        <v>151</v>
      </c>
      <c r="O65" s="310" t="s">
        <v>219</v>
      </c>
      <c r="P65" s="447" t="s">
        <v>115</v>
      </c>
      <c r="Q65" s="448"/>
      <c r="R65" s="447" t="s">
        <v>610</v>
      </c>
      <c r="S65" s="449"/>
      <c r="T65" s="449"/>
      <c r="U65" s="448"/>
      <c r="V65" s="436" t="s">
        <v>141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112</v>
      </c>
      <c r="B66" s="431"/>
      <c r="C66" s="296" t="s">
        <v>166</v>
      </c>
      <c r="D66" s="296" t="s">
        <v>307</v>
      </c>
      <c r="E66" s="297" t="s">
        <v>726</v>
      </c>
      <c r="F66" s="432" t="s">
        <v>154</v>
      </c>
      <c r="G66" s="433"/>
      <c r="H66" s="433"/>
      <c r="I66" s="433"/>
      <c r="J66" s="433"/>
      <c r="K66" s="433"/>
      <c r="L66" s="433"/>
      <c r="M66" s="434"/>
      <c r="N66" s="141" t="s">
        <v>116</v>
      </c>
      <c r="O66" s="294" t="s">
        <v>743</v>
      </c>
      <c r="P66" s="447" t="s">
        <v>744</v>
      </c>
      <c r="Q66" s="448"/>
      <c r="R66" s="447" t="s">
        <v>745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151</v>
      </c>
      <c r="B67" s="431"/>
      <c r="C67" s="296" t="s">
        <v>219</v>
      </c>
      <c r="D67" s="296" t="s">
        <v>115</v>
      </c>
      <c r="E67" s="297" t="s">
        <v>610</v>
      </c>
      <c r="F67" s="432" t="s">
        <v>735</v>
      </c>
      <c r="G67" s="433"/>
      <c r="H67" s="433"/>
      <c r="I67" s="433"/>
      <c r="J67" s="433"/>
      <c r="K67" s="433"/>
      <c r="L67" s="433"/>
      <c r="M67" s="434"/>
      <c r="N67" s="141"/>
      <c r="O67" s="294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116</v>
      </c>
      <c r="B68" s="431"/>
      <c r="C68" s="296" t="s">
        <v>261</v>
      </c>
      <c r="D68" s="296" t="s">
        <v>147</v>
      </c>
      <c r="E68" s="297" t="s">
        <v>729</v>
      </c>
      <c r="F68" s="432" t="s">
        <v>549</v>
      </c>
      <c r="G68" s="433"/>
      <c r="H68" s="433"/>
      <c r="I68" s="433"/>
      <c r="J68" s="433"/>
      <c r="K68" s="433"/>
      <c r="L68" s="433"/>
      <c r="M68" s="434"/>
      <c r="N68" s="141"/>
      <c r="O68" s="294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 t="s">
        <v>116</v>
      </c>
      <c r="B69" s="431"/>
      <c r="C69" s="296" t="s">
        <v>242</v>
      </c>
      <c r="D69" s="296" t="s">
        <v>115</v>
      </c>
      <c r="E69" s="297" t="s">
        <v>728</v>
      </c>
      <c r="F69" s="432" t="s">
        <v>154</v>
      </c>
      <c r="G69" s="433"/>
      <c r="H69" s="433"/>
      <c r="I69" s="433"/>
      <c r="J69" s="433"/>
      <c r="K69" s="433"/>
      <c r="L69" s="433"/>
      <c r="M69" s="434"/>
      <c r="N69" s="141"/>
      <c r="O69" s="294"/>
      <c r="P69" s="447"/>
      <c r="Q69" s="448"/>
      <c r="R69" s="447"/>
      <c r="S69" s="449"/>
      <c r="T69" s="449"/>
      <c r="U69" s="448"/>
      <c r="V69" s="436"/>
      <c r="W69" s="437"/>
      <c r="X69" s="437"/>
      <c r="Y69" s="437"/>
      <c r="Z69" s="437"/>
      <c r="AA69" s="437"/>
      <c r="AB69" s="437"/>
      <c r="AC69" s="437"/>
      <c r="AD69" s="438"/>
    </row>
    <row r="70" spans="1:32" ht="27" customHeight="1">
      <c r="A70" s="430" t="s">
        <v>116</v>
      </c>
      <c r="B70" s="431"/>
      <c r="C70" s="296" t="s">
        <v>146</v>
      </c>
      <c r="D70" s="296" t="s">
        <v>115</v>
      </c>
      <c r="E70" s="297" t="s">
        <v>725</v>
      </c>
      <c r="F70" s="432" t="s">
        <v>154</v>
      </c>
      <c r="G70" s="433"/>
      <c r="H70" s="433"/>
      <c r="I70" s="433"/>
      <c r="J70" s="433"/>
      <c r="K70" s="433"/>
      <c r="L70" s="433"/>
      <c r="M70" s="434"/>
      <c r="N70" s="141"/>
      <c r="O70" s="294"/>
      <c r="P70" s="447"/>
      <c r="Q70" s="448"/>
      <c r="R70" s="447"/>
      <c r="S70" s="449"/>
      <c r="T70" s="449"/>
      <c r="U70" s="448"/>
      <c r="V70" s="436"/>
      <c r="W70" s="437"/>
      <c r="X70" s="437"/>
      <c r="Y70" s="437"/>
      <c r="Z70" s="437"/>
      <c r="AA70" s="437"/>
      <c r="AB70" s="437"/>
      <c r="AC70" s="437"/>
      <c r="AD70" s="438"/>
    </row>
    <row r="71" spans="1:32" ht="27" customHeight="1">
      <c r="A71" s="430" t="s">
        <v>151</v>
      </c>
      <c r="B71" s="431"/>
      <c r="C71" s="296" t="s">
        <v>208</v>
      </c>
      <c r="D71" s="296" t="s">
        <v>115</v>
      </c>
      <c r="E71" s="297" t="s">
        <v>731</v>
      </c>
      <c r="F71" s="432" t="s">
        <v>154</v>
      </c>
      <c r="G71" s="433"/>
      <c r="H71" s="433"/>
      <c r="I71" s="433"/>
      <c r="J71" s="433"/>
      <c r="K71" s="433"/>
      <c r="L71" s="433"/>
      <c r="M71" s="434"/>
      <c r="N71" s="141"/>
      <c r="O71" s="294"/>
      <c r="P71" s="447"/>
      <c r="Q71" s="448"/>
      <c r="R71" s="447"/>
      <c r="S71" s="449"/>
      <c r="T71" s="449"/>
      <c r="U71" s="448"/>
      <c r="V71" s="436"/>
      <c r="W71" s="437"/>
      <c r="X71" s="437"/>
      <c r="Y71" s="437"/>
      <c r="Z71" s="437"/>
      <c r="AA71" s="437"/>
      <c r="AB71" s="437"/>
      <c r="AC71" s="437"/>
      <c r="AD71" s="438"/>
    </row>
    <row r="72" spans="1:32" ht="27" customHeight="1">
      <c r="A72" s="430" t="s">
        <v>112</v>
      </c>
      <c r="B72" s="431"/>
      <c r="C72" s="296" t="s">
        <v>208</v>
      </c>
      <c r="D72" s="296" t="s">
        <v>147</v>
      </c>
      <c r="E72" s="297" t="s">
        <v>736</v>
      </c>
      <c r="F72" s="432" t="s">
        <v>154</v>
      </c>
      <c r="G72" s="433"/>
      <c r="H72" s="433"/>
      <c r="I72" s="433"/>
      <c r="J72" s="433"/>
      <c r="K72" s="433"/>
      <c r="L72" s="433"/>
      <c r="M72" s="434"/>
      <c r="N72" s="141"/>
      <c r="O72" s="294"/>
      <c r="P72" s="435"/>
      <c r="Q72" s="435"/>
      <c r="R72" s="435"/>
      <c r="S72" s="435"/>
      <c r="T72" s="435"/>
      <c r="U72" s="435"/>
      <c r="V72" s="436"/>
      <c r="W72" s="437"/>
      <c r="X72" s="437"/>
      <c r="Y72" s="437"/>
      <c r="Z72" s="437"/>
      <c r="AA72" s="437"/>
      <c r="AB72" s="437"/>
      <c r="AC72" s="437"/>
      <c r="AD72" s="438"/>
      <c r="AF72" s="81">
        <f>8*3000</f>
        <v>24000</v>
      </c>
    </row>
    <row r="73" spans="1:32" ht="27" customHeight="1" thickBot="1">
      <c r="A73" s="439" t="s">
        <v>112</v>
      </c>
      <c r="B73" s="440"/>
      <c r="C73" s="298" t="s">
        <v>739</v>
      </c>
      <c r="D73" s="299" t="s">
        <v>740</v>
      </c>
      <c r="E73" s="298" t="s">
        <v>738</v>
      </c>
      <c r="F73" s="490" t="s">
        <v>737</v>
      </c>
      <c r="G73" s="491"/>
      <c r="H73" s="491"/>
      <c r="I73" s="491"/>
      <c r="J73" s="491"/>
      <c r="K73" s="491"/>
      <c r="L73" s="491"/>
      <c r="M73" s="492"/>
      <c r="N73" s="105"/>
      <c r="O73" s="97"/>
      <c r="P73" s="444"/>
      <c r="Q73" s="444"/>
      <c r="R73" s="444"/>
      <c r="S73" s="444"/>
      <c r="T73" s="444"/>
      <c r="U73" s="444"/>
      <c r="V73" s="445"/>
      <c r="W73" s="445"/>
      <c r="X73" s="445"/>
      <c r="Y73" s="445"/>
      <c r="Z73" s="445"/>
      <c r="AA73" s="445"/>
      <c r="AB73" s="445"/>
      <c r="AC73" s="445"/>
      <c r="AD73" s="446"/>
      <c r="AF73" s="81">
        <f>16*3000</f>
        <v>48000</v>
      </c>
    </row>
    <row r="74" spans="1:32" ht="27.75" thickBot="1">
      <c r="A74" s="428" t="s">
        <v>746</v>
      </c>
      <c r="B74" s="428"/>
      <c r="C74" s="428"/>
      <c r="D74" s="428"/>
      <c r="E74" s="428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81">
        <v>24000</v>
      </c>
    </row>
    <row r="75" spans="1:32" ht="29.25" customHeight="1" thickBot="1">
      <c r="A75" s="429" t="s">
        <v>111</v>
      </c>
      <c r="B75" s="426"/>
      <c r="C75" s="295" t="s">
        <v>2</v>
      </c>
      <c r="D75" s="295" t="s">
        <v>37</v>
      </c>
      <c r="E75" s="295" t="s">
        <v>3</v>
      </c>
      <c r="F75" s="426" t="s">
        <v>109</v>
      </c>
      <c r="G75" s="426"/>
      <c r="H75" s="426"/>
      <c r="I75" s="426"/>
      <c r="J75" s="426"/>
      <c r="K75" s="426" t="s">
        <v>39</v>
      </c>
      <c r="L75" s="426"/>
      <c r="M75" s="295" t="s">
        <v>40</v>
      </c>
      <c r="N75" s="426" t="s">
        <v>41</v>
      </c>
      <c r="O75" s="426"/>
      <c r="P75" s="423" t="s">
        <v>42</v>
      </c>
      <c r="Q75" s="425"/>
      <c r="R75" s="423" t="s">
        <v>43</v>
      </c>
      <c r="S75" s="424"/>
      <c r="T75" s="424"/>
      <c r="U75" s="424"/>
      <c r="V75" s="424"/>
      <c r="W75" s="424"/>
      <c r="X75" s="424"/>
      <c r="Y75" s="424"/>
      <c r="Z75" s="424"/>
      <c r="AA75" s="425"/>
      <c r="AB75" s="426" t="s">
        <v>44</v>
      </c>
      <c r="AC75" s="426"/>
      <c r="AD75" s="427"/>
      <c r="AF75" s="81">
        <f>SUM(AF72:AF74)</f>
        <v>96000</v>
      </c>
    </row>
    <row r="76" spans="1:32" ht="25.5" customHeight="1">
      <c r="A76" s="414">
        <v>1</v>
      </c>
      <c r="B76" s="415"/>
      <c r="C76" s="98" t="s">
        <v>126</v>
      </c>
      <c r="D76" s="290"/>
      <c r="E76" s="293" t="s">
        <v>115</v>
      </c>
      <c r="F76" s="416" t="s">
        <v>747</v>
      </c>
      <c r="G76" s="406"/>
      <c r="H76" s="406"/>
      <c r="I76" s="406"/>
      <c r="J76" s="406"/>
      <c r="K76" s="406" t="s">
        <v>167</v>
      </c>
      <c r="L76" s="406"/>
      <c r="M76" s="51" t="s">
        <v>248</v>
      </c>
      <c r="N76" s="417" t="s">
        <v>146</v>
      </c>
      <c r="O76" s="417"/>
      <c r="P76" s="418">
        <v>200</v>
      </c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2</v>
      </c>
      <c r="B77" s="415"/>
      <c r="C77" s="98" t="s">
        <v>706</v>
      </c>
      <c r="D77" s="290"/>
      <c r="E77" s="293"/>
      <c r="F77" s="420" t="s">
        <v>336</v>
      </c>
      <c r="G77" s="421"/>
      <c r="H77" s="421"/>
      <c r="I77" s="421"/>
      <c r="J77" s="422"/>
      <c r="K77" s="406" t="s">
        <v>340</v>
      </c>
      <c r="L77" s="406"/>
      <c r="M77" s="51" t="s">
        <v>708</v>
      </c>
      <c r="N77" s="417" t="s">
        <v>701</v>
      </c>
      <c r="O77" s="417"/>
      <c r="P77" s="418">
        <v>50</v>
      </c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3</v>
      </c>
      <c r="B78" s="415"/>
      <c r="C78" s="98"/>
      <c r="D78" s="290"/>
      <c r="E78" s="293"/>
      <c r="F78" s="416"/>
      <c r="G78" s="406"/>
      <c r="H78" s="406"/>
      <c r="I78" s="406"/>
      <c r="J78" s="406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4</v>
      </c>
      <c r="B79" s="415"/>
      <c r="C79" s="98"/>
      <c r="D79" s="290"/>
      <c r="E79" s="293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5</v>
      </c>
      <c r="B80" s="415"/>
      <c r="C80" s="98"/>
      <c r="D80" s="290"/>
      <c r="E80" s="293"/>
      <c r="F80" s="420"/>
      <c r="G80" s="421"/>
      <c r="H80" s="421"/>
      <c r="I80" s="421"/>
      <c r="J80" s="422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6</v>
      </c>
      <c r="B81" s="415"/>
      <c r="C81" s="98"/>
      <c r="D81" s="290"/>
      <c r="E81" s="293"/>
      <c r="F81" s="420"/>
      <c r="G81" s="421"/>
      <c r="H81" s="421"/>
      <c r="I81" s="421"/>
      <c r="J81" s="422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7</v>
      </c>
      <c r="B82" s="415"/>
      <c r="C82" s="98"/>
      <c r="D82" s="290"/>
      <c r="E82" s="293"/>
      <c r="F82" s="420"/>
      <c r="G82" s="421"/>
      <c r="H82" s="421"/>
      <c r="I82" s="421"/>
      <c r="J82" s="422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5.5" customHeight="1">
      <c r="A83" s="414">
        <v>8</v>
      </c>
      <c r="B83" s="415"/>
      <c r="C83" s="98"/>
      <c r="D83" s="290"/>
      <c r="E83" s="293"/>
      <c r="F83" s="416"/>
      <c r="G83" s="406"/>
      <c r="H83" s="406"/>
      <c r="I83" s="406"/>
      <c r="J83" s="406"/>
      <c r="K83" s="406"/>
      <c r="L83" s="406"/>
      <c r="M83" s="51"/>
      <c r="N83" s="417"/>
      <c r="O83" s="417"/>
      <c r="P83" s="418"/>
      <c r="Q83" s="418"/>
      <c r="R83" s="419"/>
      <c r="S83" s="419"/>
      <c r="T83" s="419"/>
      <c r="U83" s="419"/>
      <c r="V83" s="419"/>
      <c r="W83" s="419"/>
      <c r="X83" s="419"/>
      <c r="Y83" s="419"/>
      <c r="Z83" s="419"/>
      <c r="AA83" s="419"/>
      <c r="AB83" s="406"/>
      <c r="AC83" s="406"/>
      <c r="AD83" s="407"/>
      <c r="AF83" s="50"/>
    </row>
    <row r="84" spans="1:32" ht="25.5" customHeight="1">
      <c r="A84" s="414">
        <v>9</v>
      </c>
      <c r="B84" s="415"/>
      <c r="C84" s="98"/>
      <c r="D84" s="290"/>
      <c r="E84" s="293"/>
      <c r="F84" s="416"/>
      <c r="G84" s="406"/>
      <c r="H84" s="406"/>
      <c r="I84" s="406"/>
      <c r="J84" s="406"/>
      <c r="K84" s="406"/>
      <c r="L84" s="406"/>
      <c r="M84" s="51"/>
      <c r="N84" s="417"/>
      <c r="O84" s="417"/>
      <c r="P84" s="418"/>
      <c r="Q84" s="418"/>
      <c r="R84" s="419"/>
      <c r="S84" s="419"/>
      <c r="T84" s="419"/>
      <c r="U84" s="419"/>
      <c r="V84" s="419"/>
      <c r="W84" s="419"/>
      <c r="X84" s="419"/>
      <c r="Y84" s="419"/>
      <c r="Z84" s="419"/>
      <c r="AA84" s="419"/>
      <c r="AB84" s="406"/>
      <c r="AC84" s="406"/>
      <c r="AD84" s="407"/>
      <c r="AF84" s="50"/>
    </row>
    <row r="85" spans="1:32" ht="25.5" customHeight="1">
      <c r="A85" s="414">
        <v>10</v>
      </c>
      <c r="B85" s="415"/>
      <c r="C85" s="98"/>
      <c r="D85" s="290"/>
      <c r="E85" s="293"/>
      <c r="F85" s="416"/>
      <c r="G85" s="406"/>
      <c r="H85" s="406"/>
      <c r="I85" s="406"/>
      <c r="J85" s="406"/>
      <c r="K85" s="406"/>
      <c r="L85" s="406"/>
      <c r="M85" s="51"/>
      <c r="N85" s="417"/>
      <c r="O85" s="417"/>
      <c r="P85" s="418"/>
      <c r="Q85" s="418"/>
      <c r="R85" s="419"/>
      <c r="S85" s="419"/>
      <c r="T85" s="419"/>
      <c r="U85" s="419"/>
      <c r="V85" s="419"/>
      <c r="W85" s="419"/>
      <c r="X85" s="419"/>
      <c r="Y85" s="419"/>
      <c r="Z85" s="419"/>
      <c r="AA85" s="419"/>
      <c r="AB85" s="406"/>
      <c r="AC85" s="406"/>
      <c r="AD85" s="407"/>
      <c r="AF85" s="50"/>
    </row>
    <row r="86" spans="1:32" ht="26.25" customHeight="1" thickBot="1">
      <c r="A86" s="386" t="s">
        <v>748</v>
      </c>
      <c r="B86" s="386"/>
      <c r="C86" s="386"/>
      <c r="D86" s="386"/>
      <c r="E86" s="386"/>
      <c r="F86" s="37"/>
      <c r="G86" s="37"/>
      <c r="H86" s="38"/>
      <c r="I86" s="38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F86" s="50"/>
    </row>
    <row r="87" spans="1:32" ht="23.25" thickBot="1">
      <c r="A87" s="408" t="s">
        <v>111</v>
      </c>
      <c r="B87" s="409"/>
      <c r="C87" s="292" t="s">
        <v>2</v>
      </c>
      <c r="D87" s="292" t="s">
        <v>37</v>
      </c>
      <c r="E87" s="292" t="s">
        <v>120</v>
      </c>
      <c r="F87" s="388" t="s">
        <v>38</v>
      </c>
      <c r="G87" s="388"/>
      <c r="H87" s="388"/>
      <c r="I87" s="388"/>
      <c r="J87" s="388"/>
      <c r="K87" s="410" t="s">
        <v>58</v>
      </c>
      <c r="L87" s="411"/>
      <c r="M87" s="411"/>
      <c r="N87" s="411"/>
      <c r="O87" s="411"/>
      <c r="P87" s="411"/>
      <c r="Q87" s="411"/>
      <c r="R87" s="411"/>
      <c r="S87" s="412"/>
      <c r="T87" s="388" t="s">
        <v>49</v>
      </c>
      <c r="U87" s="388"/>
      <c r="V87" s="410" t="s">
        <v>50</v>
      </c>
      <c r="W87" s="412"/>
      <c r="X87" s="411" t="s">
        <v>51</v>
      </c>
      <c r="Y87" s="411"/>
      <c r="Z87" s="411"/>
      <c r="AA87" s="411"/>
      <c r="AB87" s="411"/>
      <c r="AC87" s="411"/>
      <c r="AD87" s="413"/>
      <c r="AF87" s="50"/>
    </row>
    <row r="88" spans="1:32" ht="33.75" customHeight="1">
      <c r="A88" s="380">
        <v>1</v>
      </c>
      <c r="B88" s="381"/>
      <c r="C88" s="291"/>
      <c r="D88" s="291"/>
      <c r="E88" s="65"/>
      <c r="F88" s="395"/>
      <c r="G88" s="396"/>
      <c r="H88" s="396"/>
      <c r="I88" s="396"/>
      <c r="J88" s="397"/>
      <c r="K88" s="398"/>
      <c r="L88" s="399"/>
      <c r="M88" s="399"/>
      <c r="N88" s="399"/>
      <c r="O88" s="399"/>
      <c r="P88" s="399"/>
      <c r="Q88" s="399"/>
      <c r="R88" s="399"/>
      <c r="S88" s="400"/>
      <c r="T88" s="401"/>
      <c r="U88" s="402"/>
      <c r="V88" s="403"/>
      <c r="W88" s="403"/>
      <c r="X88" s="404"/>
      <c r="Y88" s="404"/>
      <c r="Z88" s="404"/>
      <c r="AA88" s="404"/>
      <c r="AB88" s="404"/>
      <c r="AC88" s="404"/>
      <c r="AD88" s="405"/>
      <c r="AF88" s="50"/>
    </row>
    <row r="89" spans="1:32" ht="30" customHeight="1">
      <c r="A89" s="373">
        <f>A88+1</f>
        <v>2</v>
      </c>
      <c r="B89" s="374"/>
      <c r="C89" s="290"/>
      <c r="D89" s="290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ref="A90:A94" si="35">A89+1</f>
        <v>3</v>
      </c>
      <c r="B90" s="374"/>
      <c r="C90" s="290"/>
      <c r="D90" s="290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35"/>
        <v>4</v>
      </c>
      <c r="B91" s="374"/>
      <c r="C91" s="290"/>
      <c r="D91" s="290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0" customHeight="1">
      <c r="A92" s="373">
        <f t="shared" si="35"/>
        <v>5</v>
      </c>
      <c r="B92" s="374"/>
      <c r="C92" s="290"/>
      <c r="D92" s="290"/>
      <c r="E92" s="32"/>
      <c r="F92" s="374"/>
      <c r="G92" s="374"/>
      <c r="H92" s="374"/>
      <c r="I92" s="374"/>
      <c r="J92" s="374"/>
      <c r="K92" s="389"/>
      <c r="L92" s="390"/>
      <c r="M92" s="390"/>
      <c r="N92" s="390"/>
      <c r="O92" s="390"/>
      <c r="P92" s="390"/>
      <c r="Q92" s="390"/>
      <c r="R92" s="390"/>
      <c r="S92" s="391"/>
      <c r="T92" s="392"/>
      <c r="U92" s="392"/>
      <c r="V92" s="392"/>
      <c r="W92" s="392"/>
      <c r="X92" s="393"/>
      <c r="Y92" s="393"/>
      <c r="Z92" s="393"/>
      <c r="AA92" s="393"/>
      <c r="AB92" s="393"/>
      <c r="AC92" s="393"/>
      <c r="AD92" s="394"/>
      <c r="AF92" s="50"/>
    </row>
    <row r="93" spans="1:32" ht="30" customHeight="1">
      <c r="A93" s="373">
        <f t="shared" si="35"/>
        <v>6</v>
      </c>
      <c r="B93" s="374"/>
      <c r="C93" s="290"/>
      <c r="D93" s="290"/>
      <c r="E93" s="32"/>
      <c r="F93" s="374"/>
      <c r="G93" s="374"/>
      <c r="H93" s="374"/>
      <c r="I93" s="374"/>
      <c r="J93" s="374"/>
      <c r="K93" s="389"/>
      <c r="L93" s="390"/>
      <c r="M93" s="390"/>
      <c r="N93" s="390"/>
      <c r="O93" s="390"/>
      <c r="P93" s="390"/>
      <c r="Q93" s="390"/>
      <c r="R93" s="390"/>
      <c r="S93" s="391"/>
      <c r="T93" s="392"/>
      <c r="U93" s="392"/>
      <c r="V93" s="392"/>
      <c r="W93" s="392"/>
      <c r="X93" s="393"/>
      <c r="Y93" s="393"/>
      <c r="Z93" s="393"/>
      <c r="AA93" s="393"/>
      <c r="AB93" s="393"/>
      <c r="AC93" s="393"/>
      <c r="AD93" s="394"/>
      <c r="AF93" s="50"/>
    </row>
    <row r="94" spans="1:32" ht="30" customHeight="1">
      <c r="A94" s="373">
        <f t="shared" si="35"/>
        <v>7</v>
      </c>
      <c r="B94" s="374"/>
      <c r="C94" s="290"/>
      <c r="D94" s="290"/>
      <c r="E94" s="32"/>
      <c r="F94" s="374"/>
      <c r="G94" s="374"/>
      <c r="H94" s="374"/>
      <c r="I94" s="374"/>
      <c r="J94" s="374"/>
      <c r="K94" s="389"/>
      <c r="L94" s="390"/>
      <c r="M94" s="390"/>
      <c r="N94" s="390"/>
      <c r="O94" s="390"/>
      <c r="P94" s="390"/>
      <c r="Q94" s="390"/>
      <c r="R94" s="390"/>
      <c r="S94" s="391"/>
      <c r="T94" s="392"/>
      <c r="U94" s="392"/>
      <c r="V94" s="392"/>
      <c r="W94" s="392"/>
      <c r="X94" s="393"/>
      <c r="Y94" s="393"/>
      <c r="Z94" s="393"/>
      <c r="AA94" s="393"/>
      <c r="AB94" s="393"/>
      <c r="AC94" s="393"/>
      <c r="AD94" s="394"/>
      <c r="AF94" s="50"/>
    </row>
    <row r="95" spans="1:32" ht="36" thickBot="1">
      <c r="A95" s="386" t="s">
        <v>749</v>
      </c>
      <c r="B95" s="386"/>
      <c r="C95" s="386"/>
      <c r="D95" s="386"/>
      <c r="E95" s="386"/>
      <c r="F95" s="37"/>
      <c r="G95" s="37"/>
      <c r="H95" s="38"/>
      <c r="I95" s="38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F95" s="50"/>
    </row>
    <row r="96" spans="1:32" ht="30.75" customHeight="1" thickBot="1">
      <c r="A96" s="387" t="s">
        <v>111</v>
      </c>
      <c r="B96" s="388"/>
      <c r="C96" s="378" t="s">
        <v>52</v>
      </c>
      <c r="D96" s="378"/>
      <c r="E96" s="378" t="s">
        <v>53</v>
      </c>
      <c r="F96" s="378"/>
      <c r="G96" s="378"/>
      <c r="H96" s="378"/>
      <c r="I96" s="378"/>
      <c r="J96" s="378"/>
      <c r="K96" s="378" t="s">
        <v>54</v>
      </c>
      <c r="L96" s="378"/>
      <c r="M96" s="378"/>
      <c r="N96" s="378"/>
      <c r="O96" s="378"/>
      <c r="P96" s="378"/>
      <c r="Q96" s="378"/>
      <c r="R96" s="378"/>
      <c r="S96" s="378"/>
      <c r="T96" s="378" t="s">
        <v>55</v>
      </c>
      <c r="U96" s="378"/>
      <c r="V96" s="378" t="s">
        <v>56</v>
      </c>
      <c r="W96" s="378"/>
      <c r="X96" s="378"/>
      <c r="Y96" s="378" t="s">
        <v>51</v>
      </c>
      <c r="Z96" s="378"/>
      <c r="AA96" s="378"/>
      <c r="AB96" s="378"/>
      <c r="AC96" s="378"/>
      <c r="AD96" s="379"/>
      <c r="AF96" s="50"/>
    </row>
    <row r="97" spans="1:32" ht="30.75" customHeight="1">
      <c r="A97" s="380">
        <v>1</v>
      </c>
      <c r="B97" s="381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3"/>
      <c r="W97" s="383"/>
      <c r="X97" s="383"/>
      <c r="Y97" s="384"/>
      <c r="Z97" s="384"/>
      <c r="AA97" s="384"/>
      <c r="AB97" s="384"/>
      <c r="AC97" s="384"/>
      <c r="AD97" s="385"/>
      <c r="AF97" s="50"/>
    </row>
    <row r="98" spans="1:32" ht="30.75" customHeight="1">
      <c r="A98" s="373">
        <v>2</v>
      </c>
      <c r="B98" s="374"/>
      <c r="C98" s="375"/>
      <c r="D98" s="375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5"/>
      <c r="P98" s="375"/>
      <c r="Q98" s="375"/>
      <c r="R98" s="375"/>
      <c r="S98" s="375"/>
      <c r="T98" s="376"/>
      <c r="U98" s="376"/>
      <c r="V98" s="377"/>
      <c r="W98" s="377"/>
      <c r="X98" s="377"/>
      <c r="Y98" s="365"/>
      <c r="Z98" s="365"/>
      <c r="AA98" s="365"/>
      <c r="AB98" s="365"/>
      <c r="AC98" s="365"/>
      <c r="AD98" s="366"/>
      <c r="AF98" s="50"/>
    </row>
    <row r="99" spans="1:32" ht="30.75" customHeight="1" thickBot="1">
      <c r="A99" s="367">
        <v>3</v>
      </c>
      <c r="B99" s="368"/>
      <c r="C99" s="369"/>
      <c r="D99" s="369"/>
      <c r="E99" s="369"/>
      <c r="F99" s="369"/>
      <c r="G99" s="369"/>
      <c r="H99" s="369"/>
      <c r="I99" s="369"/>
      <c r="J99" s="369"/>
      <c r="K99" s="369"/>
      <c r="L99" s="369"/>
      <c r="M99" s="369"/>
      <c r="N99" s="369"/>
      <c r="O99" s="369"/>
      <c r="P99" s="369"/>
      <c r="Q99" s="369"/>
      <c r="R99" s="369"/>
      <c r="S99" s="369"/>
      <c r="T99" s="369"/>
      <c r="U99" s="369"/>
      <c r="V99" s="370"/>
      <c r="W99" s="370"/>
      <c r="X99" s="370"/>
      <c r="Y99" s="371"/>
      <c r="Z99" s="371"/>
      <c r="AA99" s="371"/>
      <c r="AB99" s="371"/>
      <c r="AC99" s="371"/>
      <c r="AD99" s="372"/>
      <c r="AF99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4:H34"/>
    <mergeCell ref="A61:E61"/>
    <mergeCell ref="A62:M62"/>
    <mergeCell ref="N62:AD62"/>
    <mergeCell ref="A63:B63"/>
    <mergeCell ref="F63:M63"/>
    <mergeCell ref="P63:Q63"/>
    <mergeCell ref="R63:U63"/>
    <mergeCell ref="V63:AD63"/>
    <mergeCell ref="I4:O4"/>
    <mergeCell ref="P4:Q4"/>
    <mergeCell ref="R4:V4"/>
    <mergeCell ref="W4:AA4"/>
    <mergeCell ref="AB4:AB5"/>
    <mergeCell ref="AC4:AC5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R72:U72"/>
    <mergeCell ref="V72:AD72"/>
    <mergeCell ref="A73:B73"/>
    <mergeCell ref="F73:M73"/>
    <mergeCell ref="P73:Q73"/>
    <mergeCell ref="R73:U73"/>
    <mergeCell ref="V73:AD73"/>
    <mergeCell ref="A70:B70"/>
    <mergeCell ref="F70:M70"/>
    <mergeCell ref="P70:Q70"/>
    <mergeCell ref="R70:U70"/>
    <mergeCell ref="V70:AD70"/>
    <mergeCell ref="A71:B71"/>
    <mergeCell ref="F71:M71"/>
    <mergeCell ref="P71:Q71"/>
    <mergeCell ref="R71:U71"/>
    <mergeCell ref="V71:AD71"/>
    <mergeCell ref="A74:E74"/>
    <mergeCell ref="A75:B75"/>
    <mergeCell ref="F75:J75"/>
    <mergeCell ref="K75:L75"/>
    <mergeCell ref="N75:O75"/>
    <mergeCell ref="P75:Q75"/>
    <mergeCell ref="A72:B72"/>
    <mergeCell ref="F72:M72"/>
    <mergeCell ref="P72:Q72"/>
    <mergeCell ref="R75:AA75"/>
    <mergeCell ref="AB75:AD75"/>
    <mergeCell ref="A76:B76"/>
    <mergeCell ref="F76:J76"/>
    <mergeCell ref="K76:L76"/>
    <mergeCell ref="N76:O76"/>
    <mergeCell ref="P76:Q76"/>
    <mergeCell ref="R76:AA76"/>
    <mergeCell ref="AB76:AD76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81:AD81"/>
    <mergeCell ref="A82:B82"/>
    <mergeCell ref="F82:J82"/>
    <mergeCell ref="K82:L82"/>
    <mergeCell ref="N82:O82"/>
    <mergeCell ref="P82:Q82"/>
    <mergeCell ref="R82:AA82"/>
    <mergeCell ref="AB82:AD82"/>
    <mergeCell ref="A81:B81"/>
    <mergeCell ref="F81:J81"/>
    <mergeCell ref="K81:L81"/>
    <mergeCell ref="N81:O81"/>
    <mergeCell ref="P81:Q81"/>
    <mergeCell ref="R81:AA81"/>
    <mergeCell ref="AB83:AD83"/>
    <mergeCell ref="A84:B84"/>
    <mergeCell ref="F84:J84"/>
    <mergeCell ref="K84:L84"/>
    <mergeCell ref="N84:O84"/>
    <mergeCell ref="P84:Q84"/>
    <mergeCell ref="R84:AA84"/>
    <mergeCell ref="AB84:AD84"/>
    <mergeCell ref="A83:B83"/>
    <mergeCell ref="F83:J83"/>
    <mergeCell ref="K83:L83"/>
    <mergeCell ref="N83:O83"/>
    <mergeCell ref="P83:Q83"/>
    <mergeCell ref="R83:AA83"/>
    <mergeCell ref="AB85:AD85"/>
    <mergeCell ref="A86:E86"/>
    <mergeCell ref="A87:B87"/>
    <mergeCell ref="F87:J87"/>
    <mergeCell ref="K87:S87"/>
    <mergeCell ref="T87:U87"/>
    <mergeCell ref="V87:W87"/>
    <mergeCell ref="X87:AD87"/>
    <mergeCell ref="A85:B85"/>
    <mergeCell ref="F85:J85"/>
    <mergeCell ref="K85:L85"/>
    <mergeCell ref="N85:O85"/>
    <mergeCell ref="P85:Q85"/>
    <mergeCell ref="R85:AA85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V94:W94"/>
    <mergeCell ref="X94:AD94"/>
    <mergeCell ref="A93:B93"/>
    <mergeCell ref="F93:J93"/>
    <mergeCell ref="K93:S93"/>
    <mergeCell ref="T93:U93"/>
    <mergeCell ref="V93:W93"/>
    <mergeCell ref="X93:AD93"/>
    <mergeCell ref="A92:B92"/>
    <mergeCell ref="F92:J92"/>
    <mergeCell ref="K92:S92"/>
    <mergeCell ref="T92:U92"/>
    <mergeCell ref="V92:W92"/>
    <mergeCell ref="X92:AD92"/>
    <mergeCell ref="A95:E95"/>
    <mergeCell ref="A96:B96"/>
    <mergeCell ref="C96:D96"/>
    <mergeCell ref="E96:J96"/>
    <mergeCell ref="K96:S96"/>
    <mergeCell ref="T96:U96"/>
    <mergeCell ref="A94:B94"/>
    <mergeCell ref="F94:J94"/>
    <mergeCell ref="K94:S94"/>
    <mergeCell ref="T94:U94"/>
    <mergeCell ref="V96:X96"/>
    <mergeCell ref="Y96:AD96"/>
    <mergeCell ref="A97:B97"/>
    <mergeCell ref="C97:D97"/>
    <mergeCell ref="E97:J97"/>
    <mergeCell ref="K97:S97"/>
    <mergeCell ref="T97:U97"/>
    <mergeCell ref="V97:X97"/>
    <mergeCell ref="Y97:AD97"/>
    <mergeCell ref="Y98:AD98"/>
    <mergeCell ref="A99:B99"/>
    <mergeCell ref="C99:D99"/>
    <mergeCell ref="E99:J99"/>
    <mergeCell ref="K99:S99"/>
    <mergeCell ref="T99:U99"/>
    <mergeCell ref="V99:X99"/>
    <mergeCell ref="Y99:AD99"/>
    <mergeCell ref="A98:B98"/>
    <mergeCell ref="C98:D98"/>
    <mergeCell ref="E98:J98"/>
    <mergeCell ref="K98:S98"/>
    <mergeCell ref="T98:U98"/>
    <mergeCell ref="V98:X98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9" max="2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2054-9CB6-4BE7-AA16-99F963AF5D0F}">
  <sheetPr codeName="Sheet18">
    <pageSetUpPr fitToPage="1"/>
  </sheetPr>
  <dimension ref="A1:AF96"/>
  <sheetViews>
    <sheetView view="pageBreakPreview" zoomScale="70" zoomScaleNormal="72" zoomScaleSheetLayoutView="70" workbookViewId="0">
      <selection activeCell="T21" sqref="T2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8.7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750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302" t="s">
        <v>17</v>
      </c>
      <c r="L5" s="302" t="s">
        <v>18</v>
      </c>
      <c r="M5" s="302" t="s">
        <v>19</v>
      </c>
      <c r="N5" s="30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197</v>
      </c>
      <c r="E6" s="53" t="s">
        <v>397</v>
      </c>
      <c r="F6" s="30" t="s">
        <v>150</v>
      </c>
      <c r="G6" s="12">
        <v>2</v>
      </c>
      <c r="H6" s="13">
        <v>24</v>
      </c>
      <c r="I6" s="31">
        <v>30000</v>
      </c>
      <c r="J6" s="14">
        <v>1634</v>
      </c>
      <c r="K6" s="15">
        <f>L6+7048+10576+10332+1634</f>
        <v>29590</v>
      </c>
      <c r="L6" s="15"/>
      <c r="M6" s="15">
        <f t="shared" ref="M6:M30" si="0">L6-N6</f>
        <v>0</v>
      </c>
      <c r="N6" s="15">
        <v>0</v>
      </c>
      <c r="O6" s="58" t="str">
        <f t="shared" ref="O6:O31" si="1">IF(L6=0,"0",N6/L6)</f>
        <v>0</v>
      </c>
      <c r="P6" s="39" t="str">
        <f t="shared" ref="P6:P30" si="2">IF(L6=0,"0",(24-Q6))</f>
        <v>0</v>
      </c>
      <c r="Q6" s="40">
        <f t="shared" ref="Q6:Q30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30" si="4">IF(J6=0,"0",(L6/J6))</f>
        <v>0</v>
      </c>
      <c r="AC6" s="9">
        <f t="shared" ref="AC6:AC30" si="5">IF(P6=0,"0",(P6/24))</f>
        <v>0</v>
      </c>
      <c r="AD6" s="10">
        <f>AC6*AB6*(1-O6)</f>
        <v>0</v>
      </c>
      <c r="AE6" s="36">
        <f t="shared" ref="AE6:AE30" si="6">$AD$31</f>
        <v>0.43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137</v>
      </c>
      <c r="E7" s="53" t="s">
        <v>742</v>
      </c>
      <c r="F7" s="30" t="s">
        <v>138</v>
      </c>
      <c r="G7" s="12">
        <v>1</v>
      </c>
      <c r="H7" s="13">
        <v>24</v>
      </c>
      <c r="I7" s="31">
        <v>1000</v>
      </c>
      <c r="J7" s="14">
        <v>4450</v>
      </c>
      <c r="K7" s="15">
        <f>L7</f>
        <v>4450</v>
      </c>
      <c r="L7" s="15">
        <f>3143+1307</f>
        <v>4450</v>
      </c>
      <c r="M7" s="15">
        <f t="shared" si="0"/>
        <v>4450</v>
      </c>
      <c r="N7" s="15">
        <v>0</v>
      </c>
      <c r="O7" s="58">
        <f t="shared" si="1"/>
        <v>0</v>
      </c>
      <c r="P7" s="39">
        <f t="shared" si="2"/>
        <v>21</v>
      </c>
      <c r="Q7" s="40">
        <f t="shared" si="3"/>
        <v>3</v>
      </c>
      <c r="R7" s="7"/>
      <c r="S7" s="6">
        <v>3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0.875</v>
      </c>
      <c r="AD7" s="10">
        <f t="shared" ref="AD7:AD30" si="8">AC7*AB7*(1-O7)</f>
        <v>0.875</v>
      </c>
      <c r="AE7" s="36">
        <f t="shared" si="6"/>
        <v>0.43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115</v>
      </c>
      <c r="E8" s="53" t="s">
        <v>725</v>
      </c>
      <c r="F8" s="30" t="s">
        <v>148</v>
      </c>
      <c r="G8" s="12">
        <v>1</v>
      </c>
      <c r="H8" s="13">
        <v>24</v>
      </c>
      <c r="I8" s="7">
        <v>200</v>
      </c>
      <c r="J8" s="14">
        <v>1554</v>
      </c>
      <c r="K8" s="15">
        <f>L8+1554</f>
        <v>1554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8"/>
        <v>0</v>
      </c>
      <c r="AE8" s="36">
        <f t="shared" si="6"/>
        <v>0.43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280</v>
      </c>
      <c r="F9" s="30" t="s">
        <v>306</v>
      </c>
      <c r="G9" s="12">
        <v>1</v>
      </c>
      <c r="H9" s="13">
        <v>24</v>
      </c>
      <c r="I9" s="7">
        <v>9000</v>
      </c>
      <c r="J9" s="14">
        <v>2437</v>
      </c>
      <c r="K9" s="15">
        <f>L9+4799</f>
        <v>7236</v>
      </c>
      <c r="L9" s="15">
        <v>2437</v>
      </c>
      <c r="M9" s="15">
        <f t="shared" si="0"/>
        <v>2437</v>
      </c>
      <c r="N9" s="15">
        <v>0</v>
      </c>
      <c r="O9" s="58">
        <f t="shared" si="1"/>
        <v>0</v>
      </c>
      <c r="P9" s="39">
        <f t="shared" si="2"/>
        <v>11</v>
      </c>
      <c r="Q9" s="40">
        <f t="shared" si="3"/>
        <v>13</v>
      </c>
      <c r="R9" s="7"/>
      <c r="S9" s="6">
        <v>13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0.45833333333333331</v>
      </c>
      <c r="AD9" s="10">
        <f t="shared" si="8"/>
        <v>0.45833333333333331</v>
      </c>
      <c r="AE9" s="36">
        <f t="shared" si="6"/>
        <v>0.43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575</v>
      </c>
      <c r="D10" s="52"/>
      <c r="E10" s="53" t="s">
        <v>576</v>
      </c>
      <c r="F10" s="30" t="s">
        <v>600</v>
      </c>
      <c r="G10" s="33">
        <v>2</v>
      </c>
      <c r="H10" s="35">
        <v>24</v>
      </c>
      <c r="I10" s="7">
        <v>10000</v>
      </c>
      <c r="J10" s="14">
        <v>11000</v>
      </c>
      <c r="K10" s="15">
        <f>L10+6060+10334+10898</f>
        <v>38292</v>
      </c>
      <c r="L10" s="15">
        <f>2760*2+2740*2</f>
        <v>11000</v>
      </c>
      <c r="M10" s="15">
        <f t="shared" si="0"/>
        <v>11000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0.43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116</v>
      </c>
      <c r="D11" s="52" t="s">
        <v>197</v>
      </c>
      <c r="E11" s="53" t="s">
        <v>745</v>
      </c>
      <c r="F11" s="30" t="s">
        <v>306</v>
      </c>
      <c r="G11" s="33">
        <v>1</v>
      </c>
      <c r="H11" s="35">
        <v>24</v>
      </c>
      <c r="I11" s="7">
        <v>5000</v>
      </c>
      <c r="J11" s="14">
        <v>4627</v>
      </c>
      <c r="K11" s="15">
        <f>L11</f>
        <v>4627</v>
      </c>
      <c r="L11" s="15">
        <f>2295+2332</f>
        <v>4627</v>
      </c>
      <c r="M11" s="15">
        <f t="shared" si="0"/>
        <v>4627</v>
      </c>
      <c r="N11" s="15">
        <v>0</v>
      </c>
      <c r="O11" s="58">
        <f t="shared" si="1"/>
        <v>0</v>
      </c>
      <c r="P11" s="39">
        <f t="shared" si="2"/>
        <v>23</v>
      </c>
      <c r="Q11" s="40">
        <f t="shared" si="3"/>
        <v>1</v>
      </c>
      <c r="R11" s="7"/>
      <c r="S11" s="6"/>
      <c r="T11" s="16">
        <v>1</v>
      </c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0.95833333333333337</v>
      </c>
      <c r="AD11" s="10">
        <f t="shared" si="8"/>
        <v>0.95833333333333337</v>
      </c>
      <c r="AE11" s="36">
        <f t="shared" si="6"/>
        <v>0.43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728</v>
      </c>
      <c r="F12" s="30" t="s">
        <v>159</v>
      </c>
      <c r="G12" s="12">
        <v>2</v>
      </c>
      <c r="H12" s="13">
        <v>22</v>
      </c>
      <c r="I12" s="31">
        <v>71000</v>
      </c>
      <c r="J12" s="5">
        <v>9640</v>
      </c>
      <c r="K12" s="15">
        <f>L12+9138</f>
        <v>18778</v>
      </c>
      <c r="L12" s="15">
        <f>2436*2+2384*2</f>
        <v>9640</v>
      </c>
      <c r="M12" s="15">
        <f t="shared" si="0"/>
        <v>9640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0.43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116</v>
      </c>
      <c r="D13" s="52" t="s">
        <v>147</v>
      </c>
      <c r="E13" s="53" t="s">
        <v>729</v>
      </c>
      <c r="F13" s="30" t="s">
        <v>730</v>
      </c>
      <c r="G13" s="33">
        <v>2</v>
      </c>
      <c r="H13" s="35">
        <v>22</v>
      </c>
      <c r="I13" s="7">
        <v>68000</v>
      </c>
      <c r="J13" s="14">
        <v>11004</v>
      </c>
      <c r="K13" s="15">
        <f>L13+10908</f>
        <v>21912</v>
      </c>
      <c r="L13" s="15">
        <f>2858*2+2644*2</f>
        <v>11004</v>
      </c>
      <c r="M13" s="15">
        <f t="shared" si="0"/>
        <v>11004</v>
      </c>
      <c r="N13" s="15">
        <v>0</v>
      </c>
      <c r="O13" s="58">
        <f t="shared" si="1"/>
        <v>0</v>
      </c>
      <c r="P13" s="39">
        <f t="shared" si="2"/>
        <v>22</v>
      </c>
      <c r="Q13" s="40">
        <f t="shared" si="3"/>
        <v>2</v>
      </c>
      <c r="R13" s="7"/>
      <c r="S13" s="6">
        <v>2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0.91666666666666663</v>
      </c>
      <c r="AD13" s="10">
        <f t="shared" si="8"/>
        <v>0.91666666666666663</v>
      </c>
      <c r="AE13" s="36">
        <f t="shared" si="6"/>
        <v>0.43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151</v>
      </c>
      <c r="D14" s="52" t="s">
        <v>751</v>
      </c>
      <c r="E14" s="53" t="s">
        <v>752</v>
      </c>
      <c r="F14" s="30" t="s">
        <v>148</v>
      </c>
      <c r="G14" s="33">
        <v>1</v>
      </c>
      <c r="H14" s="35">
        <v>50</v>
      </c>
      <c r="I14" s="7">
        <v>700</v>
      </c>
      <c r="J14" s="5">
        <v>730</v>
      </c>
      <c r="K14" s="15">
        <f>L14</f>
        <v>730</v>
      </c>
      <c r="L14" s="15">
        <v>730</v>
      </c>
      <c r="M14" s="15">
        <f t="shared" ref="M14" si="9">L14-N14</f>
        <v>730</v>
      </c>
      <c r="N14" s="15">
        <v>0</v>
      </c>
      <c r="O14" s="58">
        <f t="shared" ref="O14" si="10">IF(L14=0,"0",N14/L14)</f>
        <v>0</v>
      </c>
      <c r="P14" s="39">
        <f t="shared" ref="P14" si="11">IF(L14=0,"0",(24-Q14))</f>
        <v>8</v>
      </c>
      <c r="Q14" s="40">
        <f t="shared" ref="Q14" si="12">SUM(R14:AA14)</f>
        <v>16</v>
      </c>
      <c r="R14" s="7"/>
      <c r="S14" s="6"/>
      <c r="T14" s="16"/>
      <c r="U14" s="16"/>
      <c r="V14" s="17"/>
      <c r="W14" s="5">
        <v>16</v>
      </c>
      <c r="X14" s="16"/>
      <c r="Y14" s="16"/>
      <c r="Z14" s="16"/>
      <c r="AA14" s="18"/>
      <c r="AB14" s="8">
        <f t="shared" ref="AB14" si="13">IF(J14=0,"0",(L14/J14))</f>
        <v>1</v>
      </c>
      <c r="AC14" s="9">
        <f t="shared" ref="AC14" si="14">IF(P14=0,"0",(P14/24))</f>
        <v>0.33333333333333331</v>
      </c>
      <c r="AD14" s="10">
        <f t="shared" ref="AD14" si="15">AC14*AB14*(1-O14)</f>
        <v>0.33333333333333331</v>
      </c>
      <c r="AE14" s="36">
        <f t="shared" si="6"/>
        <v>0.43</v>
      </c>
      <c r="AF14" s="81">
        <f t="shared" ref="AF14" si="16">A14</f>
        <v>9</v>
      </c>
    </row>
    <row r="15" spans="1:32" ht="27" customHeight="1">
      <c r="A15" s="99">
        <v>9</v>
      </c>
      <c r="B15" s="11" t="s">
        <v>57</v>
      </c>
      <c r="C15" s="34" t="s">
        <v>151</v>
      </c>
      <c r="D15" s="52" t="s">
        <v>115</v>
      </c>
      <c r="E15" s="53" t="s">
        <v>610</v>
      </c>
      <c r="F15" s="30" t="s">
        <v>148</v>
      </c>
      <c r="G15" s="33">
        <v>1</v>
      </c>
      <c r="H15" s="35">
        <v>50</v>
      </c>
      <c r="I15" s="7">
        <v>700</v>
      </c>
      <c r="J15" s="5">
        <v>100</v>
      </c>
      <c r="K15" s="15">
        <f>L15+447+251</f>
        <v>798</v>
      </c>
      <c r="L15" s="15">
        <v>100</v>
      </c>
      <c r="M15" s="15">
        <f t="shared" si="0"/>
        <v>100</v>
      </c>
      <c r="N15" s="15">
        <v>0</v>
      </c>
      <c r="O15" s="58">
        <f t="shared" si="1"/>
        <v>0</v>
      </c>
      <c r="P15" s="39">
        <f t="shared" si="2"/>
        <v>5</v>
      </c>
      <c r="Q15" s="40">
        <f t="shared" si="3"/>
        <v>19</v>
      </c>
      <c r="R15" s="7"/>
      <c r="S15" s="6">
        <v>19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0.20833333333333334</v>
      </c>
      <c r="AD15" s="10">
        <f t="shared" si="8"/>
        <v>0.20833333333333334</v>
      </c>
      <c r="AE15" s="36">
        <f t="shared" si="6"/>
        <v>0.43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126</v>
      </c>
      <c r="D16" s="52"/>
      <c r="E16" s="53" t="s">
        <v>400</v>
      </c>
      <c r="F16" s="30" t="s">
        <v>411</v>
      </c>
      <c r="G16" s="12">
        <v>4</v>
      </c>
      <c r="H16" s="13">
        <v>24</v>
      </c>
      <c r="I16" s="31">
        <v>200000</v>
      </c>
      <c r="J16" s="14">
        <v>37640</v>
      </c>
      <c r="K16" s="15">
        <f>L16+36796+36616+36728+35852+38694+37640</f>
        <v>222326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0.43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197</v>
      </c>
      <c r="E17" s="53" t="s">
        <v>366</v>
      </c>
      <c r="F17" s="30" t="s">
        <v>123</v>
      </c>
      <c r="G17" s="12">
        <v>2</v>
      </c>
      <c r="H17" s="13">
        <v>22</v>
      </c>
      <c r="I17" s="31">
        <v>260000</v>
      </c>
      <c r="J17" s="5">
        <v>11552</v>
      </c>
      <c r="K17" s="15">
        <f>L17+9350+9873+10572+11420+9694+7670+11372+10884+8431+5890+10900+11458</f>
        <v>129066</v>
      </c>
      <c r="L17" s="15">
        <f>2909*2+2867*2</f>
        <v>11552</v>
      </c>
      <c r="M17" s="15">
        <f t="shared" si="0"/>
        <v>11552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0.43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334</v>
      </c>
      <c r="D18" s="52"/>
      <c r="E18" s="53" t="s">
        <v>331</v>
      </c>
      <c r="F18" s="30" t="s">
        <v>183</v>
      </c>
      <c r="G18" s="12">
        <v>1</v>
      </c>
      <c r="H18" s="13">
        <v>24</v>
      </c>
      <c r="I18" s="7">
        <v>600</v>
      </c>
      <c r="J18" s="14">
        <v>600</v>
      </c>
      <c r="K18" s="15">
        <f>L18+600</f>
        <v>600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8"/>
        <v>0</v>
      </c>
      <c r="AE18" s="36">
        <f t="shared" si="6"/>
        <v>0.43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116</v>
      </c>
      <c r="D19" s="52" t="s">
        <v>115</v>
      </c>
      <c r="E19" s="53" t="s">
        <v>371</v>
      </c>
      <c r="F19" s="30" t="s">
        <v>135</v>
      </c>
      <c r="G19" s="12">
        <v>2</v>
      </c>
      <c r="H19" s="13">
        <v>22</v>
      </c>
      <c r="I19" s="31">
        <v>260000</v>
      </c>
      <c r="J19" s="5">
        <v>11286</v>
      </c>
      <c r="K19" s="15">
        <f>L19+10480+11444+11648+11082+10368+10658+11130+11168+12108+9740+10720+10498</f>
        <v>142330</v>
      </c>
      <c r="L19" s="15">
        <f>2870*2+2773*2</f>
        <v>11286</v>
      </c>
      <c r="M19" s="15">
        <f t="shared" si="0"/>
        <v>11286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0.43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147</v>
      </c>
      <c r="E20" s="53" t="s">
        <v>733</v>
      </c>
      <c r="F20" s="30" t="s">
        <v>122</v>
      </c>
      <c r="G20" s="33">
        <v>1</v>
      </c>
      <c r="H20" s="35">
        <v>24</v>
      </c>
      <c r="I20" s="7">
        <v>6000</v>
      </c>
      <c r="J20" s="14">
        <v>4917</v>
      </c>
      <c r="K20" s="15">
        <f>L20+2187</f>
        <v>7104</v>
      </c>
      <c r="L20" s="15">
        <f>2430+2487</f>
        <v>4917</v>
      </c>
      <c r="M20" s="15">
        <f t="shared" si="0"/>
        <v>4917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0.43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116</v>
      </c>
      <c r="D21" s="52" t="s">
        <v>627</v>
      </c>
      <c r="E21" s="53" t="s">
        <v>628</v>
      </c>
      <c r="F21" s="30" t="s">
        <v>348</v>
      </c>
      <c r="G21" s="33" t="s">
        <v>170</v>
      </c>
      <c r="H21" s="35">
        <v>24</v>
      </c>
      <c r="I21" s="7">
        <v>40000</v>
      </c>
      <c r="J21" s="14">
        <v>4809</v>
      </c>
      <c r="K21" s="15">
        <f>L21+3583+3529+4577+4677</f>
        <v>21175</v>
      </c>
      <c r="L21" s="15">
        <f>2445+2364</f>
        <v>4809</v>
      </c>
      <c r="M21" s="15">
        <f t="shared" si="0"/>
        <v>4809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0.43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352</v>
      </c>
      <c r="F22" s="12" t="s">
        <v>114</v>
      </c>
      <c r="G22" s="12">
        <v>4</v>
      </c>
      <c r="H22" s="35">
        <v>20</v>
      </c>
      <c r="I22" s="7">
        <v>2000000</v>
      </c>
      <c r="J22" s="14">
        <v>65016</v>
      </c>
      <c r="K22" s="15">
        <f>L22+64424+64620+22548+54104+64632</f>
        <v>335344</v>
      </c>
      <c r="L22" s="15">
        <f>8228*4+8026*4</f>
        <v>65016</v>
      </c>
      <c r="M22" s="15">
        <f t="shared" si="0"/>
        <v>65016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0.43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0.43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353</v>
      </c>
      <c r="F24" s="12" t="s">
        <v>180</v>
      </c>
      <c r="G24" s="12">
        <v>4</v>
      </c>
      <c r="H24" s="35">
        <v>15</v>
      </c>
      <c r="I24" s="7">
        <v>20000</v>
      </c>
      <c r="J24" s="14">
        <v>24024</v>
      </c>
      <c r="K24" s="15">
        <f>L24+14040+7084+2888+25304+4864+24024</f>
        <v>78204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/>
      <c r="X24" s="16"/>
      <c r="Y24" s="16"/>
      <c r="Z24" s="16"/>
      <c r="AA24" s="18">
        <v>24</v>
      </c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0.43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0.43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30</v>
      </c>
      <c r="H26" s="35">
        <v>20</v>
      </c>
      <c r="I26" s="7">
        <v>2000000</v>
      </c>
      <c r="J26" s="14">
        <v>189476</v>
      </c>
      <c r="K26" s="15">
        <f>L26+322260+481964+478184+484736+189476</f>
        <v>1956620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0.43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115</v>
      </c>
      <c r="E27" s="53" t="s">
        <v>414</v>
      </c>
      <c r="F27" s="12" t="s">
        <v>135</v>
      </c>
      <c r="G27" s="12">
        <v>3</v>
      </c>
      <c r="H27" s="35">
        <v>20</v>
      </c>
      <c r="I27" s="7">
        <v>130000</v>
      </c>
      <c r="J27" s="14">
        <v>15393</v>
      </c>
      <c r="K27" s="15">
        <f>L27+15220+23840+22923+6507+15501+18108+17847+18078+15393</f>
        <v>153417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0.43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197</v>
      </c>
      <c r="E28" s="53" t="s">
        <v>415</v>
      </c>
      <c r="F28" s="12" t="s">
        <v>124</v>
      </c>
      <c r="G28" s="12">
        <v>4</v>
      </c>
      <c r="H28" s="35">
        <v>20</v>
      </c>
      <c r="I28" s="7">
        <v>130000</v>
      </c>
      <c r="J28" s="14">
        <v>24332</v>
      </c>
      <c r="K28" s="15">
        <f>L28+15632+12648+1958+21292+27256+2770+24332</f>
        <v>105888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0.43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416</v>
      </c>
      <c r="F29" s="12" t="s">
        <v>124</v>
      </c>
      <c r="G29" s="12">
        <v>4</v>
      </c>
      <c r="H29" s="35">
        <v>20</v>
      </c>
      <c r="I29" s="7">
        <v>130000</v>
      </c>
      <c r="J29" s="14">
        <v>26116</v>
      </c>
      <c r="K29" s="15">
        <f>L29+27916+29980+10704+25528+29800+29376+29736+26116</f>
        <v>209156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0.43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0.43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17">SUM(I6:I30)</f>
        <v>6442200</v>
      </c>
      <c r="J31" s="19">
        <f t="shared" si="17"/>
        <v>563965</v>
      </c>
      <c r="K31" s="20">
        <f t="shared" si="17"/>
        <v>4197741</v>
      </c>
      <c r="L31" s="21">
        <f t="shared" si="17"/>
        <v>141568</v>
      </c>
      <c r="M31" s="20">
        <f t="shared" si="17"/>
        <v>141568</v>
      </c>
      <c r="N31" s="21">
        <f t="shared" si="17"/>
        <v>0</v>
      </c>
      <c r="O31" s="41">
        <f t="shared" si="1"/>
        <v>0</v>
      </c>
      <c r="P31" s="42">
        <f t="shared" ref="P31:AA31" si="18">SUM(P6:P30)</f>
        <v>258</v>
      </c>
      <c r="Q31" s="43">
        <f t="shared" si="18"/>
        <v>342</v>
      </c>
      <c r="R31" s="23">
        <f t="shared" si="18"/>
        <v>0</v>
      </c>
      <c r="S31" s="24">
        <f t="shared" si="18"/>
        <v>37</v>
      </c>
      <c r="T31" s="24">
        <f t="shared" si="18"/>
        <v>1</v>
      </c>
      <c r="U31" s="24">
        <f t="shared" si="18"/>
        <v>0</v>
      </c>
      <c r="V31" s="25">
        <f t="shared" si="18"/>
        <v>48</v>
      </c>
      <c r="W31" s="26">
        <f t="shared" si="18"/>
        <v>232</v>
      </c>
      <c r="X31" s="27">
        <f t="shared" si="18"/>
        <v>0</v>
      </c>
      <c r="Y31" s="27">
        <f t="shared" si="18"/>
        <v>0</v>
      </c>
      <c r="Z31" s="27">
        <f t="shared" si="18"/>
        <v>0</v>
      </c>
      <c r="AA31" s="27">
        <f t="shared" si="18"/>
        <v>24</v>
      </c>
      <c r="AB31" s="28">
        <f>AVERAGE(AB6:AB30)</f>
        <v>0.54166666666666663</v>
      </c>
      <c r="AC31" s="4">
        <f>AVERAGE(AC6:AC30)</f>
        <v>0.43</v>
      </c>
      <c r="AD31" s="4">
        <f>AVERAGE(AD6:AD30)</f>
        <v>0.43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 ht="7.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 ht="7.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 ht="7.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 ht="7.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 ht="7.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 ht="7.5" customHeight="1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 ht="7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 ht="7.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 ht="7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7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7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7.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7.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7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12" customHeight="1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12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12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12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12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12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2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2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2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753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762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303" t="s">
        <v>46</v>
      </c>
      <c r="D60" s="303" t="s">
        <v>47</v>
      </c>
      <c r="E60" s="303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303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112</v>
      </c>
      <c r="B61" s="431"/>
      <c r="C61" s="304" t="s">
        <v>160</v>
      </c>
      <c r="D61" s="304" t="s">
        <v>754</v>
      </c>
      <c r="E61" s="305" t="s">
        <v>755</v>
      </c>
      <c r="F61" s="432" t="s">
        <v>154</v>
      </c>
      <c r="G61" s="433"/>
      <c r="H61" s="433"/>
      <c r="I61" s="433"/>
      <c r="J61" s="433"/>
      <c r="K61" s="433"/>
      <c r="L61" s="433"/>
      <c r="M61" s="434"/>
      <c r="N61" s="141" t="s">
        <v>112</v>
      </c>
      <c r="O61" s="310" t="s">
        <v>139</v>
      </c>
      <c r="P61" s="447" t="s">
        <v>149</v>
      </c>
      <c r="Q61" s="448"/>
      <c r="R61" s="447" t="s">
        <v>763</v>
      </c>
      <c r="S61" s="449"/>
      <c r="T61" s="449"/>
      <c r="U61" s="448"/>
      <c r="V61" s="436" t="s">
        <v>154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116</v>
      </c>
      <c r="B62" s="431"/>
      <c r="C62" s="304" t="s">
        <v>142</v>
      </c>
      <c r="D62" s="304" t="s">
        <v>197</v>
      </c>
      <c r="E62" s="305" t="s">
        <v>280</v>
      </c>
      <c r="F62" s="432" t="s">
        <v>230</v>
      </c>
      <c r="G62" s="433"/>
      <c r="H62" s="433"/>
      <c r="I62" s="433"/>
      <c r="J62" s="433"/>
      <c r="K62" s="433"/>
      <c r="L62" s="433"/>
      <c r="M62" s="434"/>
      <c r="N62" s="141" t="s">
        <v>151</v>
      </c>
      <c r="O62" s="310" t="s">
        <v>219</v>
      </c>
      <c r="P62" s="447" t="s">
        <v>115</v>
      </c>
      <c r="Q62" s="448"/>
      <c r="R62" s="447" t="s">
        <v>610</v>
      </c>
      <c r="S62" s="449"/>
      <c r="T62" s="449"/>
      <c r="U62" s="448"/>
      <c r="V62" s="436" t="s">
        <v>141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116</v>
      </c>
      <c r="B63" s="431"/>
      <c r="C63" s="304" t="s">
        <v>756</v>
      </c>
      <c r="D63" s="304" t="s">
        <v>147</v>
      </c>
      <c r="E63" s="305" t="s">
        <v>757</v>
      </c>
      <c r="F63" s="432" t="s">
        <v>758</v>
      </c>
      <c r="G63" s="433"/>
      <c r="H63" s="433"/>
      <c r="I63" s="433"/>
      <c r="J63" s="433"/>
      <c r="K63" s="433"/>
      <c r="L63" s="433"/>
      <c r="M63" s="434"/>
      <c r="N63" s="141" t="s">
        <v>112</v>
      </c>
      <c r="O63" s="310" t="s">
        <v>743</v>
      </c>
      <c r="P63" s="447" t="s">
        <v>121</v>
      </c>
      <c r="Q63" s="448"/>
      <c r="R63" s="447" t="s">
        <v>764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151</v>
      </c>
      <c r="B64" s="431"/>
      <c r="C64" s="304" t="s">
        <v>219</v>
      </c>
      <c r="D64" s="304" t="s">
        <v>115</v>
      </c>
      <c r="E64" s="305" t="s">
        <v>610</v>
      </c>
      <c r="F64" s="432" t="s">
        <v>735</v>
      </c>
      <c r="G64" s="433"/>
      <c r="H64" s="433"/>
      <c r="I64" s="433"/>
      <c r="J64" s="433"/>
      <c r="K64" s="433"/>
      <c r="L64" s="433"/>
      <c r="M64" s="434"/>
      <c r="N64" s="141" t="s">
        <v>765</v>
      </c>
      <c r="O64" s="310" t="s">
        <v>766</v>
      </c>
      <c r="P64" s="447" t="s">
        <v>767</v>
      </c>
      <c r="Q64" s="448"/>
      <c r="R64" s="447" t="s">
        <v>768</v>
      </c>
      <c r="S64" s="449"/>
      <c r="T64" s="449"/>
      <c r="U64" s="448"/>
      <c r="V64" s="436" t="s">
        <v>141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151</v>
      </c>
      <c r="B65" s="431"/>
      <c r="C65" s="320" t="s">
        <v>219</v>
      </c>
      <c r="D65" s="320" t="s">
        <v>227</v>
      </c>
      <c r="E65" s="321" t="s">
        <v>752</v>
      </c>
      <c r="F65" s="432" t="s">
        <v>759</v>
      </c>
      <c r="G65" s="433"/>
      <c r="H65" s="433"/>
      <c r="I65" s="433"/>
      <c r="J65" s="433"/>
      <c r="K65" s="433"/>
      <c r="L65" s="433"/>
      <c r="M65" s="434"/>
      <c r="N65" s="141" t="s">
        <v>112</v>
      </c>
      <c r="O65" s="310" t="s">
        <v>770</v>
      </c>
      <c r="P65" s="447" t="s">
        <v>771</v>
      </c>
      <c r="Q65" s="448"/>
      <c r="R65" s="447" t="s">
        <v>769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116</v>
      </c>
      <c r="B66" s="431"/>
      <c r="C66" s="304" t="s">
        <v>761</v>
      </c>
      <c r="D66" s="304" t="s">
        <v>197</v>
      </c>
      <c r="E66" s="305" t="s">
        <v>760</v>
      </c>
      <c r="F66" s="432" t="s">
        <v>154</v>
      </c>
      <c r="G66" s="433"/>
      <c r="H66" s="433"/>
      <c r="I66" s="433"/>
      <c r="J66" s="433"/>
      <c r="K66" s="433"/>
      <c r="L66" s="433"/>
      <c r="M66" s="434"/>
      <c r="N66" s="141" t="s">
        <v>112</v>
      </c>
      <c r="O66" s="310" t="s">
        <v>773</v>
      </c>
      <c r="P66" s="447" t="s">
        <v>115</v>
      </c>
      <c r="Q66" s="448"/>
      <c r="R66" s="447" t="s">
        <v>772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/>
      <c r="B67" s="431"/>
      <c r="C67" s="304"/>
      <c r="D67" s="304"/>
      <c r="E67" s="305"/>
      <c r="F67" s="432"/>
      <c r="G67" s="433"/>
      <c r="H67" s="433"/>
      <c r="I67" s="433"/>
      <c r="J67" s="433"/>
      <c r="K67" s="433"/>
      <c r="L67" s="433"/>
      <c r="M67" s="434"/>
      <c r="N67" s="141"/>
      <c r="O67" s="310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304"/>
      <c r="D68" s="304"/>
      <c r="E68" s="305"/>
      <c r="F68" s="432"/>
      <c r="G68" s="433"/>
      <c r="H68" s="433"/>
      <c r="I68" s="433"/>
      <c r="J68" s="433"/>
      <c r="K68" s="433"/>
      <c r="L68" s="433"/>
      <c r="M68" s="434"/>
      <c r="N68" s="141"/>
      <c r="O68" s="310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/>
      <c r="B69" s="431"/>
      <c r="C69" s="304"/>
      <c r="D69" s="304"/>
      <c r="E69" s="305"/>
      <c r="F69" s="432"/>
      <c r="G69" s="433"/>
      <c r="H69" s="433"/>
      <c r="I69" s="433"/>
      <c r="J69" s="433"/>
      <c r="K69" s="433"/>
      <c r="L69" s="433"/>
      <c r="M69" s="434"/>
      <c r="N69" s="141"/>
      <c r="O69" s="310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306"/>
      <c r="D70" s="307"/>
      <c r="E70" s="306"/>
      <c r="F70" s="490"/>
      <c r="G70" s="491"/>
      <c r="H70" s="491"/>
      <c r="I70" s="491"/>
      <c r="J70" s="491"/>
      <c r="K70" s="491"/>
      <c r="L70" s="491"/>
      <c r="M70" s="492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774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308" t="s">
        <v>2</v>
      </c>
      <c r="D72" s="308" t="s">
        <v>37</v>
      </c>
      <c r="E72" s="308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308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765</v>
      </c>
      <c r="D73" s="312"/>
      <c r="E73" s="309" t="s">
        <v>767</v>
      </c>
      <c r="F73" s="416" t="s">
        <v>775</v>
      </c>
      <c r="G73" s="406"/>
      <c r="H73" s="406"/>
      <c r="I73" s="406"/>
      <c r="J73" s="406"/>
      <c r="K73" s="406" t="s">
        <v>776</v>
      </c>
      <c r="L73" s="406"/>
      <c r="M73" s="51" t="s">
        <v>777</v>
      </c>
      <c r="N73" s="417" t="s">
        <v>770</v>
      </c>
      <c r="O73" s="417"/>
      <c r="P73" s="418">
        <v>100</v>
      </c>
      <c r="Q73" s="418"/>
      <c r="R73" s="419" t="s">
        <v>778</v>
      </c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 t="s">
        <v>780</v>
      </c>
      <c r="D74" s="312"/>
      <c r="E74" s="309"/>
      <c r="F74" s="420" t="s">
        <v>779</v>
      </c>
      <c r="G74" s="421"/>
      <c r="H74" s="421"/>
      <c r="I74" s="421"/>
      <c r="J74" s="422"/>
      <c r="K74" s="406" t="s">
        <v>781</v>
      </c>
      <c r="L74" s="406"/>
      <c r="M74" s="51" t="s">
        <v>782</v>
      </c>
      <c r="N74" s="417" t="s">
        <v>770</v>
      </c>
      <c r="O74" s="417"/>
      <c r="P74" s="418"/>
      <c r="Q74" s="418"/>
      <c r="R74" s="419" t="s">
        <v>783</v>
      </c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 t="s">
        <v>780</v>
      </c>
      <c r="D75" s="312"/>
      <c r="E75" s="309"/>
      <c r="F75" s="416" t="s">
        <v>784</v>
      </c>
      <c r="G75" s="406"/>
      <c r="H75" s="406"/>
      <c r="I75" s="406"/>
      <c r="J75" s="406"/>
      <c r="K75" s="406" t="s">
        <v>785</v>
      </c>
      <c r="L75" s="406"/>
      <c r="M75" s="51" t="s">
        <v>782</v>
      </c>
      <c r="N75" s="417" t="s">
        <v>770</v>
      </c>
      <c r="O75" s="417"/>
      <c r="P75" s="418"/>
      <c r="Q75" s="418"/>
      <c r="R75" s="419" t="s">
        <v>786</v>
      </c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 t="s">
        <v>780</v>
      </c>
      <c r="D76" s="312"/>
      <c r="E76" s="309"/>
      <c r="F76" s="420" t="s">
        <v>787</v>
      </c>
      <c r="G76" s="421"/>
      <c r="H76" s="421"/>
      <c r="I76" s="421"/>
      <c r="J76" s="422"/>
      <c r="K76" s="406" t="s">
        <v>788</v>
      </c>
      <c r="L76" s="406"/>
      <c r="M76" s="51" t="s">
        <v>782</v>
      </c>
      <c r="N76" s="417" t="s">
        <v>770</v>
      </c>
      <c r="O76" s="417"/>
      <c r="P76" s="418">
        <v>50</v>
      </c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 t="s">
        <v>765</v>
      </c>
      <c r="D77" s="312"/>
      <c r="E77" s="309" t="s">
        <v>790</v>
      </c>
      <c r="F77" s="420" t="s">
        <v>789</v>
      </c>
      <c r="G77" s="421"/>
      <c r="H77" s="421"/>
      <c r="I77" s="421"/>
      <c r="J77" s="422"/>
      <c r="K77" s="406" t="s">
        <v>791</v>
      </c>
      <c r="L77" s="406"/>
      <c r="M77" s="51" t="s">
        <v>792</v>
      </c>
      <c r="N77" s="417" t="s">
        <v>793</v>
      </c>
      <c r="O77" s="417"/>
      <c r="P77" s="418">
        <v>1000</v>
      </c>
      <c r="Q77" s="418"/>
      <c r="R77" s="419" t="s">
        <v>794</v>
      </c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312"/>
      <c r="E78" s="309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312"/>
      <c r="E79" s="309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312"/>
      <c r="E80" s="309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312"/>
      <c r="E81" s="309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312"/>
      <c r="E82" s="309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795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311" t="s">
        <v>2</v>
      </c>
      <c r="D84" s="311" t="s">
        <v>37</v>
      </c>
      <c r="E84" s="311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313"/>
      <c r="D85" s="313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312"/>
      <c r="D86" s="312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9">A86+1</f>
        <v>3</v>
      </c>
      <c r="B87" s="374"/>
      <c r="C87" s="312"/>
      <c r="D87" s="312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9"/>
        <v>4</v>
      </c>
      <c r="B88" s="374"/>
      <c r="C88" s="312"/>
      <c r="D88" s="312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5</v>
      </c>
      <c r="B89" s="374"/>
      <c r="C89" s="312"/>
      <c r="D89" s="312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6</v>
      </c>
      <c r="B90" s="374"/>
      <c r="C90" s="312"/>
      <c r="D90" s="312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7</v>
      </c>
      <c r="B91" s="374"/>
      <c r="C91" s="312"/>
      <c r="D91" s="312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796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6" max="29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7E2C-BB55-4DD8-97DE-29D3EC9ED754}">
  <sheetPr>
    <pageSetUpPr fitToPage="1"/>
  </sheetPr>
  <dimension ref="A1:AF95"/>
  <sheetViews>
    <sheetView view="pageBreakPreview" zoomScale="70" zoomScaleNormal="72" zoomScaleSheetLayoutView="70" workbookViewId="0">
      <selection activeCell="A92" sqref="A92:B9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8.7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797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325" t="s">
        <v>17</v>
      </c>
      <c r="L5" s="325" t="s">
        <v>18</v>
      </c>
      <c r="M5" s="325" t="s">
        <v>19</v>
      </c>
      <c r="N5" s="32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112</v>
      </c>
      <c r="D6" s="52" t="s">
        <v>149</v>
      </c>
      <c r="E6" s="53" t="s">
        <v>763</v>
      </c>
      <c r="F6" s="30" t="s">
        <v>798</v>
      </c>
      <c r="G6" s="12">
        <v>1</v>
      </c>
      <c r="H6" s="13">
        <v>24</v>
      </c>
      <c r="I6" s="31">
        <v>6000</v>
      </c>
      <c r="J6" s="14">
        <v>4624</v>
      </c>
      <c r="K6" s="15">
        <f>L6</f>
        <v>4624</v>
      </c>
      <c r="L6" s="15">
        <f>1447+3177</f>
        <v>4624</v>
      </c>
      <c r="M6" s="15">
        <f t="shared" ref="M6:M29" si="0">L6-N6</f>
        <v>4624</v>
      </c>
      <c r="N6" s="15">
        <v>0</v>
      </c>
      <c r="O6" s="58">
        <f t="shared" ref="O6:O30" si="1">IF(L6=0,"0",N6/L6)</f>
        <v>0</v>
      </c>
      <c r="P6" s="39">
        <f t="shared" ref="P6:P29" si="2">IF(L6=0,"0",(24-Q6))</f>
        <v>20</v>
      </c>
      <c r="Q6" s="40">
        <f t="shared" ref="Q6:Q29" si="3">SUM(R6:AA6)</f>
        <v>4</v>
      </c>
      <c r="R6" s="7"/>
      <c r="S6" s="6">
        <v>4</v>
      </c>
      <c r="T6" s="16"/>
      <c r="U6" s="16"/>
      <c r="V6" s="17"/>
      <c r="W6" s="5"/>
      <c r="X6" s="16"/>
      <c r="Y6" s="16"/>
      <c r="Z6" s="16"/>
      <c r="AA6" s="18"/>
      <c r="AB6" s="8">
        <f t="shared" ref="AB6:AB29" si="4">IF(J6=0,"0",(L6/J6))</f>
        <v>1</v>
      </c>
      <c r="AC6" s="9">
        <f t="shared" ref="AC6:AC29" si="5">IF(P6=0,"0",(P6/24))</f>
        <v>0.83333333333333337</v>
      </c>
      <c r="AD6" s="10">
        <f>AC6*AB6*(1-O6)</f>
        <v>0.83333333333333337</v>
      </c>
      <c r="AE6" s="36">
        <f t="shared" ref="AE6:AE29" si="6">$AD$30</f>
        <v>0.515625</v>
      </c>
      <c r="AF6" s="81">
        <f t="shared" ref="AF6:AF29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137</v>
      </c>
      <c r="E7" s="53" t="s">
        <v>742</v>
      </c>
      <c r="F7" s="30" t="s">
        <v>138</v>
      </c>
      <c r="G7" s="12">
        <v>1</v>
      </c>
      <c r="H7" s="13">
        <v>24</v>
      </c>
      <c r="I7" s="31">
        <v>1000</v>
      </c>
      <c r="J7" s="14">
        <v>5704</v>
      </c>
      <c r="K7" s="15">
        <f>L7+4450</f>
        <v>10154</v>
      </c>
      <c r="L7" s="15">
        <f>2654+3050</f>
        <v>5704</v>
      </c>
      <c r="M7" s="15">
        <f t="shared" si="0"/>
        <v>5704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9" si="8">AC7*AB7*(1-O7)</f>
        <v>1</v>
      </c>
      <c r="AE7" s="36">
        <f t="shared" si="6"/>
        <v>0.515625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769</v>
      </c>
      <c r="F8" s="30" t="s">
        <v>152</v>
      </c>
      <c r="G8" s="12">
        <v>1</v>
      </c>
      <c r="H8" s="13">
        <v>24</v>
      </c>
      <c r="I8" s="7">
        <v>1500</v>
      </c>
      <c r="J8" s="14">
        <v>3372</v>
      </c>
      <c r="K8" s="15">
        <f>L8</f>
        <v>3372</v>
      </c>
      <c r="L8" s="15">
        <f>1452+1920</f>
        <v>3372</v>
      </c>
      <c r="M8" s="15">
        <f t="shared" si="0"/>
        <v>3372</v>
      </c>
      <c r="N8" s="15">
        <v>0</v>
      </c>
      <c r="O8" s="58">
        <f t="shared" si="1"/>
        <v>0</v>
      </c>
      <c r="P8" s="39">
        <f t="shared" si="2"/>
        <v>19</v>
      </c>
      <c r="Q8" s="40">
        <f t="shared" si="3"/>
        <v>5</v>
      </c>
      <c r="R8" s="7"/>
      <c r="S8" s="6"/>
      <c r="T8" s="16"/>
      <c r="U8" s="16"/>
      <c r="V8" s="17"/>
      <c r="W8" s="5"/>
      <c r="X8" s="16"/>
      <c r="Y8" s="16"/>
      <c r="Z8" s="16"/>
      <c r="AA8" s="18">
        <v>5</v>
      </c>
      <c r="AB8" s="8">
        <f t="shared" si="4"/>
        <v>1</v>
      </c>
      <c r="AC8" s="9">
        <f t="shared" si="5"/>
        <v>0.79166666666666663</v>
      </c>
      <c r="AD8" s="10">
        <f t="shared" si="8"/>
        <v>0.79166666666666663</v>
      </c>
      <c r="AE8" s="36">
        <f t="shared" si="6"/>
        <v>0.515625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280</v>
      </c>
      <c r="F9" s="30" t="s">
        <v>306</v>
      </c>
      <c r="G9" s="12">
        <v>1</v>
      </c>
      <c r="H9" s="13">
        <v>24</v>
      </c>
      <c r="I9" s="7">
        <v>9000</v>
      </c>
      <c r="J9" s="14">
        <v>2839</v>
      </c>
      <c r="K9" s="15">
        <f>L9+4799+2437</f>
        <v>10075</v>
      </c>
      <c r="L9" s="15">
        <v>2839</v>
      </c>
      <c r="M9" s="15">
        <f t="shared" si="0"/>
        <v>2839</v>
      </c>
      <c r="N9" s="15">
        <v>0</v>
      </c>
      <c r="O9" s="58">
        <f t="shared" si="1"/>
        <v>0</v>
      </c>
      <c r="P9" s="39">
        <f t="shared" si="2"/>
        <v>14</v>
      </c>
      <c r="Q9" s="40">
        <f t="shared" si="3"/>
        <v>10</v>
      </c>
      <c r="R9" s="7"/>
      <c r="S9" s="6">
        <v>10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0.58333333333333337</v>
      </c>
      <c r="AD9" s="10">
        <f t="shared" si="8"/>
        <v>0.58333333333333337</v>
      </c>
      <c r="AE9" s="36">
        <f t="shared" si="6"/>
        <v>0.515625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575</v>
      </c>
      <c r="D10" s="52"/>
      <c r="E10" s="53" t="s">
        <v>576</v>
      </c>
      <c r="F10" s="30" t="s">
        <v>600</v>
      </c>
      <c r="G10" s="33">
        <v>2</v>
      </c>
      <c r="H10" s="35">
        <v>24</v>
      </c>
      <c r="I10" s="7">
        <v>10000</v>
      </c>
      <c r="J10" s="14">
        <v>9036</v>
      </c>
      <c r="K10" s="15">
        <f>L10+6060+10334+10898+11000</f>
        <v>47328</v>
      </c>
      <c r="L10" s="15">
        <f>2020*2+1611*2+887*2</f>
        <v>9036</v>
      </c>
      <c r="M10" s="15">
        <f t="shared" si="0"/>
        <v>9036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0.515625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121</v>
      </c>
      <c r="E11" s="53" t="s">
        <v>764</v>
      </c>
      <c r="F11" s="30" t="s">
        <v>165</v>
      </c>
      <c r="G11" s="33">
        <v>1</v>
      </c>
      <c r="H11" s="35">
        <v>24</v>
      </c>
      <c r="I11" s="7">
        <v>6000</v>
      </c>
      <c r="J11" s="14">
        <v>4760</v>
      </c>
      <c r="K11" s="15">
        <f>L11</f>
        <v>4760</v>
      </c>
      <c r="L11" s="15">
        <f>2086+2674</f>
        <v>4760</v>
      </c>
      <c r="M11" s="15">
        <f t="shared" si="0"/>
        <v>4760</v>
      </c>
      <c r="N11" s="15">
        <v>0</v>
      </c>
      <c r="O11" s="58">
        <f t="shared" si="1"/>
        <v>0</v>
      </c>
      <c r="P11" s="39">
        <f t="shared" si="2"/>
        <v>23</v>
      </c>
      <c r="Q11" s="40">
        <f t="shared" si="3"/>
        <v>1</v>
      </c>
      <c r="R11" s="7"/>
      <c r="S11" s="6"/>
      <c r="T11" s="16">
        <v>1</v>
      </c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0.95833333333333337</v>
      </c>
      <c r="AD11" s="10">
        <f t="shared" si="8"/>
        <v>0.95833333333333337</v>
      </c>
      <c r="AE11" s="36">
        <f t="shared" si="6"/>
        <v>0.515625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691</v>
      </c>
      <c r="F12" s="30" t="s">
        <v>159</v>
      </c>
      <c r="G12" s="12">
        <v>2</v>
      </c>
      <c r="H12" s="13">
        <v>22</v>
      </c>
      <c r="I12" s="31">
        <v>71000</v>
      </c>
      <c r="J12" s="5">
        <v>10002</v>
      </c>
      <c r="K12" s="15">
        <f>L12+9138+9640</f>
        <v>28780</v>
      </c>
      <c r="L12" s="15">
        <f>2643*2+2358*2</f>
        <v>10002</v>
      </c>
      <c r="M12" s="15">
        <f t="shared" si="0"/>
        <v>10002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0.515625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116</v>
      </c>
      <c r="D13" s="52" t="s">
        <v>147</v>
      </c>
      <c r="E13" s="53" t="s">
        <v>692</v>
      </c>
      <c r="F13" s="30" t="s">
        <v>730</v>
      </c>
      <c r="G13" s="33">
        <v>2</v>
      </c>
      <c r="H13" s="35">
        <v>22</v>
      </c>
      <c r="I13" s="7">
        <v>68000</v>
      </c>
      <c r="J13" s="14">
        <v>14278</v>
      </c>
      <c r="K13" s="15">
        <f>L13+10908+11004</f>
        <v>36190</v>
      </c>
      <c r="L13" s="15">
        <f>3644*2+3495*2</f>
        <v>14278</v>
      </c>
      <c r="M13" s="15">
        <f t="shared" si="0"/>
        <v>14278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0.515625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151</v>
      </c>
      <c r="D14" s="52" t="s">
        <v>115</v>
      </c>
      <c r="E14" s="53" t="s">
        <v>610</v>
      </c>
      <c r="F14" s="30" t="s">
        <v>148</v>
      </c>
      <c r="G14" s="33">
        <v>1</v>
      </c>
      <c r="H14" s="35">
        <v>50</v>
      </c>
      <c r="I14" s="7">
        <v>700</v>
      </c>
      <c r="J14" s="5">
        <v>244</v>
      </c>
      <c r="K14" s="15">
        <f>L14+447+251+100</f>
        <v>1042</v>
      </c>
      <c r="L14" s="15">
        <f>59+185</f>
        <v>244</v>
      </c>
      <c r="M14" s="15">
        <f t="shared" si="0"/>
        <v>244</v>
      </c>
      <c r="N14" s="15">
        <v>0</v>
      </c>
      <c r="O14" s="58">
        <f t="shared" si="1"/>
        <v>0</v>
      </c>
      <c r="P14" s="39">
        <f t="shared" si="2"/>
        <v>5</v>
      </c>
      <c r="Q14" s="40">
        <f t="shared" si="3"/>
        <v>19</v>
      </c>
      <c r="R14" s="7"/>
      <c r="S14" s="6">
        <v>19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0.20833333333333334</v>
      </c>
      <c r="AD14" s="10">
        <f t="shared" si="8"/>
        <v>0.20833333333333334</v>
      </c>
      <c r="AE14" s="36">
        <f t="shared" si="6"/>
        <v>0.515625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799</v>
      </c>
      <c r="E15" s="53" t="s">
        <v>800</v>
      </c>
      <c r="F15" s="30" t="s">
        <v>138</v>
      </c>
      <c r="G15" s="12">
        <v>1</v>
      </c>
      <c r="H15" s="13">
        <v>24</v>
      </c>
      <c r="I15" s="31">
        <v>2000</v>
      </c>
      <c r="J15" s="14">
        <v>2924</v>
      </c>
      <c r="K15" s="15">
        <f>L15</f>
        <v>2924</v>
      </c>
      <c r="L15" s="15">
        <f>2924</f>
        <v>2924</v>
      </c>
      <c r="M15" s="15">
        <f t="shared" si="0"/>
        <v>2924</v>
      </c>
      <c r="N15" s="15">
        <v>0</v>
      </c>
      <c r="O15" s="58">
        <f t="shared" si="1"/>
        <v>0</v>
      </c>
      <c r="P15" s="39">
        <f t="shared" si="2"/>
        <v>15</v>
      </c>
      <c r="Q15" s="40">
        <f t="shared" si="3"/>
        <v>9</v>
      </c>
      <c r="R15" s="7"/>
      <c r="S15" s="6"/>
      <c r="T15" s="16">
        <v>9</v>
      </c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0.625</v>
      </c>
      <c r="AD15" s="10">
        <f t="shared" si="8"/>
        <v>0.625</v>
      </c>
      <c r="AE15" s="36">
        <f t="shared" si="6"/>
        <v>0.515625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197</v>
      </c>
      <c r="E16" s="53" t="s">
        <v>366</v>
      </c>
      <c r="F16" s="30" t="s">
        <v>123</v>
      </c>
      <c r="G16" s="12">
        <v>2</v>
      </c>
      <c r="H16" s="13">
        <v>22</v>
      </c>
      <c r="I16" s="31">
        <v>260000</v>
      </c>
      <c r="J16" s="5">
        <v>11940</v>
      </c>
      <c r="K16" s="15">
        <f>L16+9350+9873+10572+11420+9694+7670+11372+10884+8431+5890+10900+11458+11552</f>
        <v>141006</v>
      </c>
      <c r="L16" s="15">
        <f>3127*2+2843*2</f>
        <v>11940</v>
      </c>
      <c r="M16" s="15">
        <f t="shared" si="0"/>
        <v>11940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0.515625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334</v>
      </c>
      <c r="D17" s="52"/>
      <c r="E17" s="53" t="s">
        <v>331</v>
      </c>
      <c r="F17" s="30" t="s">
        <v>183</v>
      </c>
      <c r="G17" s="12">
        <v>1</v>
      </c>
      <c r="H17" s="13">
        <v>24</v>
      </c>
      <c r="I17" s="7">
        <v>600</v>
      </c>
      <c r="J17" s="14">
        <v>600</v>
      </c>
      <c r="K17" s="15">
        <f>L17+600</f>
        <v>600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0.515625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371</v>
      </c>
      <c r="F18" s="30" t="s">
        <v>135</v>
      </c>
      <c r="G18" s="12">
        <v>2</v>
      </c>
      <c r="H18" s="13">
        <v>22</v>
      </c>
      <c r="I18" s="31">
        <v>260000</v>
      </c>
      <c r="J18" s="5">
        <v>11772</v>
      </c>
      <c r="K18" s="15">
        <f>L18+10480+11444+11648+11082+10368+10658+11130+11168+12108+9740+10720+10498+11286</f>
        <v>154102</v>
      </c>
      <c r="L18" s="15">
        <f>3114*2+2772*2</f>
        <v>11772</v>
      </c>
      <c r="M18" s="15">
        <f t="shared" si="0"/>
        <v>11772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0.515625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112</v>
      </c>
      <c r="D19" s="52" t="s">
        <v>115</v>
      </c>
      <c r="E19" s="53" t="s">
        <v>732</v>
      </c>
      <c r="F19" s="30" t="s">
        <v>122</v>
      </c>
      <c r="G19" s="33">
        <v>1</v>
      </c>
      <c r="H19" s="35">
        <v>24</v>
      </c>
      <c r="I19" s="7">
        <v>6000</v>
      </c>
      <c r="J19" s="14">
        <v>1720</v>
      </c>
      <c r="K19" s="15">
        <f>L19</f>
        <v>1720</v>
      </c>
      <c r="L19" s="15">
        <f>1058+662</f>
        <v>1720</v>
      </c>
      <c r="M19" s="15">
        <f t="shared" si="0"/>
        <v>1720</v>
      </c>
      <c r="N19" s="15">
        <v>0</v>
      </c>
      <c r="O19" s="58">
        <f t="shared" si="1"/>
        <v>0</v>
      </c>
      <c r="P19" s="39">
        <f t="shared" si="2"/>
        <v>9</v>
      </c>
      <c r="Q19" s="40">
        <f t="shared" si="3"/>
        <v>15</v>
      </c>
      <c r="R19" s="7"/>
      <c r="S19" s="6">
        <v>15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0.375</v>
      </c>
      <c r="AD19" s="10">
        <f t="shared" si="8"/>
        <v>0.375</v>
      </c>
      <c r="AE19" s="36">
        <f t="shared" si="6"/>
        <v>0.515625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116</v>
      </c>
      <c r="D20" s="52" t="s">
        <v>627</v>
      </c>
      <c r="E20" s="53" t="s">
        <v>628</v>
      </c>
      <c r="F20" s="30" t="s">
        <v>348</v>
      </c>
      <c r="G20" s="33" t="s">
        <v>170</v>
      </c>
      <c r="H20" s="35">
        <v>24</v>
      </c>
      <c r="I20" s="7">
        <v>40000</v>
      </c>
      <c r="J20" s="14">
        <v>5003</v>
      </c>
      <c r="K20" s="15">
        <f>L20+3583+3529+4577+4677+4809</f>
        <v>26178</v>
      </c>
      <c r="L20" s="15">
        <f>2645+2358</f>
        <v>5003</v>
      </c>
      <c r="M20" s="15">
        <f t="shared" si="0"/>
        <v>5003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0.515625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352</v>
      </c>
      <c r="F21" s="12" t="s">
        <v>114</v>
      </c>
      <c r="G21" s="12">
        <v>4</v>
      </c>
      <c r="H21" s="35">
        <v>20</v>
      </c>
      <c r="I21" s="7">
        <v>2000000</v>
      </c>
      <c r="J21" s="14">
        <v>67504</v>
      </c>
      <c r="K21" s="15">
        <f>L21+64424+64620+22548+54104+64632+65016</f>
        <v>402848</v>
      </c>
      <c r="L21" s="15">
        <f>8923*4+7953*4</f>
        <v>67504</v>
      </c>
      <c r="M21" s="15">
        <f t="shared" si="0"/>
        <v>67504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0.515625</v>
      </c>
      <c r="AF21" s="81">
        <f t="shared" si="7"/>
        <v>16</v>
      </c>
    </row>
    <row r="22" spans="1:32" ht="26.25" customHeight="1">
      <c r="A22" s="115">
        <v>17</v>
      </c>
      <c r="B22" s="11" t="s">
        <v>57</v>
      </c>
      <c r="C22" s="11"/>
      <c r="D22" s="52"/>
      <c r="E22" s="53"/>
      <c r="F22" s="12"/>
      <c r="G22" s="12"/>
      <c r="H22" s="35"/>
      <c r="I22" s="7">
        <v>0</v>
      </c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0.515625</v>
      </c>
      <c r="AF22" s="81">
        <f t="shared" si="7"/>
        <v>17</v>
      </c>
    </row>
    <row r="23" spans="1:32" ht="26.25" customHeight="1">
      <c r="A23" s="115">
        <v>18</v>
      </c>
      <c r="B23" s="11" t="s">
        <v>57</v>
      </c>
      <c r="C23" s="11" t="s">
        <v>116</v>
      </c>
      <c r="D23" s="52" t="s">
        <v>178</v>
      </c>
      <c r="E23" s="53" t="s">
        <v>353</v>
      </c>
      <c r="F23" s="12" t="s">
        <v>180</v>
      </c>
      <c r="G23" s="12">
        <v>4</v>
      </c>
      <c r="H23" s="35">
        <v>15</v>
      </c>
      <c r="I23" s="7">
        <v>20000</v>
      </c>
      <c r="J23" s="14">
        <v>24024</v>
      </c>
      <c r="K23" s="15">
        <f>L23+14040+7084+2888+25304+4864+24024</f>
        <v>78204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/>
      <c r="X23" s="16"/>
      <c r="Y23" s="16"/>
      <c r="Z23" s="16"/>
      <c r="AA23" s="18">
        <v>24</v>
      </c>
      <c r="AB23" s="8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0.515625</v>
      </c>
      <c r="AF23" s="81">
        <f t="shared" si="7"/>
        <v>18</v>
      </c>
    </row>
    <row r="24" spans="1:32" ht="21.75" customHeight="1">
      <c r="A24" s="92">
        <v>31</v>
      </c>
      <c r="B24" s="11" t="s">
        <v>57</v>
      </c>
      <c r="C24" s="11" t="s">
        <v>116</v>
      </c>
      <c r="D24" s="52" t="s">
        <v>115</v>
      </c>
      <c r="E24" s="53" t="s">
        <v>143</v>
      </c>
      <c r="F24" s="12" t="s">
        <v>135</v>
      </c>
      <c r="G24" s="12">
        <v>4</v>
      </c>
      <c r="H24" s="35">
        <v>20</v>
      </c>
      <c r="I24" s="7">
        <v>70000</v>
      </c>
      <c r="J24" s="14">
        <v>22300</v>
      </c>
      <c r="K24" s="15">
        <f>L24+22300</f>
        <v>22300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0.515625</v>
      </c>
      <c r="AF24" s="81">
        <f t="shared" si="7"/>
        <v>31</v>
      </c>
    </row>
    <row r="25" spans="1:32" ht="21.75" customHeight="1">
      <c r="A25" s="92">
        <v>32</v>
      </c>
      <c r="B25" s="11" t="s">
        <v>57</v>
      </c>
      <c r="C25" s="11" t="s">
        <v>172</v>
      </c>
      <c r="D25" s="52"/>
      <c r="E25" s="53" t="s">
        <v>171</v>
      </c>
      <c r="F25" s="12" t="s">
        <v>173</v>
      </c>
      <c r="G25" s="12">
        <v>30</v>
      </c>
      <c r="H25" s="35">
        <v>20</v>
      </c>
      <c r="I25" s="7">
        <v>2000000</v>
      </c>
      <c r="J25" s="14">
        <v>189476</v>
      </c>
      <c r="K25" s="15">
        <f>L25+322260+481964+478184+484736+189476</f>
        <v>1956620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0.515625</v>
      </c>
      <c r="AF25" s="81">
        <f t="shared" si="7"/>
        <v>32</v>
      </c>
    </row>
    <row r="26" spans="1:32" ht="21.75" customHeight="1">
      <c r="A26" s="92">
        <v>33</v>
      </c>
      <c r="B26" s="11" t="s">
        <v>57</v>
      </c>
      <c r="C26" s="11" t="s">
        <v>116</v>
      </c>
      <c r="D26" s="52" t="s">
        <v>115</v>
      </c>
      <c r="E26" s="53" t="s">
        <v>414</v>
      </c>
      <c r="F26" s="12" t="s">
        <v>135</v>
      </c>
      <c r="G26" s="12">
        <v>3</v>
      </c>
      <c r="H26" s="35">
        <v>20</v>
      </c>
      <c r="I26" s="7">
        <v>130000</v>
      </c>
      <c r="J26" s="14">
        <v>15393</v>
      </c>
      <c r="K26" s="15">
        <f>L26+15220+23840+22923+6507+15501+18108+17847+18078+15393</f>
        <v>153417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0.515625</v>
      </c>
      <c r="AF26" s="81">
        <f t="shared" si="7"/>
        <v>33</v>
      </c>
    </row>
    <row r="27" spans="1:32" ht="21.75" customHeight="1">
      <c r="A27" s="92">
        <v>34</v>
      </c>
      <c r="B27" s="11" t="s">
        <v>57</v>
      </c>
      <c r="C27" s="11" t="s">
        <v>116</v>
      </c>
      <c r="D27" s="52" t="s">
        <v>197</v>
      </c>
      <c r="E27" s="53" t="s">
        <v>415</v>
      </c>
      <c r="F27" s="12" t="s">
        <v>124</v>
      </c>
      <c r="G27" s="12">
        <v>4</v>
      </c>
      <c r="H27" s="35">
        <v>20</v>
      </c>
      <c r="I27" s="7">
        <v>130000</v>
      </c>
      <c r="J27" s="14">
        <v>24332</v>
      </c>
      <c r="K27" s="15">
        <f>L27+15632+12648+1958+21292+27256+2770+24332</f>
        <v>105888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0.515625</v>
      </c>
      <c r="AF27" s="81">
        <f t="shared" si="7"/>
        <v>34</v>
      </c>
    </row>
    <row r="28" spans="1:32" ht="21.75" customHeight="1">
      <c r="A28" s="92">
        <v>35</v>
      </c>
      <c r="B28" s="11" t="s">
        <v>57</v>
      </c>
      <c r="C28" s="11" t="s">
        <v>116</v>
      </c>
      <c r="D28" s="52" t="s">
        <v>121</v>
      </c>
      <c r="E28" s="53" t="s">
        <v>416</v>
      </c>
      <c r="F28" s="12" t="s">
        <v>124</v>
      </c>
      <c r="G28" s="12">
        <v>4</v>
      </c>
      <c r="H28" s="35">
        <v>20</v>
      </c>
      <c r="I28" s="7">
        <v>130000</v>
      </c>
      <c r="J28" s="14">
        <v>26116</v>
      </c>
      <c r="K28" s="15">
        <f>L28+27916+29980+10704+25528+29800+29376+29736+26116</f>
        <v>209156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0.515625</v>
      </c>
      <c r="AF28" s="81">
        <f t="shared" si="7"/>
        <v>35</v>
      </c>
    </row>
    <row r="29" spans="1:32" ht="21.75" customHeight="1" thickBot="1">
      <c r="A29" s="92">
        <v>36</v>
      </c>
      <c r="B29" s="11" t="s">
        <v>57</v>
      </c>
      <c r="C29" s="11" t="s">
        <v>113</v>
      </c>
      <c r="D29" s="52"/>
      <c r="E29" s="53" t="s">
        <v>144</v>
      </c>
      <c r="F29" s="12" t="s">
        <v>114</v>
      </c>
      <c r="G29" s="12">
        <v>4</v>
      </c>
      <c r="H29" s="35">
        <v>20</v>
      </c>
      <c r="I29" s="7">
        <v>1000000</v>
      </c>
      <c r="J29" s="14">
        <v>79328</v>
      </c>
      <c r="K29" s="15">
        <f>L29+28388+70816+76368+81764+83428+47688+53180+83092+82192+79328</f>
        <v>686244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>
        <v>24</v>
      </c>
      <c r="W29" s="5"/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0.515625</v>
      </c>
      <c r="AF29" s="81">
        <f t="shared" si="7"/>
        <v>36</v>
      </c>
    </row>
    <row r="30" spans="1:32" ht="19.5" thickBot="1">
      <c r="A30" s="452" t="s">
        <v>34</v>
      </c>
      <c r="B30" s="453"/>
      <c r="C30" s="453"/>
      <c r="D30" s="453"/>
      <c r="E30" s="453"/>
      <c r="F30" s="453"/>
      <c r="G30" s="453"/>
      <c r="H30" s="454"/>
      <c r="I30" s="22">
        <f t="shared" ref="I30:N30" si="9">SUM(I6:I29)</f>
        <v>6221800</v>
      </c>
      <c r="J30" s="19">
        <f t="shared" si="9"/>
        <v>537291</v>
      </c>
      <c r="K30" s="20">
        <f t="shared" si="9"/>
        <v>4087532</v>
      </c>
      <c r="L30" s="21">
        <f t="shared" si="9"/>
        <v>155722</v>
      </c>
      <c r="M30" s="20">
        <f t="shared" si="9"/>
        <v>155722</v>
      </c>
      <c r="N30" s="21">
        <f t="shared" si="9"/>
        <v>0</v>
      </c>
      <c r="O30" s="41">
        <f t="shared" si="1"/>
        <v>0</v>
      </c>
      <c r="P30" s="42">
        <f t="shared" ref="P30:AA30" si="10">SUM(P6:P29)</f>
        <v>297</v>
      </c>
      <c r="Q30" s="43">
        <f t="shared" si="10"/>
        <v>279</v>
      </c>
      <c r="R30" s="23">
        <f t="shared" si="10"/>
        <v>0</v>
      </c>
      <c r="S30" s="24">
        <f t="shared" si="10"/>
        <v>48</v>
      </c>
      <c r="T30" s="24">
        <f t="shared" si="10"/>
        <v>10</v>
      </c>
      <c r="U30" s="24">
        <f t="shared" si="10"/>
        <v>0</v>
      </c>
      <c r="V30" s="25">
        <f t="shared" si="10"/>
        <v>48</v>
      </c>
      <c r="W30" s="26">
        <f t="shared" si="10"/>
        <v>144</v>
      </c>
      <c r="X30" s="27">
        <f t="shared" si="10"/>
        <v>0</v>
      </c>
      <c r="Y30" s="27">
        <f t="shared" si="10"/>
        <v>0</v>
      </c>
      <c r="Z30" s="27">
        <f t="shared" si="10"/>
        <v>0</v>
      </c>
      <c r="AA30" s="27">
        <f t="shared" si="10"/>
        <v>29</v>
      </c>
      <c r="AB30" s="28">
        <f>AVERAGE(AB6:AB29)</f>
        <v>0.65217391304347827</v>
      </c>
      <c r="AC30" s="4">
        <f>AVERAGE(AC6:AC29)</f>
        <v>0.515625</v>
      </c>
      <c r="AD30" s="4">
        <f>AVERAGE(AD6:AD29)</f>
        <v>0.515625</v>
      </c>
      <c r="AE30" s="29"/>
    </row>
    <row r="31" spans="1:32">
      <c r="T31" s="50" t="s">
        <v>127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 ht="7.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 ht="7.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 ht="7.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 ht="7.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 ht="7.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 ht="7.5" customHeight="1">
      <c r="A38" s="49"/>
      <c r="B38" s="49" t="s">
        <v>128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 ht="7.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 ht="7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 ht="7.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2"/>
    </row>
    <row r="42" spans="1:32" ht="7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7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7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7.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7.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2" customHeight="1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12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12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12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12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12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12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2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2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455" t="s">
        <v>45</v>
      </c>
      <c r="B57" s="455"/>
      <c r="C57" s="455"/>
      <c r="D57" s="455"/>
      <c r="E57" s="455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456" t="s">
        <v>801</v>
      </c>
      <c r="B58" s="457"/>
      <c r="C58" s="457"/>
      <c r="D58" s="457"/>
      <c r="E58" s="457"/>
      <c r="F58" s="457"/>
      <c r="G58" s="457"/>
      <c r="H58" s="457"/>
      <c r="I58" s="457"/>
      <c r="J58" s="457"/>
      <c r="K58" s="457"/>
      <c r="L58" s="457"/>
      <c r="M58" s="458"/>
      <c r="N58" s="459" t="s">
        <v>803</v>
      </c>
      <c r="O58" s="460"/>
      <c r="P58" s="460"/>
      <c r="Q58" s="460"/>
      <c r="R58" s="460"/>
      <c r="S58" s="460"/>
      <c r="T58" s="460"/>
      <c r="U58" s="460"/>
      <c r="V58" s="460"/>
      <c r="W58" s="460"/>
      <c r="X58" s="460"/>
      <c r="Y58" s="460"/>
      <c r="Z58" s="460"/>
      <c r="AA58" s="460"/>
      <c r="AB58" s="460"/>
      <c r="AC58" s="460"/>
      <c r="AD58" s="461"/>
    </row>
    <row r="59" spans="1:32" ht="27" customHeight="1">
      <c r="A59" s="462" t="s">
        <v>2</v>
      </c>
      <c r="B59" s="463"/>
      <c r="C59" s="324" t="s">
        <v>46</v>
      </c>
      <c r="D59" s="324" t="s">
        <v>47</v>
      </c>
      <c r="E59" s="324" t="s">
        <v>107</v>
      </c>
      <c r="F59" s="464" t="s">
        <v>106</v>
      </c>
      <c r="G59" s="465"/>
      <c r="H59" s="465"/>
      <c r="I59" s="465"/>
      <c r="J59" s="465"/>
      <c r="K59" s="465"/>
      <c r="L59" s="465"/>
      <c r="M59" s="466"/>
      <c r="N59" s="67" t="s">
        <v>110</v>
      </c>
      <c r="O59" s="324" t="s">
        <v>46</v>
      </c>
      <c r="P59" s="464" t="s">
        <v>47</v>
      </c>
      <c r="Q59" s="467"/>
      <c r="R59" s="464" t="s">
        <v>38</v>
      </c>
      <c r="S59" s="465"/>
      <c r="T59" s="465"/>
      <c r="U59" s="467"/>
      <c r="V59" s="464" t="s">
        <v>48</v>
      </c>
      <c r="W59" s="465"/>
      <c r="X59" s="465"/>
      <c r="Y59" s="465"/>
      <c r="Z59" s="465"/>
      <c r="AA59" s="465"/>
      <c r="AB59" s="465"/>
      <c r="AC59" s="465"/>
      <c r="AD59" s="466"/>
    </row>
    <row r="60" spans="1:32" ht="27" customHeight="1">
      <c r="A60" s="430" t="s">
        <v>112</v>
      </c>
      <c r="B60" s="431"/>
      <c r="C60" s="320" t="s">
        <v>139</v>
      </c>
      <c r="D60" s="320" t="s">
        <v>149</v>
      </c>
      <c r="E60" s="321" t="s">
        <v>763</v>
      </c>
      <c r="F60" s="432" t="s">
        <v>154</v>
      </c>
      <c r="G60" s="433"/>
      <c r="H60" s="433"/>
      <c r="I60" s="433"/>
      <c r="J60" s="433"/>
      <c r="K60" s="433"/>
      <c r="L60" s="433"/>
      <c r="M60" s="434"/>
      <c r="N60" s="141" t="s">
        <v>112</v>
      </c>
      <c r="O60" s="318" t="s">
        <v>160</v>
      </c>
      <c r="P60" s="447" t="s">
        <v>804</v>
      </c>
      <c r="Q60" s="448"/>
      <c r="R60" s="447" t="s">
        <v>805</v>
      </c>
      <c r="S60" s="449"/>
      <c r="T60" s="449"/>
      <c r="U60" s="448"/>
      <c r="V60" s="436" t="s">
        <v>154</v>
      </c>
      <c r="W60" s="437"/>
      <c r="X60" s="437"/>
      <c r="Y60" s="437"/>
      <c r="Z60" s="437"/>
      <c r="AA60" s="437"/>
      <c r="AB60" s="437"/>
      <c r="AC60" s="437"/>
      <c r="AD60" s="438"/>
    </row>
    <row r="61" spans="1:32" ht="27" customHeight="1">
      <c r="A61" s="430" t="s">
        <v>116</v>
      </c>
      <c r="B61" s="431"/>
      <c r="C61" s="320" t="s">
        <v>142</v>
      </c>
      <c r="D61" s="320" t="s">
        <v>197</v>
      </c>
      <c r="E61" s="321" t="s">
        <v>280</v>
      </c>
      <c r="F61" s="432" t="s">
        <v>141</v>
      </c>
      <c r="G61" s="433"/>
      <c r="H61" s="433"/>
      <c r="I61" s="433"/>
      <c r="J61" s="433"/>
      <c r="K61" s="433"/>
      <c r="L61" s="433"/>
      <c r="M61" s="434"/>
      <c r="N61" s="141" t="s">
        <v>112</v>
      </c>
      <c r="O61" s="318" t="s">
        <v>146</v>
      </c>
      <c r="P61" s="447" t="s">
        <v>246</v>
      </c>
      <c r="Q61" s="448"/>
      <c r="R61" s="447" t="s">
        <v>806</v>
      </c>
      <c r="S61" s="449"/>
      <c r="T61" s="449"/>
      <c r="U61" s="448"/>
      <c r="V61" s="436" t="s">
        <v>154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112</v>
      </c>
      <c r="B62" s="431"/>
      <c r="C62" s="320" t="s">
        <v>146</v>
      </c>
      <c r="D62" s="320" t="s">
        <v>115</v>
      </c>
      <c r="E62" s="321" t="s">
        <v>769</v>
      </c>
      <c r="F62" s="432" t="s">
        <v>154</v>
      </c>
      <c r="G62" s="433"/>
      <c r="H62" s="433"/>
      <c r="I62" s="433"/>
      <c r="J62" s="433"/>
      <c r="K62" s="433"/>
      <c r="L62" s="433"/>
      <c r="M62" s="434"/>
      <c r="N62" s="141" t="s">
        <v>112</v>
      </c>
      <c r="O62" s="318" t="s">
        <v>146</v>
      </c>
      <c r="P62" s="447" t="s">
        <v>290</v>
      </c>
      <c r="Q62" s="448"/>
      <c r="R62" s="447" t="s">
        <v>807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151</v>
      </c>
      <c r="B63" s="431"/>
      <c r="C63" s="320" t="s">
        <v>219</v>
      </c>
      <c r="D63" s="320" t="s">
        <v>115</v>
      </c>
      <c r="E63" s="321" t="s">
        <v>610</v>
      </c>
      <c r="F63" s="432" t="s">
        <v>512</v>
      </c>
      <c r="G63" s="433"/>
      <c r="H63" s="433"/>
      <c r="I63" s="433"/>
      <c r="J63" s="433"/>
      <c r="K63" s="433"/>
      <c r="L63" s="433"/>
      <c r="M63" s="434"/>
      <c r="N63" s="141" t="s">
        <v>112</v>
      </c>
      <c r="O63" s="318" t="s">
        <v>146</v>
      </c>
      <c r="P63" s="447" t="s">
        <v>115</v>
      </c>
      <c r="Q63" s="448"/>
      <c r="R63" s="447" t="s">
        <v>808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112</v>
      </c>
      <c r="B64" s="431"/>
      <c r="C64" s="320" t="s">
        <v>365</v>
      </c>
      <c r="D64" s="320" t="s">
        <v>224</v>
      </c>
      <c r="E64" s="321" t="s">
        <v>800</v>
      </c>
      <c r="F64" s="432" t="s">
        <v>154</v>
      </c>
      <c r="G64" s="433"/>
      <c r="H64" s="433"/>
      <c r="I64" s="433"/>
      <c r="J64" s="433"/>
      <c r="K64" s="433"/>
      <c r="L64" s="433"/>
      <c r="M64" s="434"/>
      <c r="N64" s="141" t="s">
        <v>112</v>
      </c>
      <c r="O64" s="318" t="s">
        <v>219</v>
      </c>
      <c r="P64" s="447" t="s">
        <v>115</v>
      </c>
      <c r="Q64" s="448"/>
      <c r="R64" s="447" t="s">
        <v>810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112</v>
      </c>
      <c r="B65" s="431"/>
      <c r="C65" s="320" t="s">
        <v>208</v>
      </c>
      <c r="D65" s="320" t="s">
        <v>115</v>
      </c>
      <c r="E65" s="321" t="s">
        <v>732</v>
      </c>
      <c r="F65" s="432" t="s">
        <v>802</v>
      </c>
      <c r="G65" s="433"/>
      <c r="H65" s="433"/>
      <c r="I65" s="433"/>
      <c r="J65" s="433"/>
      <c r="K65" s="433"/>
      <c r="L65" s="433"/>
      <c r="M65" s="434"/>
      <c r="N65" s="141" t="s">
        <v>112</v>
      </c>
      <c r="O65" s="318" t="s">
        <v>773</v>
      </c>
      <c r="P65" s="447" t="s">
        <v>115</v>
      </c>
      <c r="Q65" s="448"/>
      <c r="R65" s="447" t="s">
        <v>732</v>
      </c>
      <c r="S65" s="449"/>
      <c r="T65" s="449"/>
      <c r="U65" s="448"/>
      <c r="V65" s="436" t="s">
        <v>141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/>
      <c r="B66" s="431"/>
      <c r="C66" s="320"/>
      <c r="D66" s="320"/>
      <c r="E66" s="321"/>
      <c r="F66" s="432"/>
      <c r="G66" s="433"/>
      <c r="H66" s="433"/>
      <c r="I66" s="433"/>
      <c r="J66" s="433"/>
      <c r="K66" s="433"/>
      <c r="L66" s="433"/>
      <c r="M66" s="434"/>
      <c r="N66" s="141" t="s">
        <v>112</v>
      </c>
      <c r="O66" s="318" t="s">
        <v>811</v>
      </c>
      <c r="P66" s="447" t="s">
        <v>115</v>
      </c>
      <c r="Q66" s="448"/>
      <c r="R66" s="447" t="s">
        <v>809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/>
      <c r="B67" s="431"/>
      <c r="C67" s="320"/>
      <c r="D67" s="320"/>
      <c r="E67" s="321"/>
      <c r="F67" s="432"/>
      <c r="G67" s="433"/>
      <c r="H67" s="433"/>
      <c r="I67" s="433"/>
      <c r="J67" s="433"/>
      <c r="K67" s="433"/>
      <c r="L67" s="433"/>
      <c r="M67" s="434"/>
      <c r="N67" s="141"/>
      <c r="O67" s="318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320"/>
      <c r="D68" s="320"/>
      <c r="E68" s="321"/>
      <c r="F68" s="432"/>
      <c r="G68" s="433"/>
      <c r="H68" s="433"/>
      <c r="I68" s="433"/>
      <c r="J68" s="433"/>
      <c r="K68" s="433"/>
      <c r="L68" s="433"/>
      <c r="M68" s="434"/>
      <c r="N68" s="141"/>
      <c r="O68" s="318"/>
      <c r="P68" s="435"/>
      <c r="Q68" s="435"/>
      <c r="R68" s="435"/>
      <c r="S68" s="435"/>
      <c r="T68" s="435"/>
      <c r="U68" s="435"/>
      <c r="V68" s="436"/>
      <c r="W68" s="437"/>
      <c r="X68" s="437"/>
      <c r="Y68" s="437"/>
      <c r="Z68" s="437"/>
      <c r="AA68" s="437"/>
      <c r="AB68" s="437"/>
      <c r="AC68" s="437"/>
      <c r="AD68" s="438"/>
      <c r="AF68" s="81">
        <f>8*3000</f>
        <v>24000</v>
      </c>
    </row>
    <row r="69" spans="1:32" ht="27" customHeight="1" thickBot="1">
      <c r="A69" s="439"/>
      <c r="B69" s="440"/>
      <c r="C69" s="322"/>
      <c r="D69" s="323"/>
      <c r="E69" s="322"/>
      <c r="F69" s="490"/>
      <c r="G69" s="491"/>
      <c r="H69" s="491"/>
      <c r="I69" s="491"/>
      <c r="J69" s="491"/>
      <c r="K69" s="491"/>
      <c r="L69" s="491"/>
      <c r="M69" s="492"/>
      <c r="N69" s="105"/>
      <c r="O69" s="97"/>
      <c r="P69" s="444"/>
      <c r="Q69" s="444"/>
      <c r="R69" s="444"/>
      <c r="S69" s="444"/>
      <c r="T69" s="444"/>
      <c r="U69" s="444"/>
      <c r="V69" s="445"/>
      <c r="W69" s="445"/>
      <c r="X69" s="445"/>
      <c r="Y69" s="445"/>
      <c r="Z69" s="445"/>
      <c r="AA69" s="445"/>
      <c r="AB69" s="445"/>
      <c r="AC69" s="445"/>
      <c r="AD69" s="446"/>
      <c r="AF69" s="81">
        <f>16*3000</f>
        <v>48000</v>
      </c>
    </row>
    <row r="70" spans="1:32" ht="27.75" thickBot="1">
      <c r="A70" s="428" t="s">
        <v>812</v>
      </c>
      <c r="B70" s="428"/>
      <c r="C70" s="428"/>
      <c r="D70" s="428"/>
      <c r="E70" s="428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1">
        <v>24000</v>
      </c>
    </row>
    <row r="71" spans="1:32" ht="29.25" customHeight="1" thickBot="1">
      <c r="A71" s="429" t="s">
        <v>111</v>
      </c>
      <c r="B71" s="426"/>
      <c r="C71" s="319" t="s">
        <v>2</v>
      </c>
      <c r="D71" s="319" t="s">
        <v>37</v>
      </c>
      <c r="E71" s="319" t="s">
        <v>3</v>
      </c>
      <c r="F71" s="426" t="s">
        <v>109</v>
      </c>
      <c r="G71" s="426"/>
      <c r="H71" s="426"/>
      <c r="I71" s="426"/>
      <c r="J71" s="426"/>
      <c r="K71" s="426" t="s">
        <v>39</v>
      </c>
      <c r="L71" s="426"/>
      <c r="M71" s="319" t="s">
        <v>40</v>
      </c>
      <c r="N71" s="426" t="s">
        <v>41</v>
      </c>
      <c r="O71" s="426"/>
      <c r="P71" s="423" t="s">
        <v>42</v>
      </c>
      <c r="Q71" s="425"/>
      <c r="R71" s="423" t="s">
        <v>43</v>
      </c>
      <c r="S71" s="424"/>
      <c r="T71" s="424"/>
      <c r="U71" s="424"/>
      <c r="V71" s="424"/>
      <c r="W71" s="424"/>
      <c r="X71" s="424"/>
      <c r="Y71" s="424"/>
      <c r="Z71" s="424"/>
      <c r="AA71" s="425"/>
      <c r="AB71" s="426" t="s">
        <v>44</v>
      </c>
      <c r="AC71" s="426"/>
      <c r="AD71" s="427"/>
      <c r="AF71" s="81">
        <f>SUM(AF68:AF70)</f>
        <v>96000</v>
      </c>
    </row>
    <row r="72" spans="1:32" ht="25.5" customHeight="1">
      <c r="A72" s="414">
        <v>1</v>
      </c>
      <c r="B72" s="415"/>
      <c r="C72" s="98" t="s">
        <v>334</v>
      </c>
      <c r="D72" s="336"/>
      <c r="E72" s="333"/>
      <c r="F72" s="416" t="s">
        <v>784</v>
      </c>
      <c r="G72" s="406"/>
      <c r="H72" s="406"/>
      <c r="I72" s="406"/>
      <c r="J72" s="406"/>
      <c r="K72" s="406" t="s">
        <v>306</v>
      </c>
      <c r="L72" s="406"/>
      <c r="M72" s="51" t="s">
        <v>704</v>
      </c>
      <c r="N72" s="417" t="s">
        <v>146</v>
      </c>
      <c r="O72" s="417"/>
      <c r="P72" s="418">
        <v>50</v>
      </c>
      <c r="Q72" s="418"/>
      <c r="R72" s="419"/>
      <c r="S72" s="419"/>
      <c r="T72" s="419"/>
      <c r="U72" s="419"/>
      <c r="V72" s="419"/>
      <c r="W72" s="419"/>
      <c r="X72" s="419"/>
      <c r="Y72" s="419"/>
      <c r="Z72" s="419"/>
      <c r="AA72" s="419"/>
      <c r="AB72" s="406"/>
      <c r="AC72" s="406"/>
      <c r="AD72" s="407"/>
      <c r="AF72" s="50"/>
    </row>
    <row r="73" spans="1:32" ht="25.5" customHeight="1">
      <c r="A73" s="414">
        <v>2</v>
      </c>
      <c r="B73" s="415"/>
      <c r="C73" s="98" t="s">
        <v>780</v>
      </c>
      <c r="D73" s="314"/>
      <c r="E73" s="317"/>
      <c r="F73" s="420" t="s">
        <v>779</v>
      </c>
      <c r="G73" s="421"/>
      <c r="H73" s="421"/>
      <c r="I73" s="421"/>
      <c r="J73" s="422"/>
      <c r="K73" s="406" t="s">
        <v>781</v>
      </c>
      <c r="L73" s="406"/>
      <c r="M73" s="51" t="s">
        <v>782</v>
      </c>
      <c r="N73" s="417" t="s">
        <v>142</v>
      </c>
      <c r="O73" s="417"/>
      <c r="P73" s="418">
        <v>50</v>
      </c>
      <c r="Q73" s="418"/>
      <c r="R73" s="419" t="s">
        <v>312</v>
      </c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3</v>
      </c>
      <c r="B74" s="415"/>
      <c r="C74" s="98"/>
      <c r="D74" s="314"/>
      <c r="E74" s="317"/>
      <c r="F74" s="416"/>
      <c r="G74" s="406"/>
      <c r="H74" s="406"/>
      <c r="I74" s="406"/>
      <c r="J74" s="406"/>
      <c r="K74" s="406"/>
      <c r="L74" s="406"/>
      <c r="M74" s="51"/>
      <c r="N74" s="417"/>
      <c r="O74" s="417"/>
      <c r="P74" s="418"/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4</v>
      </c>
      <c r="B75" s="415"/>
      <c r="C75" s="98"/>
      <c r="D75" s="314"/>
      <c r="E75" s="317"/>
      <c r="F75" s="420"/>
      <c r="G75" s="421"/>
      <c r="H75" s="421"/>
      <c r="I75" s="421"/>
      <c r="J75" s="422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5</v>
      </c>
      <c r="B76" s="415"/>
      <c r="C76" s="98"/>
      <c r="D76" s="314"/>
      <c r="E76" s="317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6</v>
      </c>
      <c r="B77" s="415"/>
      <c r="C77" s="98"/>
      <c r="D77" s="314"/>
      <c r="E77" s="317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7</v>
      </c>
      <c r="B78" s="415"/>
      <c r="C78" s="98"/>
      <c r="D78" s="314"/>
      <c r="E78" s="317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8</v>
      </c>
      <c r="B79" s="415"/>
      <c r="C79" s="98"/>
      <c r="D79" s="314"/>
      <c r="E79" s="317"/>
      <c r="F79" s="416"/>
      <c r="G79" s="406"/>
      <c r="H79" s="406"/>
      <c r="I79" s="406"/>
      <c r="J79" s="406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9</v>
      </c>
      <c r="B80" s="415"/>
      <c r="C80" s="98"/>
      <c r="D80" s="314"/>
      <c r="E80" s="317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10</v>
      </c>
      <c r="B81" s="415"/>
      <c r="C81" s="98"/>
      <c r="D81" s="314"/>
      <c r="E81" s="317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6.25" customHeight="1" thickBot="1">
      <c r="A82" s="386" t="s">
        <v>813</v>
      </c>
      <c r="B82" s="386"/>
      <c r="C82" s="386"/>
      <c r="D82" s="386"/>
      <c r="E82" s="386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408" t="s">
        <v>111</v>
      </c>
      <c r="B83" s="409"/>
      <c r="C83" s="316" t="s">
        <v>2</v>
      </c>
      <c r="D83" s="316" t="s">
        <v>37</v>
      </c>
      <c r="E83" s="316" t="s">
        <v>120</v>
      </c>
      <c r="F83" s="388" t="s">
        <v>38</v>
      </c>
      <c r="G83" s="388"/>
      <c r="H83" s="388"/>
      <c r="I83" s="388"/>
      <c r="J83" s="388"/>
      <c r="K83" s="410" t="s">
        <v>58</v>
      </c>
      <c r="L83" s="411"/>
      <c r="M83" s="411"/>
      <c r="N83" s="411"/>
      <c r="O83" s="411"/>
      <c r="P83" s="411"/>
      <c r="Q83" s="411"/>
      <c r="R83" s="411"/>
      <c r="S83" s="412"/>
      <c r="T83" s="388" t="s">
        <v>49</v>
      </c>
      <c r="U83" s="388"/>
      <c r="V83" s="410" t="s">
        <v>50</v>
      </c>
      <c r="W83" s="412"/>
      <c r="X83" s="411" t="s">
        <v>51</v>
      </c>
      <c r="Y83" s="411"/>
      <c r="Z83" s="411"/>
      <c r="AA83" s="411"/>
      <c r="AB83" s="411"/>
      <c r="AC83" s="411"/>
      <c r="AD83" s="413"/>
      <c r="AF83" s="50"/>
    </row>
    <row r="84" spans="1:32" ht="33.75" customHeight="1">
      <c r="A84" s="380">
        <v>1</v>
      </c>
      <c r="B84" s="381"/>
      <c r="C84" s="315"/>
      <c r="D84" s="315"/>
      <c r="E84" s="65"/>
      <c r="F84" s="395"/>
      <c r="G84" s="396"/>
      <c r="H84" s="396"/>
      <c r="I84" s="396"/>
      <c r="J84" s="397"/>
      <c r="K84" s="398"/>
      <c r="L84" s="399"/>
      <c r="M84" s="399"/>
      <c r="N84" s="399"/>
      <c r="O84" s="399"/>
      <c r="P84" s="399"/>
      <c r="Q84" s="399"/>
      <c r="R84" s="399"/>
      <c r="S84" s="400"/>
      <c r="T84" s="401"/>
      <c r="U84" s="402"/>
      <c r="V84" s="403"/>
      <c r="W84" s="403"/>
      <c r="X84" s="404"/>
      <c r="Y84" s="404"/>
      <c r="Z84" s="404"/>
      <c r="AA84" s="404"/>
      <c r="AB84" s="404"/>
      <c r="AC84" s="404"/>
      <c r="AD84" s="405"/>
      <c r="AF84" s="50"/>
    </row>
    <row r="85" spans="1:32" ht="30" customHeight="1">
      <c r="A85" s="373">
        <f>A84+1</f>
        <v>2</v>
      </c>
      <c r="B85" s="374"/>
      <c r="C85" s="314"/>
      <c r="D85" s="314"/>
      <c r="E85" s="32"/>
      <c r="F85" s="374"/>
      <c r="G85" s="374"/>
      <c r="H85" s="374"/>
      <c r="I85" s="374"/>
      <c r="J85" s="374"/>
      <c r="K85" s="389"/>
      <c r="L85" s="390"/>
      <c r="M85" s="390"/>
      <c r="N85" s="390"/>
      <c r="O85" s="390"/>
      <c r="P85" s="390"/>
      <c r="Q85" s="390"/>
      <c r="R85" s="390"/>
      <c r="S85" s="391"/>
      <c r="T85" s="392"/>
      <c r="U85" s="392"/>
      <c r="V85" s="392"/>
      <c r="W85" s="392"/>
      <c r="X85" s="393"/>
      <c r="Y85" s="393"/>
      <c r="Z85" s="393"/>
      <c r="AA85" s="393"/>
      <c r="AB85" s="393"/>
      <c r="AC85" s="393"/>
      <c r="AD85" s="394"/>
      <c r="AF85" s="50"/>
    </row>
    <row r="86" spans="1:32" ht="30" customHeight="1">
      <c r="A86" s="373">
        <f t="shared" ref="A86:A90" si="11">A85+1</f>
        <v>3</v>
      </c>
      <c r="B86" s="374"/>
      <c r="C86" s="314"/>
      <c r="D86" s="314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si="11"/>
        <v>4</v>
      </c>
      <c r="B87" s="374"/>
      <c r="C87" s="314"/>
      <c r="D87" s="314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1"/>
        <v>5</v>
      </c>
      <c r="B88" s="374"/>
      <c r="C88" s="314"/>
      <c r="D88" s="314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1"/>
        <v>6</v>
      </c>
      <c r="B89" s="374"/>
      <c r="C89" s="314"/>
      <c r="D89" s="314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1"/>
        <v>7</v>
      </c>
      <c r="B90" s="374"/>
      <c r="C90" s="314"/>
      <c r="D90" s="314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6" thickBot="1">
      <c r="A91" s="386" t="s">
        <v>814</v>
      </c>
      <c r="B91" s="386"/>
      <c r="C91" s="386"/>
      <c r="D91" s="386"/>
      <c r="E91" s="386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387" t="s">
        <v>111</v>
      </c>
      <c r="B92" s="388"/>
      <c r="C92" s="378" t="s">
        <v>52</v>
      </c>
      <c r="D92" s="378"/>
      <c r="E92" s="378" t="s">
        <v>53</v>
      </c>
      <c r="F92" s="378"/>
      <c r="G92" s="378"/>
      <c r="H92" s="378"/>
      <c r="I92" s="378"/>
      <c r="J92" s="378"/>
      <c r="K92" s="378" t="s">
        <v>54</v>
      </c>
      <c r="L92" s="378"/>
      <c r="M92" s="378"/>
      <c r="N92" s="378"/>
      <c r="O92" s="378"/>
      <c r="P92" s="378"/>
      <c r="Q92" s="378"/>
      <c r="R92" s="378"/>
      <c r="S92" s="378"/>
      <c r="T92" s="378" t="s">
        <v>55</v>
      </c>
      <c r="U92" s="378"/>
      <c r="V92" s="378" t="s">
        <v>56</v>
      </c>
      <c r="W92" s="378"/>
      <c r="X92" s="378"/>
      <c r="Y92" s="378" t="s">
        <v>51</v>
      </c>
      <c r="Z92" s="378"/>
      <c r="AA92" s="378"/>
      <c r="AB92" s="378"/>
      <c r="AC92" s="378"/>
      <c r="AD92" s="379"/>
      <c r="AF92" s="50"/>
    </row>
    <row r="93" spans="1:32" ht="30.75" customHeight="1">
      <c r="A93" s="380">
        <v>1</v>
      </c>
      <c r="B93" s="381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3"/>
      <c r="W93" s="383"/>
      <c r="X93" s="383"/>
      <c r="Y93" s="384"/>
      <c r="Z93" s="384"/>
      <c r="AA93" s="384"/>
      <c r="AB93" s="384"/>
      <c r="AC93" s="384"/>
      <c r="AD93" s="385"/>
      <c r="AF93" s="50"/>
    </row>
    <row r="94" spans="1:32" ht="30.75" customHeight="1">
      <c r="A94" s="373">
        <v>2</v>
      </c>
      <c r="B94" s="374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6"/>
      <c r="U94" s="376"/>
      <c r="V94" s="377"/>
      <c r="W94" s="377"/>
      <c r="X94" s="377"/>
      <c r="Y94" s="365"/>
      <c r="Z94" s="365"/>
      <c r="AA94" s="365"/>
      <c r="AB94" s="365"/>
      <c r="AC94" s="365"/>
      <c r="AD94" s="366"/>
      <c r="AF94" s="50"/>
    </row>
    <row r="95" spans="1:32" ht="30.75" customHeight="1" thickBot="1">
      <c r="A95" s="367">
        <v>3</v>
      </c>
      <c r="B95" s="368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70"/>
      <c r="W95" s="370"/>
      <c r="X95" s="370"/>
      <c r="Y95" s="371"/>
      <c r="Z95" s="371"/>
      <c r="AA95" s="371"/>
      <c r="AB95" s="371"/>
      <c r="AC95" s="371"/>
      <c r="AD95" s="372"/>
      <c r="AF95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5" max="2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3788-C567-4E85-8812-814D247B0B1A}">
  <sheetPr codeName="Sheet2">
    <pageSetUpPr fitToPage="1"/>
  </sheetPr>
  <dimension ref="A1:AF96"/>
  <sheetViews>
    <sheetView view="pageBreakPreview" topLeftCell="A58" zoomScale="70" zoomScaleNormal="72" zoomScaleSheetLayoutView="70" workbookViewId="0">
      <selection activeCell="A93" sqref="A93:B9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223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143" t="s">
        <v>17</v>
      </c>
      <c r="L5" s="143" t="s">
        <v>18</v>
      </c>
      <c r="M5" s="143" t="s">
        <v>19</v>
      </c>
      <c r="N5" s="14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115</v>
      </c>
      <c r="E6" s="53" t="s">
        <v>194</v>
      </c>
      <c r="F6" s="30" t="s">
        <v>150</v>
      </c>
      <c r="G6" s="12">
        <v>2</v>
      </c>
      <c r="H6" s="13">
        <v>24</v>
      </c>
      <c r="I6" s="31">
        <v>30000</v>
      </c>
      <c r="J6" s="14">
        <v>9248</v>
      </c>
      <c r="K6" s="15">
        <f>L6+8904</f>
        <v>18152</v>
      </c>
      <c r="L6" s="15">
        <f>1424*2+1000+2700*2</f>
        <v>9248</v>
      </c>
      <c r="M6" s="15">
        <f t="shared" ref="M6:M30" si="0">L6-N6</f>
        <v>9248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23</v>
      </c>
      <c r="Q6" s="40">
        <f t="shared" ref="Q6:Q30" si="3">SUM(R6:AA6)</f>
        <v>1</v>
      </c>
      <c r="R6" s="7"/>
      <c r="S6" s="6">
        <v>1</v>
      </c>
      <c r="T6" s="16"/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0.95833333333333337</v>
      </c>
      <c r="AD6" s="10">
        <f>AC6*AB6*(1-O6)</f>
        <v>0.95833333333333337</v>
      </c>
      <c r="AE6" s="36">
        <f t="shared" ref="AE6:AE30" si="6">$AD$31</f>
        <v>0.53166666666666673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151</v>
      </c>
      <c r="D7" s="52" t="s">
        <v>115</v>
      </c>
      <c r="E7" s="53" t="s">
        <v>158</v>
      </c>
      <c r="F7" s="30" t="s">
        <v>136</v>
      </c>
      <c r="G7" s="12">
        <v>1</v>
      </c>
      <c r="H7" s="13">
        <v>24</v>
      </c>
      <c r="I7" s="31">
        <v>100</v>
      </c>
      <c r="J7" s="14">
        <v>122</v>
      </c>
      <c r="K7" s="15">
        <f>L7</f>
        <v>122</v>
      </c>
      <c r="L7" s="15">
        <v>122</v>
      </c>
      <c r="M7" s="15">
        <f t="shared" si="0"/>
        <v>122</v>
      </c>
      <c r="N7" s="15">
        <v>0</v>
      </c>
      <c r="O7" s="58">
        <f t="shared" si="1"/>
        <v>0</v>
      </c>
      <c r="P7" s="39">
        <f t="shared" si="2"/>
        <v>4</v>
      </c>
      <c r="Q7" s="40">
        <f t="shared" si="3"/>
        <v>20</v>
      </c>
      <c r="R7" s="7"/>
      <c r="S7" s="6">
        <v>2</v>
      </c>
      <c r="T7" s="16"/>
      <c r="U7" s="16"/>
      <c r="V7" s="17"/>
      <c r="W7" s="5">
        <v>18</v>
      </c>
      <c r="X7" s="16"/>
      <c r="Y7" s="16"/>
      <c r="Z7" s="16"/>
      <c r="AA7" s="18"/>
      <c r="AB7" s="8">
        <f t="shared" si="4"/>
        <v>1</v>
      </c>
      <c r="AC7" s="9">
        <f t="shared" si="5"/>
        <v>0.16666666666666666</v>
      </c>
      <c r="AD7" s="10">
        <f t="shared" ref="AD7:AD30" si="8">AC7*AB7*(1-O7)</f>
        <v>0.16666666666666666</v>
      </c>
      <c r="AE7" s="36">
        <f t="shared" si="6"/>
        <v>0.53166666666666673</v>
      </c>
      <c r="AF7" s="81">
        <f t="shared" si="7"/>
        <v>2</v>
      </c>
    </row>
    <row r="8" spans="1:32" ht="27" customHeight="1">
      <c r="A8" s="106">
        <v>2</v>
      </c>
      <c r="B8" s="11" t="s">
        <v>57</v>
      </c>
      <c r="C8" s="34" t="s">
        <v>112</v>
      </c>
      <c r="D8" s="52" t="s">
        <v>224</v>
      </c>
      <c r="E8" s="53" t="s">
        <v>225</v>
      </c>
      <c r="F8" s="30" t="s">
        <v>136</v>
      </c>
      <c r="G8" s="12">
        <v>1</v>
      </c>
      <c r="H8" s="13">
        <v>24</v>
      </c>
      <c r="I8" s="31">
        <v>15000</v>
      </c>
      <c r="J8" s="14">
        <v>3671</v>
      </c>
      <c r="K8" s="15">
        <f>L8</f>
        <v>3671</v>
      </c>
      <c r="L8" s="15">
        <f>771+2900</f>
        <v>3671</v>
      </c>
      <c r="M8" s="15">
        <f t="shared" ref="M8" si="9">L8-N8</f>
        <v>3671</v>
      </c>
      <c r="N8" s="15">
        <v>0</v>
      </c>
      <c r="O8" s="58">
        <f t="shared" ref="O8" si="10">IF(L8=0,"0",N8/L8)</f>
        <v>0</v>
      </c>
      <c r="P8" s="39">
        <f t="shared" ref="P8" si="11">IF(L8=0,"0",(24-Q8))</f>
        <v>18</v>
      </c>
      <c r="Q8" s="40">
        <f t="shared" ref="Q8" si="12">SUM(R8:AA8)</f>
        <v>6</v>
      </c>
      <c r="R8" s="7"/>
      <c r="S8" s="6"/>
      <c r="T8" s="16">
        <v>6</v>
      </c>
      <c r="U8" s="16"/>
      <c r="V8" s="17"/>
      <c r="W8" s="5"/>
      <c r="X8" s="16"/>
      <c r="Y8" s="16"/>
      <c r="Z8" s="16"/>
      <c r="AA8" s="18"/>
      <c r="AB8" s="8">
        <f t="shared" ref="AB8" si="13">IF(J8=0,"0",(L8/J8))</f>
        <v>1</v>
      </c>
      <c r="AC8" s="9">
        <f t="shared" ref="AC8" si="14">IF(P8=0,"0",(P8/24))</f>
        <v>0.75</v>
      </c>
      <c r="AD8" s="10">
        <f t="shared" ref="AD8" si="15">AC8*AB8*(1-O8)</f>
        <v>0.75</v>
      </c>
      <c r="AE8" s="36">
        <f t="shared" si="6"/>
        <v>0.53166666666666673</v>
      </c>
      <c r="AF8" s="81">
        <f t="shared" ref="AF8" si="16">A8</f>
        <v>2</v>
      </c>
    </row>
    <row r="9" spans="1:32" ht="27" customHeight="1">
      <c r="A9" s="92">
        <v>3</v>
      </c>
      <c r="B9" s="11" t="s">
        <v>57</v>
      </c>
      <c r="C9" s="34" t="s">
        <v>116</v>
      </c>
      <c r="D9" s="52" t="s">
        <v>213</v>
      </c>
      <c r="E9" s="53" t="s">
        <v>210</v>
      </c>
      <c r="F9" s="30" t="s">
        <v>165</v>
      </c>
      <c r="G9" s="12">
        <v>1</v>
      </c>
      <c r="H9" s="13">
        <v>35</v>
      </c>
      <c r="I9" s="31">
        <v>3500</v>
      </c>
      <c r="J9" s="5">
        <v>5356</v>
      </c>
      <c r="K9" s="15">
        <f>L9</f>
        <v>5356</v>
      </c>
      <c r="L9" s="15">
        <f>2470+2886</f>
        <v>5356</v>
      </c>
      <c r="M9" s="15">
        <f t="shared" si="0"/>
        <v>5356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0.53166666666666673</v>
      </c>
      <c r="AF9" s="81">
        <f t="shared" si="7"/>
        <v>3</v>
      </c>
    </row>
    <row r="10" spans="1:32" ht="27" customHeight="1">
      <c r="A10" s="92">
        <v>4</v>
      </c>
      <c r="B10" s="11" t="s">
        <v>57</v>
      </c>
      <c r="C10" s="34" t="s">
        <v>112</v>
      </c>
      <c r="D10" s="52" t="s">
        <v>115</v>
      </c>
      <c r="E10" s="53" t="s">
        <v>187</v>
      </c>
      <c r="F10" s="30" t="s">
        <v>196</v>
      </c>
      <c r="G10" s="12">
        <v>1</v>
      </c>
      <c r="H10" s="13">
        <v>24</v>
      </c>
      <c r="I10" s="7">
        <v>6000</v>
      </c>
      <c r="J10" s="14">
        <v>5202</v>
      </c>
      <c r="K10" s="15">
        <f>L10+4988</f>
        <v>10190</v>
      </c>
      <c r="L10" s="15">
        <f>2579+2623</f>
        <v>5202</v>
      </c>
      <c r="M10" s="15">
        <f t="shared" si="0"/>
        <v>5202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0.53166666666666673</v>
      </c>
      <c r="AF10" s="81">
        <f t="shared" si="7"/>
        <v>4</v>
      </c>
    </row>
    <row r="11" spans="1:32" ht="27" customHeight="1">
      <c r="A11" s="92">
        <v>5</v>
      </c>
      <c r="B11" s="11" t="s">
        <v>57</v>
      </c>
      <c r="C11" s="11" t="s">
        <v>112</v>
      </c>
      <c r="D11" s="52" t="s">
        <v>121</v>
      </c>
      <c r="E11" s="53" t="s">
        <v>145</v>
      </c>
      <c r="F11" s="30" t="s">
        <v>123</v>
      </c>
      <c r="G11" s="33">
        <v>1</v>
      </c>
      <c r="H11" s="35">
        <v>24</v>
      </c>
      <c r="I11" s="7">
        <v>115000</v>
      </c>
      <c r="J11" s="14">
        <v>5482</v>
      </c>
      <c r="K11" s="15">
        <f>L11+5338+5669+5744+4980+3619+1932+309+2790+5660+4715+1739+3127+5884+1203+3638+5732+5658+5217+2430+1897+5596+5715+3707+799+2709+2266+5086+3381+4392+5682+5705+5451+2998+2865+4585+5706+4871+3392</f>
        <v>157669</v>
      </c>
      <c r="L11" s="15">
        <f>2878+2604</f>
        <v>5482</v>
      </c>
      <c r="M11" s="15">
        <f t="shared" si="0"/>
        <v>5482</v>
      </c>
      <c r="N11" s="15">
        <v>0</v>
      </c>
      <c r="O11" s="58">
        <f t="shared" si="1"/>
        <v>0</v>
      </c>
      <c r="P11" s="39">
        <f t="shared" si="2"/>
        <v>23</v>
      </c>
      <c r="Q11" s="40">
        <f t="shared" si="3"/>
        <v>1</v>
      </c>
      <c r="R11" s="7"/>
      <c r="S11" s="6">
        <v>1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0.95833333333333337</v>
      </c>
      <c r="AD11" s="10">
        <f t="shared" si="8"/>
        <v>0.95833333333333337</v>
      </c>
      <c r="AE11" s="36">
        <f t="shared" si="6"/>
        <v>0.53166666666666673</v>
      </c>
      <c r="AF11" s="81">
        <f t="shared" si="7"/>
        <v>5</v>
      </c>
    </row>
    <row r="12" spans="1:32" ht="27" customHeight="1">
      <c r="A12" s="92">
        <v>6</v>
      </c>
      <c r="B12" s="11" t="s">
        <v>57</v>
      </c>
      <c r="C12" s="11" t="s">
        <v>126</v>
      </c>
      <c r="D12" s="52" t="s">
        <v>216</v>
      </c>
      <c r="E12" s="53" t="s">
        <v>226</v>
      </c>
      <c r="F12" s="30" t="s">
        <v>123</v>
      </c>
      <c r="G12" s="33">
        <v>4</v>
      </c>
      <c r="H12" s="35">
        <v>24</v>
      </c>
      <c r="I12" s="7">
        <v>15000</v>
      </c>
      <c r="J12" s="14">
        <v>27912</v>
      </c>
      <c r="K12" s="15">
        <f>L12</f>
        <v>27912</v>
      </c>
      <c r="L12" s="15">
        <f>3299*4+3679*4</f>
        <v>27912</v>
      </c>
      <c r="M12" s="15">
        <f t="shared" si="0"/>
        <v>27912</v>
      </c>
      <c r="N12" s="15">
        <v>0</v>
      </c>
      <c r="O12" s="58">
        <f t="shared" si="1"/>
        <v>0</v>
      </c>
      <c r="P12" s="39">
        <f t="shared" si="2"/>
        <v>22</v>
      </c>
      <c r="Q12" s="40">
        <f t="shared" si="3"/>
        <v>2</v>
      </c>
      <c r="R12" s="7"/>
      <c r="S12" s="6"/>
      <c r="T12" s="16">
        <v>2</v>
      </c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0.91666666666666663</v>
      </c>
      <c r="AD12" s="10">
        <f t="shared" si="8"/>
        <v>0.91666666666666663</v>
      </c>
      <c r="AE12" s="36">
        <f t="shared" si="6"/>
        <v>0.53166666666666673</v>
      </c>
      <c r="AF12" s="81">
        <f t="shared" si="7"/>
        <v>6</v>
      </c>
    </row>
    <row r="13" spans="1:32" ht="27" customHeight="1">
      <c r="A13" s="92">
        <v>7</v>
      </c>
      <c r="B13" s="11" t="s">
        <v>57</v>
      </c>
      <c r="C13" s="34" t="s">
        <v>116</v>
      </c>
      <c r="D13" s="52" t="s">
        <v>115</v>
      </c>
      <c r="E13" s="53" t="s">
        <v>163</v>
      </c>
      <c r="F13" s="30" t="s">
        <v>159</v>
      </c>
      <c r="G13" s="12">
        <v>1</v>
      </c>
      <c r="H13" s="13">
        <v>22</v>
      </c>
      <c r="I13" s="31">
        <v>40000</v>
      </c>
      <c r="J13" s="5">
        <v>573</v>
      </c>
      <c r="K13" s="15">
        <f>L13+2299+960+4314+5153+4996+5031</f>
        <v>23326</v>
      </c>
      <c r="L13" s="15">
        <v>573</v>
      </c>
      <c r="M13" s="15">
        <f t="shared" si="0"/>
        <v>573</v>
      </c>
      <c r="N13" s="15">
        <v>0</v>
      </c>
      <c r="O13" s="58">
        <f t="shared" si="1"/>
        <v>0</v>
      </c>
      <c r="P13" s="39">
        <f t="shared" si="2"/>
        <v>3</v>
      </c>
      <c r="Q13" s="40">
        <f t="shared" si="3"/>
        <v>21</v>
      </c>
      <c r="R13" s="7"/>
      <c r="S13" s="6">
        <v>21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0.125</v>
      </c>
      <c r="AD13" s="10">
        <f t="shared" si="8"/>
        <v>0.125</v>
      </c>
      <c r="AE13" s="36">
        <f t="shared" si="6"/>
        <v>0.53166666666666673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126</v>
      </c>
      <c r="D14" s="52" t="s">
        <v>169</v>
      </c>
      <c r="E14" s="53" t="s">
        <v>168</v>
      </c>
      <c r="F14" s="30" t="s">
        <v>167</v>
      </c>
      <c r="G14" s="33" t="s">
        <v>170</v>
      </c>
      <c r="H14" s="35">
        <v>22</v>
      </c>
      <c r="I14" s="7">
        <v>2000</v>
      </c>
      <c r="J14" s="14">
        <v>1084</v>
      </c>
      <c r="K14" s="15">
        <f>L14+1084</f>
        <v>1084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0.53166666666666673</v>
      </c>
      <c r="AF14" s="81">
        <f t="shared" si="7"/>
        <v>8</v>
      </c>
    </row>
    <row r="15" spans="1:32" ht="27" customHeight="1">
      <c r="A15" s="99">
        <v>9</v>
      </c>
      <c r="B15" s="11" t="s">
        <v>57</v>
      </c>
      <c r="C15" s="34" t="s">
        <v>151</v>
      </c>
      <c r="D15" s="52" t="s">
        <v>227</v>
      </c>
      <c r="E15" s="53" t="s">
        <v>217</v>
      </c>
      <c r="F15" s="30" t="s">
        <v>148</v>
      </c>
      <c r="G15" s="33">
        <v>1</v>
      </c>
      <c r="H15" s="35">
        <v>50</v>
      </c>
      <c r="I15" s="7">
        <v>900</v>
      </c>
      <c r="J15" s="5">
        <v>1182</v>
      </c>
      <c r="K15" s="15">
        <f>L15</f>
        <v>1182</v>
      </c>
      <c r="L15" s="15">
        <v>1182</v>
      </c>
      <c r="M15" s="15">
        <f t="shared" si="0"/>
        <v>1182</v>
      </c>
      <c r="N15" s="15">
        <v>0</v>
      </c>
      <c r="O15" s="58">
        <f t="shared" si="1"/>
        <v>0</v>
      </c>
      <c r="P15" s="39">
        <f t="shared" si="2"/>
        <v>10</v>
      </c>
      <c r="Q15" s="40">
        <f t="shared" si="3"/>
        <v>14</v>
      </c>
      <c r="R15" s="7"/>
      <c r="S15" s="6"/>
      <c r="T15" s="16"/>
      <c r="U15" s="16"/>
      <c r="V15" s="17"/>
      <c r="W15" s="5">
        <v>14</v>
      </c>
      <c r="X15" s="16"/>
      <c r="Y15" s="16"/>
      <c r="Z15" s="16"/>
      <c r="AA15" s="18"/>
      <c r="AB15" s="8">
        <f t="shared" si="4"/>
        <v>1</v>
      </c>
      <c r="AC15" s="9">
        <f t="shared" si="5"/>
        <v>0.41666666666666669</v>
      </c>
      <c r="AD15" s="10">
        <f t="shared" si="8"/>
        <v>0.41666666666666669</v>
      </c>
      <c r="AE15" s="36">
        <f t="shared" si="6"/>
        <v>0.53166666666666673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112</v>
      </c>
      <c r="D16" s="52" t="s">
        <v>137</v>
      </c>
      <c r="E16" s="53" t="s">
        <v>177</v>
      </c>
      <c r="F16" s="30" t="s">
        <v>138</v>
      </c>
      <c r="G16" s="12">
        <v>2</v>
      </c>
      <c r="H16" s="13">
        <v>24</v>
      </c>
      <c r="I16" s="31">
        <f>74000+25000+40000</f>
        <v>139000</v>
      </c>
      <c r="J16" s="14">
        <v>11962</v>
      </c>
      <c r="K16" s="15">
        <f>L16+8206+11870+12258+12474+11882+10946+12064+12086+11982+11968+11258</f>
        <v>138956</v>
      </c>
      <c r="L16" s="15">
        <f>3009*2+2972*2</f>
        <v>11962</v>
      </c>
      <c r="M16" s="15">
        <f t="shared" si="0"/>
        <v>11962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0.53166666666666673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112</v>
      </c>
      <c r="D17" s="52" t="s">
        <v>149</v>
      </c>
      <c r="E17" s="53" t="s">
        <v>164</v>
      </c>
      <c r="F17" s="30" t="s">
        <v>165</v>
      </c>
      <c r="G17" s="12">
        <v>2</v>
      </c>
      <c r="H17" s="13">
        <v>22</v>
      </c>
      <c r="I17" s="31">
        <f>72000+40000</f>
        <v>112000</v>
      </c>
      <c r="J17" s="5">
        <v>10808</v>
      </c>
      <c r="K17" s="15">
        <f>L17+4453+8440+10782+9098+8530+6582+6076+10824+10810+10874+10764+8950</f>
        <v>116991</v>
      </c>
      <c r="L17" s="15">
        <f>2724*2+2680*2</f>
        <v>10808</v>
      </c>
      <c r="M17" s="15">
        <f t="shared" si="0"/>
        <v>10808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0.53166666666666673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126</v>
      </c>
      <c r="D18" s="52" t="s">
        <v>197</v>
      </c>
      <c r="E18" s="53" t="s">
        <v>176</v>
      </c>
      <c r="F18" s="30" t="s">
        <v>183</v>
      </c>
      <c r="G18" s="12">
        <v>4</v>
      </c>
      <c r="H18" s="13">
        <v>24</v>
      </c>
      <c r="I18" s="7">
        <v>20000</v>
      </c>
      <c r="J18" s="14">
        <v>18304</v>
      </c>
      <c r="K18" s="15">
        <f>L18+14416</f>
        <v>32720</v>
      </c>
      <c r="L18" s="15">
        <f>2609*4+1967*4</f>
        <v>18304</v>
      </c>
      <c r="M18" s="15">
        <f t="shared" si="0"/>
        <v>18304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0.53166666666666673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112</v>
      </c>
      <c r="D19" s="52" t="s">
        <v>198</v>
      </c>
      <c r="E19" s="53" t="s">
        <v>189</v>
      </c>
      <c r="F19" s="30" t="s">
        <v>148</v>
      </c>
      <c r="G19" s="12">
        <v>1</v>
      </c>
      <c r="H19" s="13">
        <v>22</v>
      </c>
      <c r="I19" s="31">
        <v>8000</v>
      </c>
      <c r="J19" s="5">
        <v>5319</v>
      </c>
      <c r="K19" s="15">
        <f>L19+5152</f>
        <v>10471</v>
      </c>
      <c r="L19" s="15">
        <f>2692+2627</f>
        <v>5319</v>
      </c>
      <c r="M19" s="15">
        <f t="shared" si="0"/>
        <v>5319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0.53166666666666673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116</v>
      </c>
      <c r="D20" s="52" t="s">
        <v>197</v>
      </c>
      <c r="E20" s="53" t="s">
        <v>228</v>
      </c>
      <c r="F20" s="30" t="s">
        <v>123</v>
      </c>
      <c r="G20" s="33">
        <v>1</v>
      </c>
      <c r="H20" s="35">
        <v>24</v>
      </c>
      <c r="I20" s="7">
        <v>2000</v>
      </c>
      <c r="J20" s="14">
        <v>4638</v>
      </c>
      <c r="K20" s="15">
        <f>L20</f>
        <v>4638</v>
      </c>
      <c r="L20" s="15">
        <f>2335+2303</f>
        <v>4638</v>
      </c>
      <c r="M20" s="15">
        <f t="shared" si="0"/>
        <v>4638</v>
      </c>
      <c r="N20" s="15">
        <v>0</v>
      </c>
      <c r="O20" s="58">
        <f t="shared" si="1"/>
        <v>0</v>
      </c>
      <c r="P20" s="39">
        <f t="shared" si="2"/>
        <v>21</v>
      </c>
      <c r="Q20" s="40">
        <f t="shared" si="3"/>
        <v>3</v>
      </c>
      <c r="R20" s="7"/>
      <c r="S20" s="6"/>
      <c r="T20" s="16">
        <v>3</v>
      </c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0.875</v>
      </c>
      <c r="AD20" s="10">
        <f t="shared" si="8"/>
        <v>0.875</v>
      </c>
      <c r="AE20" s="36">
        <f t="shared" si="6"/>
        <v>0.53166666666666673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140</v>
      </c>
      <c r="F21" s="30" t="s">
        <v>135</v>
      </c>
      <c r="G21" s="33">
        <v>1</v>
      </c>
      <c r="H21" s="35">
        <v>24</v>
      </c>
      <c r="I21" s="7">
        <v>70000</v>
      </c>
      <c r="J21" s="14">
        <v>10452</v>
      </c>
      <c r="K21" s="15">
        <f>L21+3150+7466+4534+7764+11032+11156+11220+10030+4886+5156+5465+5493+1986+8040</f>
        <v>107830</v>
      </c>
      <c r="L21" s="15">
        <f>2761*2+2465*2</f>
        <v>10452</v>
      </c>
      <c r="M21" s="15">
        <f t="shared" si="0"/>
        <v>10452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0.53166666666666673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192</v>
      </c>
      <c r="F22" s="12" t="s">
        <v>114</v>
      </c>
      <c r="G22" s="12">
        <v>4</v>
      </c>
      <c r="H22" s="35">
        <v>20</v>
      </c>
      <c r="I22" s="7">
        <v>100000</v>
      </c>
      <c r="J22" s="14">
        <v>4128</v>
      </c>
      <c r="K22" s="15">
        <f>L22+50936</f>
        <v>55064</v>
      </c>
      <c r="L22" s="15">
        <f>1032*4</f>
        <v>4128</v>
      </c>
      <c r="M22" s="15">
        <f t="shared" si="0"/>
        <v>4128</v>
      </c>
      <c r="N22" s="15">
        <v>0</v>
      </c>
      <c r="O22" s="58">
        <f t="shared" si="1"/>
        <v>0</v>
      </c>
      <c r="P22" s="39">
        <f t="shared" si="2"/>
        <v>3</v>
      </c>
      <c r="Q22" s="40">
        <f t="shared" si="3"/>
        <v>21</v>
      </c>
      <c r="R22" s="7"/>
      <c r="S22" s="6"/>
      <c r="T22" s="16"/>
      <c r="U22" s="16"/>
      <c r="V22" s="17"/>
      <c r="W22" s="5">
        <v>21</v>
      </c>
      <c r="X22" s="16"/>
      <c r="Y22" s="16"/>
      <c r="Z22" s="16"/>
      <c r="AA22" s="18"/>
      <c r="AB22" s="8">
        <f t="shared" si="4"/>
        <v>1</v>
      </c>
      <c r="AC22" s="9">
        <f t="shared" si="5"/>
        <v>0.125</v>
      </c>
      <c r="AD22" s="10">
        <f t="shared" si="8"/>
        <v>0.125</v>
      </c>
      <c r="AE22" s="36">
        <f t="shared" si="6"/>
        <v>0.53166666666666673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0.53166666666666673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179</v>
      </c>
      <c r="F24" s="12" t="s">
        <v>180</v>
      </c>
      <c r="G24" s="12">
        <v>4</v>
      </c>
      <c r="H24" s="35">
        <v>15</v>
      </c>
      <c r="I24" s="7">
        <v>6000</v>
      </c>
      <c r="J24" s="14">
        <v>7513</v>
      </c>
      <c r="K24" s="15">
        <f>L24+2732+12588+7513</f>
        <v>22833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0.53166666666666673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0.53166666666666673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32</v>
      </c>
      <c r="H26" s="35">
        <v>20</v>
      </c>
      <c r="I26" s="7">
        <v>2000000</v>
      </c>
      <c r="J26" s="14">
        <v>326312</v>
      </c>
      <c r="K26" s="15">
        <f>L26+75400+283575+206080+155736</f>
        <v>1047103</v>
      </c>
      <c r="L26" s="15">
        <f>5090*28+6564*28</f>
        <v>326312</v>
      </c>
      <c r="M26" s="15">
        <f t="shared" si="0"/>
        <v>326312</v>
      </c>
      <c r="N26" s="15">
        <v>0</v>
      </c>
      <c r="O26" s="58">
        <f t="shared" si="1"/>
        <v>0</v>
      </c>
      <c r="P26" s="39">
        <f t="shared" si="2"/>
        <v>24</v>
      </c>
      <c r="Q26" s="40">
        <f t="shared" si="3"/>
        <v>0</v>
      </c>
      <c r="R26" s="7"/>
      <c r="S26" s="6"/>
      <c r="T26" s="16"/>
      <c r="U26" s="16"/>
      <c r="V26" s="17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1</v>
      </c>
      <c r="AD26" s="10">
        <f t="shared" si="8"/>
        <v>1</v>
      </c>
      <c r="AE26" s="36">
        <f t="shared" si="6"/>
        <v>0.53166666666666673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121</v>
      </c>
      <c r="E27" s="53" t="s">
        <v>184</v>
      </c>
      <c r="F27" s="12" t="s">
        <v>135</v>
      </c>
      <c r="G27" s="12">
        <v>3</v>
      </c>
      <c r="H27" s="35">
        <v>20</v>
      </c>
      <c r="I27" s="7">
        <v>4000</v>
      </c>
      <c r="J27" s="14">
        <v>13428</v>
      </c>
      <c r="K27" s="15">
        <f>L27+3951+13428</f>
        <v>17379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0.53166666666666673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115</v>
      </c>
      <c r="E28" s="53" t="s">
        <v>185</v>
      </c>
      <c r="F28" s="12" t="s">
        <v>124</v>
      </c>
      <c r="G28" s="12">
        <v>4</v>
      </c>
      <c r="H28" s="35">
        <v>20</v>
      </c>
      <c r="I28" s="7">
        <v>4000</v>
      </c>
      <c r="J28" s="14">
        <v>8984</v>
      </c>
      <c r="K28" s="15">
        <f>L28+8984</f>
        <v>8984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0.53166666666666673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125</v>
      </c>
      <c r="F29" s="12" t="s">
        <v>124</v>
      </c>
      <c r="G29" s="12">
        <v>4</v>
      </c>
      <c r="H29" s="35">
        <v>20</v>
      </c>
      <c r="I29" s="7">
        <v>50000</v>
      </c>
      <c r="J29" s="14">
        <v>26944</v>
      </c>
      <c r="K29" s="15">
        <f>L29+24592+26944+21716</f>
        <v>73252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0.53166666666666673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0.53166666666666673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17">SUM(I6:I30)</f>
        <v>3812500</v>
      </c>
      <c r="J31" s="19">
        <f t="shared" si="17"/>
        <v>610252</v>
      </c>
      <c r="K31" s="20">
        <f t="shared" si="17"/>
        <v>2593429</v>
      </c>
      <c r="L31" s="21">
        <f t="shared" si="17"/>
        <v>450671</v>
      </c>
      <c r="M31" s="20">
        <f t="shared" si="17"/>
        <v>450671</v>
      </c>
      <c r="N31" s="21">
        <f t="shared" si="17"/>
        <v>0</v>
      </c>
      <c r="O31" s="41">
        <f t="shared" si="1"/>
        <v>0</v>
      </c>
      <c r="P31" s="42">
        <f t="shared" ref="P31:AA31" si="18">SUM(P6:P30)</f>
        <v>319</v>
      </c>
      <c r="Q31" s="43">
        <f t="shared" si="18"/>
        <v>281</v>
      </c>
      <c r="R31" s="23">
        <f t="shared" si="18"/>
        <v>0</v>
      </c>
      <c r="S31" s="24">
        <f t="shared" si="18"/>
        <v>49</v>
      </c>
      <c r="T31" s="24">
        <f t="shared" si="18"/>
        <v>11</v>
      </c>
      <c r="U31" s="24">
        <f t="shared" si="18"/>
        <v>0</v>
      </c>
      <c r="V31" s="25">
        <f t="shared" si="18"/>
        <v>48</v>
      </c>
      <c r="W31" s="26">
        <f t="shared" si="18"/>
        <v>173</v>
      </c>
      <c r="X31" s="27">
        <f t="shared" si="18"/>
        <v>0</v>
      </c>
      <c r="Y31" s="27">
        <f t="shared" si="18"/>
        <v>0</v>
      </c>
      <c r="Z31" s="27">
        <f t="shared" si="18"/>
        <v>0</v>
      </c>
      <c r="AA31" s="27">
        <f t="shared" si="18"/>
        <v>0</v>
      </c>
      <c r="AB31" s="28">
        <f>AVERAGE(AB6:AB30)</f>
        <v>0.70833333333333337</v>
      </c>
      <c r="AC31" s="4">
        <f>AVERAGE(AC6:AC30)</f>
        <v>0.53166666666666673</v>
      </c>
      <c r="AD31" s="4">
        <f>AVERAGE(AD6:AD30)</f>
        <v>0.53166666666666673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229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234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142" t="s">
        <v>46</v>
      </c>
      <c r="D60" s="142" t="s">
        <v>47</v>
      </c>
      <c r="E60" s="142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142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126</v>
      </c>
      <c r="B61" s="431"/>
      <c r="C61" s="137" t="s">
        <v>139</v>
      </c>
      <c r="D61" s="137" t="s">
        <v>115</v>
      </c>
      <c r="E61" s="138" t="s">
        <v>194</v>
      </c>
      <c r="F61" s="432" t="s">
        <v>230</v>
      </c>
      <c r="G61" s="433"/>
      <c r="H61" s="433"/>
      <c r="I61" s="433"/>
      <c r="J61" s="433"/>
      <c r="K61" s="433"/>
      <c r="L61" s="433"/>
      <c r="M61" s="434"/>
      <c r="N61" s="141" t="s">
        <v>126</v>
      </c>
      <c r="O61" s="135" t="s">
        <v>139</v>
      </c>
      <c r="P61" s="447" t="s">
        <v>115</v>
      </c>
      <c r="Q61" s="448"/>
      <c r="R61" s="447" t="s">
        <v>194</v>
      </c>
      <c r="S61" s="449"/>
      <c r="T61" s="449"/>
      <c r="U61" s="448"/>
      <c r="V61" s="436" t="s">
        <v>141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151</v>
      </c>
      <c r="B62" s="431"/>
      <c r="C62" s="137" t="s">
        <v>160</v>
      </c>
      <c r="D62" s="137" t="s">
        <v>115</v>
      </c>
      <c r="E62" s="138" t="s">
        <v>158</v>
      </c>
      <c r="F62" s="432" t="s">
        <v>231</v>
      </c>
      <c r="G62" s="433"/>
      <c r="H62" s="433"/>
      <c r="I62" s="433"/>
      <c r="J62" s="433"/>
      <c r="K62" s="433"/>
      <c r="L62" s="433"/>
      <c r="M62" s="434"/>
      <c r="N62" s="141" t="s">
        <v>211</v>
      </c>
      <c r="O62" s="135" t="s">
        <v>208</v>
      </c>
      <c r="P62" s="447" t="s">
        <v>147</v>
      </c>
      <c r="Q62" s="448"/>
      <c r="R62" s="447" t="s">
        <v>235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116</v>
      </c>
      <c r="B63" s="431"/>
      <c r="C63" s="137" t="s">
        <v>146</v>
      </c>
      <c r="D63" s="137" t="s">
        <v>213</v>
      </c>
      <c r="E63" s="138" t="s">
        <v>232</v>
      </c>
      <c r="F63" s="432" t="s">
        <v>202</v>
      </c>
      <c r="G63" s="433"/>
      <c r="H63" s="433"/>
      <c r="I63" s="433"/>
      <c r="J63" s="433"/>
      <c r="K63" s="433"/>
      <c r="L63" s="433"/>
      <c r="M63" s="434"/>
      <c r="N63" s="141" t="s">
        <v>151</v>
      </c>
      <c r="O63" s="152" t="s">
        <v>219</v>
      </c>
      <c r="P63" s="447" t="s">
        <v>115</v>
      </c>
      <c r="Q63" s="448"/>
      <c r="R63" s="447" t="s">
        <v>236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112</v>
      </c>
      <c r="B64" s="431"/>
      <c r="C64" s="137" t="s">
        <v>160</v>
      </c>
      <c r="D64" s="137" t="s">
        <v>137</v>
      </c>
      <c r="E64" s="138" t="s">
        <v>225</v>
      </c>
      <c r="F64" s="432" t="s">
        <v>154</v>
      </c>
      <c r="G64" s="433"/>
      <c r="H64" s="433"/>
      <c r="I64" s="433"/>
      <c r="J64" s="433"/>
      <c r="K64" s="433"/>
      <c r="L64" s="433"/>
      <c r="M64" s="434"/>
      <c r="N64" s="141" t="s">
        <v>237</v>
      </c>
      <c r="O64" s="135" t="s">
        <v>238</v>
      </c>
      <c r="P64" s="447"/>
      <c r="Q64" s="448"/>
      <c r="R64" s="447" t="s">
        <v>239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126</v>
      </c>
      <c r="B65" s="431"/>
      <c r="C65" s="137" t="s">
        <v>166</v>
      </c>
      <c r="D65" s="137" t="s">
        <v>216</v>
      </c>
      <c r="E65" s="138" t="s">
        <v>226</v>
      </c>
      <c r="F65" s="432" t="s">
        <v>154</v>
      </c>
      <c r="G65" s="433"/>
      <c r="H65" s="433"/>
      <c r="I65" s="433"/>
      <c r="J65" s="433"/>
      <c r="K65" s="433"/>
      <c r="L65" s="433"/>
      <c r="M65" s="434"/>
      <c r="N65" s="141" t="s">
        <v>116</v>
      </c>
      <c r="O65" s="135" t="s">
        <v>242</v>
      </c>
      <c r="P65" s="447" t="s">
        <v>115</v>
      </c>
      <c r="Q65" s="448"/>
      <c r="R65" s="447" t="s">
        <v>240</v>
      </c>
      <c r="S65" s="449"/>
      <c r="T65" s="449"/>
      <c r="U65" s="448"/>
      <c r="V65" s="436" t="s">
        <v>141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151</v>
      </c>
      <c r="B66" s="431"/>
      <c r="C66" s="137" t="s">
        <v>219</v>
      </c>
      <c r="D66" s="137" t="s">
        <v>220</v>
      </c>
      <c r="E66" s="138" t="s">
        <v>233</v>
      </c>
      <c r="F66" s="432" t="s">
        <v>154</v>
      </c>
      <c r="G66" s="433"/>
      <c r="H66" s="433"/>
      <c r="I66" s="433"/>
      <c r="J66" s="433"/>
      <c r="K66" s="433"/>
      <c r="L66" s="433"/>
      <c r="M66" s="434"/>
      <c r="N66" s="141"/>
      <c r="O66" s="135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116</v>
      </c>
      <c r="B67" s="431"/>
      <c r="C67" s="137" t="s">
        <v>208</v>
      </c>
      <c r="D67" s="137" t="s">
        <v>197</v>
      </c>
      <c r="E67" s="138" t="s">
        <v>228</v>
      </c>
      <c r="F67" s="432" t="s">
        <v>154</v>
      </c>
      <c r="G67" s="433"/>
      <c r="H67" s="433"/>
      <c r="I67" s="433"/>
      <c r="J67" s="433"/>
      <c r="K67" s="433"/>
      <c r="L67" s="433"/>
      <c r="M67" s="434"/>
      <c r="N67" s="141"/>
      <c r="O67" s="135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116</v>
      </c>
      <c r="B68" s="431"/>
      <c r="C68" s="137" t="s">
        <v>242</v>
      </c>
      <c r="D68" s="137" t="s">
        <v>115</v>
      </c>
      <c r="E68" s="138" t="s">
        <v>240</v>
      </c>
      <c r="F68" s="432" t="s">
        <v>241</v>
      </c>
      <c r="G68" s="433"/>
      <c r="H68" s="433"/>
      <c r="I68" s="433"/>
      <c r="J68" s="433"/>
      <c r="K68" s="433"/>
      <c r="L68" s="433"/>
      <c r="M68" s="434"/>
      <c r="N68" s="141"/>
      <c r="O68" s="135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/>
      <c r="B69" s="431"/>
      <c r="C69" s="137"/>
      <c r="D69" s="137"/>
      <c r="E69" s="138"/>
      <c r="F69" s="432"/>
      <c r="G69" s="433"/>
      <c r="H69" s="433"/>
      <c r="I69" s="433"/>
      <c r="J69" s="433"/>
      <c r="K69" s="433"/>
      <c r="L69" s="433"/>
      <c r="M69" s="434"/>
      <c r="N69" s="141"/>
      <c r="O69" s="135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139"/>
      <c r="D70" s="140"/>
      <c r="E70" s="139"/>
      <c r="F70" s="441"/>
      <c r="G70" s="442"/>
      <c r="H70" s="442"/>
      <c r="I70" s="442"/>
      <c r="J70" s="442"/>
      <c r="K70" s="442"/>
      <c r="L70" s="442"/>
      <c r="M70" s="443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243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136" t="s">
        <v>2</v>
      </c>
      <c r="D72" s="136" t="s">
        <v>37</v>
      </c>
      <c r="E72" s="136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136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245</v>
      </c>
      <c r="D73" s="131"/>
      <c r="E73" s="134" t="s">
        <v>246</v>
      </c>
      <c r="F73" s="416" t="s">
        <v>244</v>
      </c>
      <c r="G73" s="406"/>
      <c r="H73" s="406"/>
      <c r="I73" s="406"/>
      <c r="J73" s="406"/>
      <c r="K73" s="406" t="s">
        <v>247</v>
      </c>
      <c r="L73" s="406"/>
      <c r="M73" s="51" t="s">
        <v>248</v>
      </c>
      <c r="N73" s="417" t="s">
        <v>249</v>
      </c>
      <c r="O73" s="417"/>
      <c r="P73" s="418">
        <v>50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/>
      <c r="D74" s="131"/>
      <c r="E74" s="134"/>
      <c r="F74" s="420"/>
      <c r="G74" s="421"/>
      <c r="H74" s="421"/>
      <c r="I74" s="421"/>
      <c r="J74" s="422"/>
      <c r="K74" s="406"/>
      <c r="L74" s="406"/>
      <c r="M74" s="51"/>
      <c r="N74" s="417"/>
      <c r="O74" s="417"/>
      <c r="P74" s="418"/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/>
      <c r="D75" s="131"/>
      <c r="E75" s="134"/>
      <c r="F75" s="416"/>
      <c r="G75" s="406"/>
      <c r="H75" s="406"/>
      <c r="I75" s="406"/>
      <c r="J75" s="406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/>
      <c r="D76" s="131"/>
      <c r="E76" s="134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/>
      <c r="D77" s="131"/>
      <c r="E77" s="134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131"/>
      <c r="E78" s="134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131"/>
      <c r="E79" s="134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131"/>
      <c r="E80" s="134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131"/>
      <c r="E81" s="134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131"/>
      <c r="E82" s="134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250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133" t="s">
        <v>2</v>
      </c>
      <c r="D84" s="133" t="s">
        <v>37</v>
      </c>
      <c r="E84" s="133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132"/>
      <c r="D85" s="132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131"/>
      <c r="D86" s="131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9">A86+1</f>
        <v>3</v>
      </c>
      <c r="B87" s="374"/>
      <c r="C87" s="131"/>
      <c r="D87" s="131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9"/>
        <v>4</v>
      </c>
      <c r="B88" s="374"/>
      <c r="C88" s="131"/>
      <c r="D88" s="131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5</v>
      </c>
      <c r="B89" s="374"/>
      <c r="C89" s="131"/>
      <c r="D89" s="131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6</v>
      </c>
      <c r="B90" s="374"/>
      <c r="C90" s="131"/>
      <c r="D90" s="131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7</v>
      </c>
      <c r="B91" s="374"/>
      <c r="C91" s="131"/>
      <c r="D91" s="131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251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65B3-24BA-4319-B3B5-15FD976969D9}">
  <sheetPr>
    <pageSetUpPr fitToPage="1"/>
  </sheetPr>
  <dimension ref="A1:AF98"/>
  <sheetViews>
    <sheetView view="pageBreakPreview" zoomScale="70" zoomScaleNormal="72" zoomScaleSheetLayoutView="70" workbookViewId="0">
      <selection activeCell="F80" sqref="F80:J8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8.7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815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326" t="s">
        <v>17</v>
      </c>
      <c r="L5" s="326" t="s">
        <v>18</v>
      </c>
      <c r="M5" s="326" t="s">
        <v>19</v>
      </c>
      <c r="N5" s="32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112</v>
      </c>
      <c r="D6" s="52" t="s">
        <v>149</v>
      </c>
      <c r="E6" s="53" t="s">
        <v>763</v>
      </c>
      <c r="F6" s="30" t="s">
        <v>798</v>
      </c>
      <c r="G6" s="12">
        <v>1</v>
      </c>
      <c r="H6" s="13">
        <v>24</v>
      </c>
      <c r="I6" s="31">
        <v>6000</v>
      </c>
      <c r="J6" s="14">
        <v>4956</v>
      </c>
      <c r="K6" s="15">
        <f>L6+4624</f>
        <v>9580</v>
      </c>
      <c r="L6" s="15">
        <f>2382+2574</f>
        <v>4956</v>
      </c>
      <c r="M6" s="15">
        <f t="shared" ref="M6:M32" si="0">L6-N6</f>
        <v>4956</v>
      </c>
      <c r="N6" s="15">
        <v>0</v>
      </c>
      <c r="O6" s="58">
        <f t="shared" ref="O6:O33" si="1">IF(L6=0,"0",N6/L6)</f>
        <v>0</v>
      </c>
      <c r="P6" s="39">
        <f t="shared" ref="P6:P32" si="2">IF(L6=0,"0",(24-Q6))</f>
        <v>24</v>
      </c>
      <c r="Q6" s="40">
        <f t="shared" ref="Q6:Q32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32" si="4">IF(J6=0,"0",(L6/J6))</f>
        <v>1</v>
      </c>
      <c r="AC6" s="9">
        <f t="shared" ref="AC6:AC32" si="5">IF(P6=0,"0",(P6/24))</f>
        <v>1</v>
      </c>
      <c r="AD6" s="10">
        <f>AC6*AB6*(1-O6)</f>
        <v>1</v>
      </c>
      <c r="AE6" s="36">
        <f t="shared" ref="AE6:AE32" si="6">$AD$33</f>
        <v>0.48061321958992514</v>
      </c>
      <c r="AF6" s="81">
        <f t="shared" ref="AF6:AF32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137</v>
      </c>
      <c r="E7" s="53" t="s">
        <v>816</v>
      </c>
      <c r="F7" s="30" t="s">
        <v>136</v>
      </c>
      <c r="G7" s="12">
        <v>1</v>
      </c>
      <c r="H7" s="13">
        <v>24</v>
      </c>
      <c r="I7" s="31">
        <v>6000</v>
      </c>
      <c r="J7" s="14">
        <v>2472</v>
      </c>
      <c r="K7" s="15">
        <f>L7</f>
        <v>2472</v>
      </c>
      <c r="L7" s="15">
        <f>90+2382</f>
        <v>2472</v>
      </c>
      <c r="M7" s="15">
        <f t="shared" si="0"/>
        <v>2472</v>
      </c>
      <c r="N7" s="15">
        <v>0</v>
      </c>
      <c r="O7" s="58">
        <f t="shared" si="1"/>
        <v>0</v>
      </c>
      <c r="P7" s="39">
        <f t="shared" si="2"/>
        <v>14</v>
      </c>
      <c r="Q7" s="40">
        <f t="shared" si="3"/>
        <v>10</v>
      </c>
      <c r="R7" s="7"/>
      <c r="S7" s="6">
        <v>10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0.58333333333333337</v>
      </c>
      <c r="AD7" s="10">
        <f t="shared" ref="AD7:AD32" si="8">AC7*AB7*(1-O7)</f>
        <v>0.58333333333333337</v>
      </c>
      <c r="AE7" s="36">
        <f t="shared" si="6"/>
        <v>0.48061321958992514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246</v>
      </c>
      <c r="E8" s="53" t="s">
        <v>817</v>
      </c>
      <c r="F8" s="30" t="s">
        <v>123</v>
      </c>
      <c r="G8" s="12">
        <v>1</v>
      </c>
      <c r="H8" s="13">
        <v>24</v>
      </c>
      <c r="I8" s="7">
        <v>350</v>
      </c>
      <c r="J8" s="14">
        <v>424</v>
      </c>
      <c r="K8" s="15">
        <f>L8</f>
        <v>424</v>
      </c>
      <c r="L8" s="15">
        <v>424</v>
      </c>
      <c r="M8" s="15">
        <f t="shared" si="0"/>
        <v>424</v>
      </c>
      <c r="N8" s="15">
        <v>0</v>
      </c>
      <c r="O8" s="58">
        <f t="shared" si="1"/>
        <v>0</v>
      </c>
      <c r="P8" s="39">
        <f t="shared" si="2"/>
        <v>3</v>
      </c>
      <c r="Q8" s="40">
        <f t="shared" si="3"/>
        <v>21</v>
      </c>
      <c r="R8" s="7"/>
      <c r="S8" s="6"/>
      <c r="T8" s="16"/>
      <c r="U8" s="16"/>
      <c r="V8" s="17"/>
      <c r="W8" s="5">
        <v>21</v>
      </c>
      <c r="X8" s="16"/>
      <c r="Y8" s="16"/>
      <c r="Z8" s="16"/>
      <c r="AA8" s="18"/>
      <c r="AB8" s="8">
        <f t="shared" si="4"/>
        <v>1</v>
      </c>
      <c r="AC8" s="9">
        <f t="shared" si="5"/>
        <v>0.125</v>
      </c>
      <c r="AD8" s="10">
        <f t="shared" si="8"/>
        <v>0.125</v>
      </c>
      <c r="AE8" s="36">
        <f t="shared" si="6"/>
        <v>0.48061321958992514</v>
      </c>
      <c r="AF8" s="81">
        <f t="shared" si="7"/>
        <v>3</v>
      </c>
    </row>
    <row r="9" spans="1:32" ht="27" customHeight="1">
      <c r="A9" s="92">
        <v>3</v>
      </c>
      <c r="B9" s="11" t="s">
        <v>57</v>
      </c>
      <c r="C9" s="34" t="s">
        <v>112</v>
      </c>
      <c r="D9" s="52" t="s">
        <v>290</v>
      </c>
      <c r="E9" s="53" t="s">
        <v>818</v>
      </c>
      <c r="F9" s="30" t="s">
        <v>123</v>
      </c>
      <c r="G9" s="12">
        <v>1</v>
      </c>
      <c r="H9" s="13">
        <v>24</v>
      </c>
      <c r="I9" s="7">
        <v>350</v>
      </c>
      <c r="J9" s="14">
        <v>423</v>
      </c>
      <c r="K9" s="15">
        <f t="shared" ref="K9:K10" si="9">L9</f>
        <v>423</v>
      </c>
      <c r="L9" s="15">
        <v>423</v>
      </c>
      <c r="M9" s="15">
        <f t="shared" ref="M9:M10" si="10">L9-N9</f>
        <v>423</v>
      </c>
      <c r="N9" s="15">
        <v>0</v>
      </c>
      <c r="O9" s="58">
        <f t="shared" ref="O9:O10" si="11">IF(L9=0,"0",N9/L9)</f>
        <v>0</v>
      </c>
      <c r="P9" s="39">
        <f t="shared" ref="P9:P10" si="12">IF(L9=0,"0",(24-Q9))</f>
        <v>3</v>
      </c>
      <c r="Q9" s="40">
        <f t="shared" ref="Q9:Q10" si="13">SUM(R9:AA9)</f>
        <v>21</v>
      </c>
      <c r="R9" s="7"/>
      <c r="S9" s="6"/>
      <c r="T9" s="16"/>
      <c r="U9" s="16"/>
      <c r="V9" s="17"/>
      <c r="W9" s="5">
        <v>21</v>
      </c>
      <c r="X9" s="16"/>
      <c r="Y9" s="16"/>
      <c r="Z9" s="16"/>
      <c r="AA9" s="18"/>
      <c r="AB9" s="8">
        <f t="shared" ref="AB9:AB10" si="14">IF(J9=0,"0",(L9/J9))</f>
        <v>1</v>
      </c>
      <c r="AC9" s="9">
        <f t="shared" ref="AC9:AC10" si="15">IF(P9=0,"0",(P9/24))</f>
        <v>0.125</v>
      </c>
      <c r="AD9" s="10">
        <f t="shared" ref="AD9:AD10" si="16">AC9*AB9*(1-O9)</f>
        <v>0.125</v>
      </c>
      <c r="AE9" s="36">
        <f t="shared" si="6"/>
        <v>0.48061321958992514</v>
      </c>
      <c r="AF9" s="81">
        <f t="shared" ref="AF9:AF10" si="17">A9</f>
        <v>3</v>
      </c>
    </row>
    <row r="10" spans="1:32" ht="27" customHeight="1">
      <c r="A10" s="92">
        <v>3</v>
      </c>
      <c r="B10" s="11" t="s">
        <v>57</v>
      </c>
      <c r="C10" s="34" t="s">
        <v>112</v>
      </c>
      <c r="D10" s="52" t="s">
        <v>115</v>
      </c>
      <c r="E10" s="53" t="s">
        <v>819</v>
      </c>
      <c r="F10" s="30" t="s">
        <v>148</v>
      </c>
      <c r="G10" s="12">
        <v>1</v>
      </c>
      <c r="H10" s="13">
        <v>24</v>
      </c>
      <c r="I10" s="7">
        <v>6000</v>
      </c>
      <c r="J10" s="14">
        <v>3536</v>
      </c>
      <c r="K10" s="15">
        <f t="shared" si="9"/>
        <v>3536</v>
      </c>
      <c r="L10" s="15">
        <f>1208+2328</f>
        <v>3536</v>
      </c>
      <c r="M10" s="15">
        <f t="shared" si="10"/>
        <v>3536</v>
      </c>
      <c r="N10" s="15">
        <v>0</v>
      </c>
      <c r="O10" s="58">
        <f t="shared" si="11"/>
        <v>0</v>
      </c>
      <c r="P10" s="39">
        <f t="shared" si="12"/>
        <v>17</v>
      </c>
      <c r="Q10" s="40">
        <f t="shared" si="13"/>
        <v>7</v>
      </c>
      <c r="R10" s="7"/>
      <c r="S10" s="6"/>
      <c r="T10" s="16">
        <v>7</v>
      </c>
      <c r="U10" s="16"/>
      <c r="V10" s="17"/>
      <c r="W10" s="5"/>
      <c r="X10" s="16"/>
      <c r="Y10" s="16"/>
      <c r="Z10" s="16"/>
      <c r="AA10" s="18"/>
      <c r="AB10" s="8">
        <f t="shared" si="14"/>
        <v>1</v>
      </c>
      <c r="AC10" s="9">
        <f t="shared" si="15"/>
        <v>0.70833333333333337</v>
      </c>
      <c r="AD10" s="10">
        <f t="shared" si="16"/>
        <v>0.70833333333333337</v>
      </c>
      <c r="AE10" s="36">
        <f t="shared" si="6"/>
        <v>0.48061321958992514</v>
      </c>
      <c r="AF10" s="81">
        <f t="shared" si="17"/>
        <v>3</v>
      </c>
    </row>
    <row r="11" spans="1:32" ht="27" customHeight="1">
      <c r="A11" s="92">
        <v>4</v>
      </c>
      <c r="B11" s="11" t="s">
        <v>57</v>
      </c>
      <c r="C11" s="34" t="s">
        <v>116</v>
      </c>
      <c r="D11" s="52" t="s">
        <v>147</v>
      </c>
      <c r="E11" s="53" t="s">
        <v>280</v>
      </c>
      <c r="F11" s="30" t="s">
        <v>306</v>
      </c>
      <c r="G11" s="12">
        <v>1</v>
      </c>
      <c r="H11" s="13">
        <v>24</v>
      </c>
      <c r="I11" s="7">
        <v>9000</v>
      </c>
      <c r="J11" s="14">
        <v>3293</v>
      </c>
      <c r="K11" s="15">
        <f>L11+4799+2437+2839</f>
        <v>13368</v>
      </c>
      <c r="L11" s="15">
        <f>2337+956</f>
        <v>3293</v>
      </c>
      <c r="M11" s="15">
        <f t="shared" si="0"/>
        <v>3293</v>
      </c>
      <c r="N11" s="15">
        <v>0</v>
      </c>
      <c r="O11" s="58">
        <f t="shared" si="1"/>
        <v>0</v>
      </c>
      <c r="P11" s="39">
        <f t="shared" si="2"/>
        <v>18</v>
      </c>
      <c r="Q11" s="40">
        <f t="shared" si="3"/>
        <v>6</v>
      </c>
      <c r="R11" s="7"/>
      <c r="S11" s="6">
        <v>6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0.75</v>
      </c>
      <c r="AD11" s="10">
        <f t="shared" si="8"/>
        <v>0.75</v>
      </c>
      <c r="AE11" s="36">
        <f t="shared" si="6"/>
        <v>0.48061321958992514</v>
      </c>
      <c r="AF11" s="81">
        <f t="shared" si="7"/>
        <v>4</v>
      </c>
    </row>
    <row r="12" spans="1:32" ht="27" customHeight="1">
      <c r="A12" s="92">
        <v>5</v>
      </c>
      <c r="B12" s="11" t="s">
        <v>57</v>
      </c>
      <c r="C12" s="11" t="s">
        <v>112</v>
      </c>
      <c r="D12" s="52" t="s">
        <v>820</v>
      </c>
      <c r="E12" s="53" t="s">
        <v>821</v>
      </c>
      <c r="F12" s="30" t="s">
        <v>122</v>
      </c>
      <c r="G12" s="33">
        <v>1</v>
      </c>
      <c r="H12" s="35">
        <v>24</v>
      </c>
      <c r="I12" s="7">
        <v>2000</v>
      </c>
      <c r="J12" s="14">
        <v>4207</v>
      </c>
      <c r="K12" s="15">
        <f>L12</f>
        <v>4287</v>
      </c>
      <c r="L12" s="15">
        <f>2029+2258</f>
        <v>4287</v>
      </c>
      <c r="M12" s="15">
        <f t="shared" si="0"/>
        <v>4287</v>
      </c>
      <c r="N12" s="15">
        <v>0</v>
      </c>
      <c r="O12" s="58">
        <f t="shared" si="1"/>
        <v>0</v>
      </c>
      <c r="P12" s="39">
        <f t="shared" si="2"/>
        <v>23</v>
      </c>
      <c r="Q12" s="40">
        <f t="shared" si="3"/>
        <v>1</v>
      </c>
      <c r="R12" s="7"/>
      <c r="S12" s="6"/>
      <c r="T12" s="16">
        <v>1</v>
      </c>
      <c r="U12" s="16"/>
      <c r="V12" s="17"/>
      <c r="W12" s="5"/>
      <c r="X12" s="16"/>
      <c r="Y12" s="16"/>
      <c r="Z12" s="16"/>
      <c r="AA12" s="18"/>
      <c r="AB12" s="8">
        <f t="shared" si="4"/>
        <v>1.0190159258378892</v>
      </c>
      <c r="AC12" s="9">
        <f t="shared" si="5"/>
        <v>0.95833333333333337</v>
      </c>
      <c r="AD12" s="10">
        <f t="shared" si="8"/>
        <v>0.97655692892797719</v>
      </c>
      <c r="AE12" s="36">
        <f t="shared" si="6"/>
        <v>0.48061321958992514</v>
      </c>
      <c r="AF12" s="81">
        <f t="shared" si="7"/>
        <v>5</v>
      </c>
    </row>
    <row r="13" spans="1:32" ht="27" customHeight="1">
      <c r="A13" s="92">
        <v>6</v>
      </c>
      <c r="B13" s="11" t="s">
        <v>57</v>
      </c>
      <c r="C13" s="11" t="s">
        <v>112</v>
      </c>
      <c r="D13" s="52" t="s">
        <v>121</v>
      </c>
      <c r="E13" s="53" t="s">
        <v>764</v>
      </c>
      <c r="F13" s="30" t="s">
        <v>165</v>
      </c>
      <c r="G13" s="33">
        <v>1</v>
      </c>
      <c r="H13" s="35">
        <v>24</v>
      </c>
      <c r="I13" s="7">
        <v>6000</v>
      </c>
      <c r="J13" s="14">
        <v>4045</v>
      </c>
      <c r="K13" s="15">
        <f>L13+4760</f>
        <v>8805</v>
      </c>
      <c r="L13" s="15">
        <f>2135+1910</f>
        <v>4045</v>
      </c>
      <c r="M13" s="15">
        <f t="shared" si="0"/>
        <v>4045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0.48061321958992514</v>
      </c>
      <c r="AF13" s="81">
        <f t="shared" si="7"/>
        <v>6</v>
      </c>
    </row>
    <row r="14" spans="1:32" ht="27" customHeight="1">
      <c r="A14" s="92">
        <v>7</v>
      </c>
      <c r="B14" s="11" t="s">
        <v>57</v>
      </c>
      <c r="C14" s="34" t="s">
        <v>116</v>
      </c>
      <c r="D14" s="52" t="s">
        <v>115</v>
      </c>
      <c r="E14" s="53" t="s">
        <v>691</v>
      </c>
      <c r="F14" s="30" t="s">
        <v>159</v>
      </c>
      <c r="G14" s="12">
        <v>2</v>
      </c>
      <c r="H14" s="13">
        <v>22</v>
      </c>
      <c r="I14" s="31">
        <v>71000</v>
      </c>
      <c r="J14" s="5">
        <v>9460</v>
      </c>
      <c r="K14" s="15">
        <f>L14+9138+9640+10002</f>
        <v>38240</v>
      </c>
      <c r="L14" s="15">
        <f>2142*2+2588*2</f>
        <v>9460</v>
      </c>
      <c r="M14" s="15">
        <f t="shared" si="0"/>
        <v>9460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8"/>
        <v>1</v>
      </c>
      <c r="AE14" s="36">
        <f t="shared" si="6"/>
        <v>0.48061321958992514</v>
      </c>
      <c r="AF14" s="81">
        <f t="shared" si="7"/>
        <v>7</v>
      </c>
    </row>
    <row r="15" spans="1:32" ht="27" customHeight="1">
      <c r="A15" s="92">
        <v>8</v>
      </c>
      <c r="B15" s="11" t="s">
        <v>57</v>
      </c>
      <c r="C15" s="11" t="s">
        <v>116</v>
      </c>
      <c r="D15" s="52" t="s">
        <v>147</v>
      </c>
      <c r="E15" s="53" t="s">
        <v>692</v>
      </c>
      <c r="F15" s="30" t="s">
        <v>730</v>
      </c>
      <c r="G15" s="33">
        <v>2</v>
      </c>
      <c r="H15" s="35">
        <v>22</v>
      </c>
      <c r="I15" s="7">
        <v>68000</v>
      </c>
      <c r="J15" s="14">
        <v>13894</v>
      </c>
      <c r="K15" s="15">
        <f>L15+10908+11004+14278</f>
        <v>50084</v>
      </c>
      <c r="L15" s="15">
        <f>3767*2+3180*2</f>
        <v>13894</v>
      </c>
      <c r="M15" s="15">
        <f t="shared" si="0"/>
        <v>13894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0.48061321958992514</v>
      </c>
      <c r="AF15" s="81">
        <f t="shared" si="7"/>
        <v>8</v>
      </c>
    </row>
    <row r="16" spans="1:32" ht="27" customHeight="1">
      <c r="A16" s="99">
        <v>9</v>
      </c>
      <c r="B16" s="11" t="s">
        <v>57</v>
      </c>
      <c r="C16" s="34" t="s">
        <v>112</v>
      </c>
      <c r="D16" s="52" t="s">
        <v>115</v>
      </c>
      <c r="E16" s="53" t="s">
        <v>810</v>
      </c>
      <c r="F16" s="30" t="s">
        <v>148</v>
      </c>
      <c r="G16" s="33">
        <v>1</v>
      </c>
      <c r="H16" s="35">
        <v>50</v>
      </c>
      <c r="I16" s="7">
        <v>300</v>
      </c>
      <c r="J16" s="5">
        <v>244</v>
      </c>
      <c r="K16" s="15">
        <f>L16</f>
        <v>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>
        <v>24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0.48061321958992514</v>
      </c>
      <c r="AF16" s="81">
        <f t="shared" si="7"/>
        <v>9</v>
      </c>
    </row>
    <row r="17" spans="1:32" ht="27" customHeight="1">
      <c r="A17" s="106">
        <v>10</v>
      </c>
      <c r="B17" s="11" t="s">
        <v>57</v>
      </c>
      <c r="C17" s="34" t="s">
        <v>112</v>
      </c>
      <c r="D17" s="52" t="s">
        <v>799</v>
      </c>
      <c r="E17" s="53" t="s">
        <v>800</v>
      </c>
      <c r="F17" s="30" t="s">
        <v>138</v>
      </c>
      <c r="G17" s="12">
        <v>1</v>
      </c>
      <c r="H17" s="13">
        <v>24</v>
      </c>
      <c r="I17" s="31">
        <v>2000</v>
      </c>
      <c r="J17" s="14">
        <v>593</v>
      </c>
      <c r="K17" s="15">
        <f>L17+2924</f>
        <v>3517</v>
      </c>
      <c r="L17" s="15">
        <v>593</v>
      </c>
      <c r="M17" s="15">
        <f t="shared" si="0"/>
        <v>593</v>
      </c>
      <c r="N17" s="15">
        <v>0</v>
      </c>
      <c r="O17" s="58">
        <f t="shared" si="1"/>
        <v>0</v>
      </c>
      <c r="P17" s="39">
        <f t="shared" si="2"/>
        <v>3</v>
      </c>
      <c r="Q17" s="40">
        <f t="shared" si="3"/>
        <v>21</v>
      </c>
      <c r="R17" s="7"/>
      <c r="S17" s="6">
        <v>21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0.125</v>
      </c>
      <c r="AD17" s="10">
        <f t="shared" si="8"/>
        <v>0.125</v>
      </c>
      <c r="AE17" s="36">
        <f t="shared" si="6"/>
        <v>0.48061321958992514</v>
      </c>
      <c r="AF17" s="81">
        <f t="shared" si="7"/>
        <v>10</v>
      </c>
    </row>
    <row r="18" spans="1:32" ht="27" customHeight="1">
      <c r="A18" s="106">
        <v>10</v>
      </c>
      <c r="B18" s="11" t="s">
        <v>57</v>
      </c>
      <c r="C18" s="34" t="s">
        <v>575</v>
      </c>
      <c r="D18" s="52" t="s">
        <v>822</v>
      </c>
      <c r="E18" s="53" t="s">
        <v>823</v>
      </c>
      <c r="F18" s="30" t="s">
        <v>824</v>
      </c>
      <c r="G18" s="12">
        <v>4</v>
      </c>
      <c r="H18" s="13">
        <v>24</v>
      </c>
      <c r="I18" s="31">
        <v>157200</v>
      </c>
      <c r="J18" s="14">
        <v>15076</v>
      </c>
      <c r="K18" s="15">
        <f>L18</f>
        <v>15076</v>
      </c>
      <c r="L18" s="15">
        <f>995*4+2774*4</f>
        <v>15076</v>
      </c>
      <c r="M18" s="15">
        <f t="shared" ref="M18" si="18">L18-N18</f>
        <v>15076</v>
      </c>
      <c r="N18" s="15">
        <v>0</v>
      </c>
      <c r="O18" s="58">
        <f t="shared" ref="O18" si="19">IF(L18=0,"0",N18/L18)</f>
        <v>0</v>
      </c>
      <c r="P18" s="39">
        <f t="shared" ref="P18" si="20">IF(L18=0,"0",(24-Q18))</f>
        <v>17</v>
      </c>
      <c r="Q18" s="40">
        <f t="shared" ref="Q18" si="21">SUM(R18:AA18)</f>
        <v>7</v>
      </c>
      <c r="R18" s="7"/>
      <c r="S18" s="6"/>
      <c r="T18" s="16">
        <v>7</v>
      </c>
      <c r="U18" s="16"/>
      <c r="V18" s="17"/>
      <c r="W18" s="5"/>
      <c r="X18" s="16"/>
      <c r="Y18" s="16"/>
      <c r="Z18" s="16"/>
      <c r="AA18" s="18"/>
      <c r="AB18" s="8">
        <f t="shared" ref="AB18" si="22">IF(J18=0,"0",(L18/J18))</f>
        <v>1</v>
      </c>
      <c r="AC18" s="9">
        <f t="shared" ref="AC18" si="23">IF(P18=0,"0",(P18/24))</f>
        <v>0.70833333333333337</v>
      </c>
      <c r="AD18" s="10">
        <f t="shared" ref="AD18" si="24">AC18*AB18*(1-O18)</f>
        <v>0.70833333333333337</v>
      </c>
      <c r="AE18" s="36">
        <f t="shared" si="6"/>
        <v>0.48061321958992514</v>
      </c>
      <c r="AF18" s="81">
        <f t="shared" ref="AF18" si="25">A18</f>
        <v>10</v>
      </c>
    </row>
    <row r="19" spans="1:32" ht="27" customHeight="1">
      <c r="A19" s="92">
        <v>11</v>
      </c>
      <c r="B19" s="11" t="s">
        <v>57</v>
      </c>
      <c r="C19" s="34" t="s">
        <v>116</v>
      </c>
      <c r="D19" s="52" t="s">
        <v>197</v>
      </c>
      <c r="E19" s="53" t="s">
        <v>366</v>
      </c>
      <c r="F19" s="30" t="s">
        <v>123</v>
      </c>
      <c r="G19" s="12">
        <v>2</v>
      </c>
      <c r="H19" s="13">
        <v>22</v>
      </c>
      <c r="I19" s="31">
        <v>260000</v>
      </c>
      <c r="J19" s="5">
        <v>10862</v>
      </c>
      <c r="K19" s="15">
        <f>L19+9350+9873+10572+11420+9694+7670+11372+10884+8431+5890+10900+11458+11552+11940</f>
        <v>151868</v>
      </c>
      <c r="L19" s="15">
        <f>2544*2+2887*2</f>
        <v>10862</v>
      </c>
      <c r="M19" s="15">
        <f t="shared" si="0"/>
        <v>10862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0.48061321958992514</v>
      </c>
      <c r="AF19" s="81">
        <f t="shared" si="7"/>
        <v>11</v>
      </c>
    </row>
    <row r="20" spans="1:32" ht="27" customHeight="1">
      <c r="A20" s="106">
        <v>12</v>
      </c>
      <c r="B20" s="11" t="s">
        <v>57</v>
      </c>
      <c r="C20" s="34" t="s">
        <v>334</v>
      </c>
      <c r="D20" s="52"/>
      <c r="E20" s="53" t="s">
        <v>331</v>
      </c>
      <c r="F20" s="30" t="s">
        <v>183</v>
      </c>
      <c r="G20" s="12">
        <v>1</v>
      </c>
      <c r="H20" s="13">
        <v>24</v>
      </c>
      <c r="I20" s="7">
        <v>600</v>
      </c>
      <c r="J20" s="14">
        <v>600</v>
      </c>
      <c r="K20" s="15">
        <f>L20+600</f>
        <v>600</v>
      </c>
      <c r="L20" s="15"/>
      <c r="M20" s="15">
        <f t="shared" si="0"/>
        <v>0</v>
      </c>
      <c r="N20" s="15">
        <v>0</v>
      </c>
      <c r="O20" s="58" t="str">
        <f t="shared" si="1"/>
        <v>0</v>
      </c>
      <c r="P20" s="39" t="str">
        <f t="shared" si="2"/>
        <v>0</v>
      </c>
      <c r="Q20" s="40">
        <f t="shared" si="3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4"/>
        <v>0</v>
      </c>
      <c r="AC20" s="9">
        <f t="shared" si="5"/>
        <v>0</v>
      </c>
      <c r="AD20" s="10">
        <f t="shared" si="8"/>
        <v>0</v>
      </c>
      <c r="AE20" s="36">
        <f t="shared" si="6"/>
        <v>0.48061321958992514</v>
      </c>
      <c r="AF20" s="81">
        <f t="shared" si="7"/>
        <v>12</v>
      </c>
    </row>
    <row r="21" spans="1:32" ht="27" customHeight="1">
      <c r="A21" s="92">
        <v>13</v>
      </c>
      <c r="B21" s="11" t="s">
        <v>57</v>
      </c>
      <c r="C21" s="34" t="s">
        <v>116</v>
      </c>
      <c r="D21" s="52" t="s">
        <v>115</v>
      </c>
      <c r="E21" s="53" t="s">
        <v>371</v>
      </c>
      <c r="F21" s="30" t="s">
        <v>135</v>
      </c>
      <c r="G21" s="12">
        <v>2</v>
      </c>
      <c r="H21" s="13">
        <v>22</v>
      </c>
      <c r="I21" s="31">
        <v>260000</v>
      </c>
      <c r="J21" s="5">
        <v>11032</v>
      </c>
      <c r="K21" s="15">
        <f>L21+10480+11444+11648+11082+10368+10658+11130+11168+12108+9740+10720+10498+11286+11772</f>
        <v>165134</v>
      </c>
      <c r="L21" s="15">
        <f>2991*2+2525*2</f>
        <v>11032</v>
      </c>
      <c r="M21" s="15">
        <f t="shared" si="0"/>
        <v>11032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0.48061321958992514</v>
      </c>
      <c r="AF21" s="81">
        <f t="shared" si="7"/>
        <v>13</v>
      </c>
    </row>
    <row r="22" spans="1:32" ht="27" customHeight="1">
      <c r="A22" s="92">
        <v>14</v>
      </c>
      <c r="B22" s="11" t="s">
        <v>57</v>
      </c>
      <c r="C22" s="11" t="s">
        <v>112</v>
      </c>
      <c r="D22" s="52" t="s">
        <v>115</v>
      </c>
      <c r="E22" s="53" t="s">
        <v>732</v>
      </c>
      <c r="F22" s="30" t="s">
        <v>122</v>
      </c>
      <c r="G22" s="33">
        <v>1</v>
      </c>
      <c r="H22" s="35">
        <v>24</v>
      </c>
      <c r="I22" s="7">
        <v>6000</v>
      </c>
      <c r="J22" s="14">
        <v>4090</v>
      </c>
      <c r="K22" s="15">
        <f>L22+1720</f>
        <v>5810</v>
      </c>
      <c r="L22" s="15">
        <f>2457+1633</f>
        <v>4090</v>
      </c>
      <c r="M22" s="15">
        <f t="shared" si="0"/>
        <v>4090</v>
      </c>
      <c r="N22" s="15">
        <v>0</v>
      </c>
      <c r="O22" s="58">
        <f t="shared" si="1"/>
        <v>0</v>
      </c>
      <c r="P22" s="39">
        <f t="shared" si="2"/>
        <v>21</v>
      </c>
      <c r="Q22" s="40">
        <f t="shared" si="3"/>
        <v>3</v>
      </c>
      <c r="R22" s="7"/>
      <c r="S22" s="6">
        <v>3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0.875</v>
      </c>
      <c r="AD22" s="10">
        <f t="shared" si="8"/>
        <v>0.875</v>
      </c>
      <c r="AE22" s="36">
        <f t="shared" si="6"/>
        <v>0.48061321958992514</v>
      </c>
      <c r="AF22" s="81">
        <f t="shared" si="7"/>
        <v>14</v>
      </c>
    </row>
    <row r="23" spans="1:32" ht="27" customHeight="1">
      <c r="A23" s="106">
        <v>15</v>
      </c>
      <c r="B23" s="11" t="s">
        <v>57</v>
      </c>
      <c r="C23" s="11" t="s">
        <v>116</v>
      </c>
      <c r="D23" s="52" t="s">
        <v>627</v>
      </c>
      <c r="E23" s="53" t="s">
        <v>628</v>
      </c>
      <c r="F23" s="30" t="s">
        <v>348</v>
      </c>
      <c r="G23" s="33" t="s">
        <v>170</v>
      </c>
      <c r="H23" s="35">
        <v>24</v>
      </c>
      <c r="I23" s="7">
        <v>40000</v>
      </c>
      <c r="J23" s="14">
        <v>4516</v>
      </c>
      <c r="K23" s="15">
        <f>L23+3583+3529+4577+4677+4809+5003</f>
        <v>30694</v>
      </c>
      <c r="L23" s="15">
        <f>2368+2148</f>
        <v>4516</v>
      </c>
      <c r="M23" s="15">
        <f t="shared" si="0"/>
        <v>4516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1</v>
      </c>
      <c r="AD23" s="10">
        <f t="shared" si="8"/>
        <v>1</v>
      </c>
      <c r="AE23" s="36">
        <f t="shared" si="6"/>
        <v>0.48061321958992514</v>
      </c>
      <c r="AF23" s="81">
        <f t="shared" si="7"/>
        <v>15</v>
      </c>
    </row>
    <row r="24" spans="1:32" ht="26.25" customHeight="1">
      <c r="A24" s="92">
        <v>16</v>
      </c>
      <c r="B24" s="11" t="s">
        <v>57</v>
      </c>
      <c r="C24" s="11" t="s">
        <v>113</v>
      </c>
      <c r="D24" s="52"/>
      <c r="E24" s="53" t="s">
        <v>352</v>
      </c>
      <c r="F24" s="12" t="s">
        <v>114</v>
      </c>
      <c r="G24" s="12">
        <v>4</v>
      </c>
      <c r="H24" s="35">
        <v>20</v>
      </c>
      <c r="I24" s="7">
        <v>2000000</v>
      </c>
      <c r="J24" s="14">
        <v>61284</v>
      </c>
      <c r="K24" s="15">
        <f>L24+64424+64620+22548+54104+64632+65016+67504</f>
        <v>464132</v>
      </c>
      <c r="L24" s="15">
        <f>8108*4+7213*4</f>
        <v>61284</v>
      </c>
      <c r="M24" s="15">
        <f t="shared" si="0"/>
        <v>61284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8"/>
        <v>1</v>
      </c>
      <c r="AE24" s="36">
        <f t="shared" si="6"/>
        <v>0.48061321958992514</v>
      </c>
      <c r="AF24" s="81">
        <f t="shared" si="7"/>
        <v>16</v>
      </c>
    </row>
    <row r="25" spans="1:32" ht="26.25" customHeight="1">
      <c r="A25" s="115">
        <v>17</v>
      </c>
      <c r="B25" s="11" t="s">
        <v>57</v>
      </c>
      <c r="C25" s="11"/>
      <c r="D25" s="52"/>
      <c r="E25" s="53"/>
      <c r="F25" s="12"/>
      <c r="G25" s="12"/>
      <c r="H25" s="35"/>
      <c r="I25" s="7">
        <v>0</v>
      </c>
      <c r="J25" s="14">
        <v>0</v>
      </c>
      <c r="K25" s="15">
        <f>L25</f>
        <v>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/>
      <c r="W25" s="5">
        <v>24</v>
      </c>
      <c r="X25" s="16"/>
      <c r="Y25" s="16"/>
      <c r="Z25" s="16"/>
      <c r="AA25" s="18"/>
      <c r="AB25" s="8" t="str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0.48061321958992514</v>
      </c>
      <c r="AF25" s="81">
        <f t="shared" si="7"/>
        <v>17</v>
      </c>
    </row>
    <row r="26" spans="1:32" ht="26.25" customHeight="1">
      <c r="A26" s="115">
        <v>18</v>
      </c>
      <c r="B26" s="11" t="s">
        <v>57</v>
      </c>
      <c r="C26" s="11" t="s">
        <v>116</v>
      </c>
      <c r="D26" s="52" t="s">
        <v>178</v>
      </c>
      <c r="E26" s="53" t="s">
        <v>353</v>
      </c>
      <c r="F26" s="12" t="s">
        <v>180</v>
      </c>
      <c r="G26" s="12">
        <v>4</v>
      </c>
      <c r="H26" s="35">
        <v>15</v>
      </c>
      <c r="I26" s="7">
        <v>20000</v>
      </c>
      <c r="J26" s="14">
        <v>24024</v>
      </c>
      <c r="K26" s="15">
        <f>L26+14040+7084+2888+25304+4864+24024</f>
        <v>78204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/>
      <c r="W26" s="5"/>
      <c r="X26" s="16"/>
      <c r="Y26" s="16"/>
      <c r="Z26" s="16"/>
      <c r="AA26" s="18">
        <v>24</v>
      </c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0.48061321958992514</v>
      </c>
      <c r="AF26" s="81">
        <f t="shared" si="7"/>
        <v>18</v>
      </c>
    </row>
    <row r="27" spans="1:32" ht="21.75" customHeight="1">
      <c r="A27" s="92">
        <v>31</v>
      </c>
      <c r="B27" s="11" t="s">
        <v>57</v>
      </c>
      <c r="C27" s="11" t="s">
        <v>116</v>
      </c>
      <c r="D27" s="52" t="s">
        <v>115</v>
      </c>
      <c r="E27" s="53" t="s">
        <v>143</v>
      </c>
      <c r="F27" s="12" t="s">
        <v>135</v>
      </c>
      <c r="G27" s="12">
        <v>4</v>
      </c>
      <c r="H27" s="35">
        <v>20</v>
      </c>
      <c r="I27" s="7">
        <v>70000</v>
      </c>
      <c r="J27" s="14">
        <v>22300</v>
      </c>
      <c r="K27" s="15">
        <f>L27+22300</f>
        <v>22300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7">
        <v>24</v>
      </c>
      <c r="W27" s="5"/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0.48061321958992514</v>
      </c>
      <c r="AF27" s="81">
        <f t="shared" si="7"/>
        <v>31</v>
      </c>
    </row>
    <row r="28" spans="1:32" ht="21.75" customHeight="1">
      <c r="A28" s="92">
        <v>32</v>
      </c>
      <c r="B28" s="11" t="s">
        <v>57</v>
      </c>
      <c r="C28" s="11" t="s">
        <v>172</v>
      </c>
      <c r="D28" s="52"/>
      <c r="E28" s="53" t="s">
        <v>171</v>
      </c>
      <c r="F28" s="12" t="s">
        <v>173</v>
      </c>
      <c r="G28" s="12">
        <v>30</v>
      </c>
      <c r="H28" s="35">
        <v>20</v>
      </c>
      <c r="I28" s="7">
        <v>2000000</v>
      </c>
      <c r="J28" s="14">
        <v>189476</v>
      </c>
      <c r="K28" s="15">
        <f>L28+322260+481964+478184+484736+189476</f>
        <v>1956620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7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0.48061321958992514</v>
      </c>
      <c r="AF28" s="81">
        <f t="shared" si="7"/>
        <v>32</v>
      </c>
    </row>
    <row r="29" spans="1:32" ht="21.75" customHeight="1">
      <c r="A29" s="92">
        <v>33</v>
      </c>
      <c r="B29" s="11" t="s">
        <v>57</v>
      </c>
      <c r="C29" s="11" t="s">
        <v>116</v>
      </c>
      <c r="D29" s="52" t="s">
        <v>115</v>
      </c>
      <c r="E29" s="53" t="s">
        <v>414</v>
      </c>
      <c r="F29" s="12" t="s">
        <v>135</v>
      </c>
      <c r="G29" s="12">
        <v>3</v>
      </c>
      <c r="H29" s="35">
        <v>20</v>
      </c>
      <c r="I29" s="7">
        <v>130000</v>
      </c>
      <c r="J29" s="14">
        <v>15393</v>
      </c>
      <c r="K29" s="15">
        <f>L29+15220+23840+22923+6507+15501+18108+17847+18078+15393</f>
        <v>153417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0.48061321958992514</v>
      </c>
      <c r="AF29" s="81">
        <f t="shared" si="7"/>
        <v>33</v>
      </c>
    </row>
    <row r="30" spans="1:32" ht="21.75" customHeight="1">
      <c r="A30" s="92">
        <v>34</v>
      </c>
      <c r="B30" s="11" t="s">
        <v>57</v>
      </c>
      <c r="C30" s="11" t="s">
        <v>116</v>
      </c>
      <c r="D30" s="52" t="s">
        <v>197</v>
      </c>
      <c r="E30" s="53" t="s">
        <v>415</v>
      </c>
      <c r="F30" s="12" t="s">
        <v>124</v>
      </c>
      <c r="G30" s="12">
        <v>4</v>
      </c>
      <c r="H30" s="35">
        <v>20</v>
      </c>
      <c r="I30" s="7">
        <v>130000</v>
      </c>
      <c r="J30" s="14">
        <v>24332</v>
      </c>
      <c r="K30" s="15">
        <f>L30+15632+12648+1958+21292+27256+2770+24332</f>
        <v>105888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/>
      <c r="W30" s="5">
        <v>24</v>
      </c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0.48061321958992514</v>
      </c>
      <c r="AF30" s="81">
        <f t="shared" si="7"/>
        <v>34</v>
      </c>
    </row>
    <row r="31" spans="1:32" ht="21.75" customHeight="1">
      <c r="A31" s="92">
        <v>35</v>
      </c>
      <c r="B31" s="11" t="s">
        <v>57</v>
      </c>
      <c r="C31" s="11" t="s">
        <v>116</v>
      </c>
      <c r="D31" s="52" t="s">
        <v>121</v>
      </c>
      <c r="E31" s="53" t="s">
        <v>416</v>
      </c>
      <c r="F31" s="12" t="s">
        <v>124</v>
      </c>
      <c r="G31" s="12">
        <v>4</v>
      </c>
      <c r="H31" s="35">
        <v>20</v>
      </c>
      <c r="I31" s="7">
        <v>130000</v>
      </c>
      <c r="J31" s="14">
        <v>26116</v>
      </c>
      <c r="K31" s="15">
        <f>L31+27916+29980+10704+25528+29800+29376+29736+26116</f>
        <v>209156</v>
      </c>
      <c r="L31" s="15"/>
      <c r="M31" s="15">
        <f t="shared" si="0"/>
        <v>0</v>
      </c>
      <c r="N31" s="15">
        <v>0</v>
      </c>
      <c r="O31" s="58" t="str">
        <f t="shared" si="1"/>
        <v>0</v>
      </c>
      <c r="P31" s="39" t="str">
        <f t="shared" si="2"/>
        <v>0</v>
      </c>
      <c r="Q31" s="40">
        <f t="shared" si="3"/>
        <v>24</v>
      </c>
      <c r="R31" s="7"/>
      <c r="S31" s="6"/>
      <c r="T31" s="16"/>
      <c r="U31" s="16"/>
      <c r="V31" s="114"/>
      <c r="W31" s="5">
        <v>24</v>
      </c>
      <c r="X31" s="16"/>
      <c r="Y31" s="16"/>
      <c r="Z31" s="16"/>
      <c r="AA31" s="18"/>
      <c r="AB31" s="8">
        <f t="shared" si="4"/>
        <v>0</v>
      </c>
      <c r="AC31" s="9">
        <f t="shared" si="5"/>
        <v>0</v>
      </c>
      <c r="AD31" s="10">
        <f t="shared" si="8"/>
        <v>0</v>
      </c>
      <c r="AE31" s="36">
        <f t="shared" si="6"/>
        <v>0.48061321958992514</v>
      </c>
      <c r="AF31" s="81">
        <f t="shared" si="7"/>
        <v>35</v>
      </c>
    </row>
    <row r="32" spans="1:32" ht="21.75" customHeight="1" thickBot="1">
      <c r="A32" s="92">
        <v>36</v>
      </c>
      <c r="B32" s="11" t="s">
        <v>57</v>
      </c>
      <c r="C32" s="11" t="s">
        <v>113</v>
      </c>
      <c r="D32" s="52"/>
      <c r="E32" s="53" t="s">
        <v>144</v>
      </c>
      <c r="F32" s="12" t="s">
        <v>114</v>
      </c>
      <c r="G32" s="12">
        <v>4</v>
      </c>
      <c r="H32" s="35">
        <v>20</v>
      </c>
      <c r="I32" s="7">
        <v>1000000</v>
      </c>
      <c r="J32" s="14">
        <v>79328</v>
      </c>
      <c r="K32" s="15">
        <f>L32+28388+70816+76368+81764+83428+47688+53180+83092+82192+79328</f>
        <v>686244</v>
      </c>
      <c r="L32" s="15"/>
      <c r="M32" s="15">
        <f t="shared" si="0"/>
        <v>0</v>
      </c>
      <c r="N32" s="15">
        <v>0</v>
      </c>
      <c r="O32" s="58" t="str">
        <f t="shared" si="1"/>
        <v>0</v>
      </c>
      <c r="P32" s="39" t="str">
        <f t="shared" si="2"/>
        <v>0</v>
      </c>
      <c r="Q32" s="40">
        <f t="shared" si="3"/>
        <v>24</v>
      </c>
      <c r="R32" s="7"/>
      <c r="S32" s="6"/>
      <c r="T32" s="16"/>
      <c r="U32" s="16"/>
      <c r="V32" s="114">
        <v>24</v>
      </c>
      <c r="W32" s="5"/>
      <c r="X32" s="16"/>
      <c r="Y32" s="16"/>
      <c r="Z32" s="16"/>
      <c r="AA32" s="18"/>
      <c r="AB32" s="8">
        <f t="shared" si="4"/>
        <v>0</v>
      </c>
      <c r="AC32" s="9">
        <f t="shared" si="5"/>
        <v>0</v>
      </c>
      <c r="AD32" s="10">
        <f t="shared" si="8"/>
        <v>0</v>
      </c>
      <c r="AE32" s="36">
        <f t="shared" si="6"/>
        <v>0.48061321958992514</v>
      </c>
      <c r="AF32" s="81">
        <f t="shared" si="7"/>
        <v>36</v>
      </c>
    </row>
    <row r="33" spans="1:32" ht="19.5" thickBot="1">
      <c r="A33" s="452" t="s">
        <v>34</v>
      </c>
      <c r="B33" s="453"/>
      <c r="C33" s="453"/>
      <c r="D33" s="453"/>
      <c r="E33" s="453"/>
      <c r="F33" s="453"/>
      <c r="G33" s="453"/>
      <c r="H33" s="454"/>
      <c r="I33" s="22">
        <f t="shared" ref="I33:N33" si="26">SUM(I6:I32)</f>
        <v>6380800</v>
      </c>
      <c r="J33" s="19">
        <f t="shared" si="26"/>
        <v>535976</v>
      </c>
      <c r="K33" s="20">
        <f t="shared" si="26"/>
        <v>4179879</v>
      </c>
      <c r="L33" s="21">
        <f t="shared" si="26"/>
        <v>154243</v>
      </c>
      <c r="M33" s="20">
        <f t="shared" si="26"/>
        <v>154243</v>
      </c>
      <c r="N33" s="21">
        <f t="shared" si="26"/>
        <v>0</v>
      </c>
      <c r="O33" s="41">
        <f t="shared" si="1"/>
        <v>0</v>
      </c>
      <c r="P33" s="42">
        <f t="shared" ref="P33:AA33" si="27">SUM(P6:P32)</f>
        <v>311</v>
      </c>
      <c r="Q33" s="43">
        <f t="shared" si="27"/>
        <v>337</v>
      </c>
      <c r="R33" s="23">
        <f t="shared" si="27"/>
        <v>0</v>
      </c>
      <c r="S33" s="24">
        <f t="shared" si="27"/>
        <v>64</v>
      </c>
      <c r="T33" s="24">
        <f t="shared" si="27"/>
        <v>15</v>
      </c>
      <c r="U33" s="24">
        <f t="shared" si="27"/>
        <v>0</v>
      </c>
      <c r="V33" s="25">
        <f t="shared" si="27"/>
        <v>48</v>
      </c>
      <c r="W33" s="26">
        <f t="shared" si="27"/>
        <v>186</v>
      </c>
      <c r="X33" s="27">
        <f t="shared" si="27"/>
        <v>0</v>
      </c>
      <c r="Y33" s="27">
        <f t="shared" si="27"/>
        <v>0</v>
      </c>
      <c r="Z33" s="27">
        <f t="shared" si="27"/>
        <v>0</v>
      </c>
      <c r="AA33" s="27">
        <f t="shared" si="27"/>
        <v>24</v>
      </c>
      <c r="AB33" s="28">
        <f>AVERAGE(AB6:AB32)</f>
        <v>0.65457753560914966</v>
      </c>
      <c r="AC33" s="4">
        <f>AVERAGE(AC6:AC32)</f>
        <v>0.47993827160493829</v>
      </c>
      <c r="AD33" s="4">
        <f>AVERAGE(AD6:AD32)</f>
        <v>0.48061321958992514</v>
      </c>
      <c r="AE33" s="29"/>
    </row>
    <row r="34" spans="1:32">
      <c r="T34" s="50" t="s">
        <v>127</v>
      </c>
    </row>
    <row r="35" spans="1:32" ht="18.75">
      <c r="A35" s="2"/>
      <c r="B35" s="2" t="s">
        <v>35</v>
      </c>
      <c r="C35" s="2"/>
      <c r="D35" s="2"/>
      <c r="E35" s="2"/>
      <c r="F35" s="2"/>
      <c r="G35" s="2"/>
      <c r="H35" s="3"/>
      <c r="I35" s="3"/>
      <c r="J35" s="2"/>
      <c r="K35" s="2"/>
      <c r="L35" s="2"/>
      <c r="M35" s="2"/>
      <c r="N35" s="2" t="s">
        <v>36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2" ht="7.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1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 ht="7.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 ht="7.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 ht="7.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 ht="7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 ht="7.5" customHeight="1">
      <c r="A41" s="49"/>
      <c r="B41" s="49" t="s">
        <v>128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 ht="7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 ht="7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2" ht="7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82"/>
    </row>
    <row r="45" spans="1:32" ht="7.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7.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7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7.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7.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12" customHeight="1">
      <c r="A50" s="59"/>
      <c r="B50" s="59"/>
      <c r="C50" s="59"/>
      <c r="D50" s="59"/>
      <c r="E50" s="59"/>
      <c r="F50" s="37"/>
      <c r="G50" s="37"/>
      <c r="H50" s="38"/>
      <c r="I50" s="38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F50" s="50"/>
    </row>
    <row r="51" spans="1:32" ht="12" customHeight="1">
      <c r="A51" s="60"/>
      <c r="B51" s="60"/>
      <c r="C51" s="61"/>
      <c r="D51" s="61"/>
      <c r="E51" s="61"/>
      <c r="F51" s="60"/>
      <c r="G51" s="60"/>
      <c r="H51" s="60"/>
      <c r="I51" s="60"/>
      <c r="J51" s="60"/>
      <c r="K51" s="60"/>
      <c r="L51" s="60"/>
      <c r="M51" s="61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F51" s="50"/>
    </row>
    <row r="52" spans="1:32" ht="12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12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2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2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2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2" customHeight="1">
      <c r="A57" s="60"/>
      <c r="B57" s="60"/>
      <c r="C57" s="62"/>
      <c r="D57" s="61"/>
      <c r="E57" s="61"/>
      <c r="F57" s="60"/>
      <c r="G57" s="60"/>
      <c r="H57" s="60"/>
      <c r="I57" s="60"/>
      <c r="J57" s="60"/>
      <c r="K57" s="60"/>
      <c r="L57" s="60"/>
      <c r="M57" s="62"/>
      <c r="N57" s="60"/>
      <c r="O57" s="60"/>
      <c r="P57" s="63"/>
      <c r="Q57" s="63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0"/>
      <c r="AC57" s="60"/>
      <c r="AD57" s="60"/>
      <c r="AF57" s="50"/>
    </row>
    <row r="58" spans="1:32" ht="12" customHeight="1">
      <c r="A58" s="60"/>
      <c r="B58" s="60"/>
      <c r="C58" s="62"/>
      <c r="D58" s="61"/>
      <c r="E58" s="61"/>
      <c r="F58" s="60"/>
      <c r="G58" s="60"/>
      <c r="H58" s="60"/>
      <c r="I58" s="60"/>
      <c r="J58" s="60"/>
      <c r="K58" s="60"/>
      <c r="L58" s="60"/>
      <c r="M58" s="62"/>
      <c r="N58" s="60"/>
      <c r="O58" s="60"/>
      <c r="P58" s="63"/>
      <c r="Q58" s="63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0"/>
      <c r="AC58" s="60"/>
      <c r="AD58" s="60"/>
      <c r="AF58" s="50"/>
    </row>
    <row r="59" spans="1:32" ht="14.2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F59" s="50"/>
    </row>
    <row r="60" spans="1:32" ht="36" thickBot="1">
      <c r="A60" s="455" t="s">
        <v>45</v>
      </c>
      <c r="B60" s="455"/>
      <c r="C60" s="455"/>
      <c r="D60" s="455"/>
      <c r="E60" s="455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F60" s="50"/>
    </row>
    <row r="61" spans="1:32" ht="26.25" thickBot="1">
      <c r="A61" s="456" t="s">
        <v>825</v>
      </c>
      <c r="B61" s="457"/>
      <c r="C61" s="457"/>
      <c r="D61" s="457"/>
      <c r="E61" s="457"/>
      <c r="F61" s="457"/>
      <c r="G61" s="457"/>
      <c r="H61" s="457"/>
      <c r="I61" s="457"/>
      <c r="J61" s="457"/>
      <c r="K61" s="457"/>
      <c r="L61" s="457"/>
      <c r="M61" s="458"/>
      <c r="N61" s="459" t="s">
        <v>829</v>
      </c>
      <c r="O61" s="460"/>
      <c r="P61" s="460"/>
      <c r="Q61" s="460"/>
      <c r="R61" s="460"/>
      <c r="S61" s="460"/>
      <c r="T61" s="460"/>
      <c r="U61" s="460"/>
      <c r="V61" s="460"/>
      <c r="W61" s="460"/>
      <c r="X61" s="460"/>
      <c r="Y61" s="460"/>
      <c r="Z61" s="460"/>
      <c r="AA61" s="460"/>
      <c r="AB61" s="460"/>
      <c r="AC61" s="460"/>
      <c r="AD61" s="461"/>
    </row>
    <row r="62" spans="1:32" ht="27" customHeight="1">
      <c r="A62" s="462" t="s">
        <v>2</v>
      </c>
      <c r="B62" s="463"/>
      <c r="C62" s="327" t="s">
        <v>46</v>
      </c>
      <c r="D62" s="327" t="s">
        <v>47</v>
      </c>
      <c r="E62" s="327" t="s">
        <v>107</v>
      </c>
      <c r="F62" s="464" t="s">
        <v>106</v>
      </c>
      <c r="G62" s="465"/>
      <c r="H62" s="465"/>
      <c r="I62" s="465"/>
      <c r="J62" s="465"/>
      <c r="K62" s="465"/>
      <c r="L62" s="465"/>
      <c r="M62" s="466"/>
      <c r="N62" s="67" t="s">
        <v>110</v>
      </c>
      <c r="O62" s="327" t="s">
        <v>46</v>
      </c>
      <c r="P62" s="464" t="s">
        <v>47</v>
      </c>
      <c r="Q62" s="467"/>
      <c r="R62" s="464" t="s">
        <v>38</v>
      </c>
      <c r="S62" s="465"/>
      <c r="T62" s="465"/>
      <c r="U62" s="467"/>
      <c r="V62" s="464" t="s">
        <v>48</v>
      </c>
      <c r="W62" s="465"/>
      <c r="X62" s="465"/>
      <c r="Y62" s="465"/>
      <c r="Z62" s="465"/>
      <c r="AA62" s="465"/>
      <c r="AB62" s="465"/>
      <c r="AC62" s="465"/>
      <c r="AD62" s="466"/>
    </row>
    <row r="63" spans="1:32" ht="27" customHeight="1">
      <c r="A63" s="430" t="s">
        <v>112</v>
      </c>
      <c r="B63" s="431"/>
      <c r="C63" s="328" t="s">
        <v>160</v>
      </c>
      <c r="D63" s="328" t="s">
        <v>224</v>
      </c>
      <c r="E63" s="329" t="s">
        <v>805</v>
      </c>
      <c r="F63" s="432" t="s">
        <v>549</v>
      </c>
      <c r="G63" s="433"/>
      <c r="H63" s="433"/>
      <c r="I63" s="433"/>
      <c r="J63" s="433"/>
      <c r="K63" s="433"/>
      <c r="L63" s="433"/>
      <c r="M63" s="434"/>
      <c r="N63" s="141" t="s">
        <v>112</v>
      </c>
      <c r="O63" s="334" t="s">
        <v>146</v>
      </c>
      <c r="P63" s="447" t="s">
        <v>115</v>
      </c>
      <c r="Q63" s="448"/>
      <c r="R63" s="447" t="s">
        <v>830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116</v>
      </c>
      <c r="B64" s="431"/>
      <c r="C64" s="328" t="s">
        <v>142</v>
      </c>
      <c r="D64" s="328" t="s">
        <v>197</v>
      </c>
      <c r="E64" s="329" t="s">
        <v>280</v>
      </c>
      <c r="F64" s="432" t="s">
        <v>230</v>
      </c>
      <c r="G64" s="433"/>
      <c r="H64" s="433"/>
      <c r="I64" s="433"/>
      <c r="J64" s="433"/>
      <c r="K64" s="433"/>
      <c r="L64" s="433"/>
      <c r="M64" s="434"/>
      <c r="N64" s="141" t="s">
        <v>116</v>
      </c>
      <c r="O64" s="334" t="s">
        <v>142</v>
      </c>
      <c r="P64" s="447" t="s">
        <v>115</v>
      </c>
      <c r="Q64" s="448"/>
      <c r="R64" s="447" t="s">
        <v>831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112</v>
      </c>
      <c r="B65" s="431"/>
      <c r="C65" s="328" t="s">
        <v>146</v>
      </c>
      <c r="D65" s="328" t="s">
        <v>246</v>
      </c>
      <c r="E65" s="329" t="s">
        <v>817</v>
      </c>
      <c r="F65" s="432" t="s">
        <v>154</v>
      </c>
      <c r="G65" s="433"/>
      <c r="H65" s="433"/>
      <c r="I65" s="433"/>
      <c r="J65" s="433"/>
      <c r="K65" s="433"/>
      <c r="L65" s="433"/>
      <c r="M65" s="434"/>
      <c r="N65" s="141" t="s">
        <v>126</v>
      </c>
      <c r="O65" s="334" t="s">
        <v>442</v>
      </c>
      <c r="P65" s="447" t="s">
        <v>833</v>
      </c>
      <c r="Q65" s="448"/>
      <c r="R65" s="447" t="s">
        <v>832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112</v>
      </c>
      <c r="B66" s="431"/>
      <c r="C66" s="328" t="s">
        <v>219</v>
      </c>
      <c r="D66" s="328" t="s">
        <v>115</v>
      </c>
      <c r="E66" s="329" t="s">
        <v>810</v>
      </c>
      <c r="F66" s="432" t="s">
        <v>826</v>
      </c>
      <c r="G66" s="433"/>
      <c r="H66" s="433"/>
      <c r="I66" s="433"/>
      <c r="J66" s="433"/>
      <c r="K66" s="433"/>
      <c r="L66" s="433"/>
      <c r="M66" s="434"/>
      <c r="N66" s="141" t="s">
        <v>116</v>
      </c>
      <c r="O66" s="334" t="s">
        <v>166</v>
      </c>
      <c r="P66" s="447" t="s">
        <v>256</v>
      </c>
      <c r="Q66" s="448"/>
      <c r="R66" s="447" t="s">
        <v>834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112</v>
      </c>
      <c r="B67" s="431"/>
      <c r="C67" s="328" t="s">
        <v>146</v>
      </c>
      <c r="D67" s="328" t="s">
        <v>290</v>
      </c>
      <c r="E67" s="329" t="s">
        <v>818</v>
      </c>
      <c r="F67" s="432" t="s">
        <v>154</v>
      </c>
      <c r="G67" s="433"/>
      <c r="H67" s="433"/>
      <c r="I67" s="433"/>
      <c r="J67" s="433"/>
      <c r="K67" s="433"/>
      <c r="L67" s="433"/>
      <c r="M67" s="434"/>
      <c r="N67" s="141" t="s">
        <v>116</v>
      </c>
      <c r="O67" s="334" t="s">
        <v>191</v>
      </c>
      <c r="P67" s="447" t="s">
        <v>147</v>
      </c>
      <c r="Q67" s="448"/>
      <c r="R67" s="447" t="s">
        <v>835</v>
      </c>
      <c r="S67" s="449"/>
      <c r="T67" s="449"/>
      <c r="U67" s="448"/>
      <c r="V67" s="436" t="s">
        <v>154</v>
      </c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112</v>
      </c>
      <c r="B68" s="431"/>
      <c r="C68" s="328" t="s">
        <v>208</v>
      </c>
      <c r="D68" s="328" t="s">
        <v>115</v>
      </c>
      <c r="E68" s="329" t="s">
        <v>732</v>
      </c>
      <c r="F68" s="432" t="s">
        <v>141</v>
      </c>
      <c r="G68" s="433"/>
      <c r="H68" s="433"/>
      <c r="I68" s="433"/>
      <c r="J68" s="433"/>
      <c r="K68" s="433"/>
      <c r="L68" s="433"/>
      <c r="M68" s="434"/>
      <c r="N68" s="141"/>
      <c r="O68" s="334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 t="s">
        <v>112</v>
      </c>
      <c r="B69" s="431"/>
      <c r="C69" s="328" t="s">
        <v>827</v>
      </c>
      <c r="D69" s="328" t="s">
        <v>115</v>
      </c>
      <c r="E69" s="329" t="s">
        <v>819</v>
      </c>
      <c r="F69" s="432" t="s">
        <v>154</v>
      </c>
      <c r="G69" s="433"/>
      <c r="H69" s="433"/>
      <c r="I69" s="433"/>
      <c r="J69" s="433"/>
      <c r="K69" s="433"/>
      <c r="L69" s="433"/>
      <c r="M69" s="434"/>
      <c r="N69" s="141"/>
      <c r="O69" s="334"/>
      <c r="P69" s="447"/>
      <c r="Q69" s="448"/>
      <c r="R69" s="447"/>
      <c r="S69" s="449"/>
      <c r="T69" s="449"/>
      <c r="U69" s="448"/>
      <c r="V69" s="436"/>
      <c r="W69" s="437"/>
      <c r="X69" s="437"/>
      <c r="Y69" s="437"/>
      <c r="Z69" s="437"/>
      <c r="AA69" s="437"/>
      <c r="AB69" s="437"/>
      <c r="AC69" s="437"/>
      <c r="AD69" s="438"/>
    </row>
    <row r="70" spans="1:32" ht="27" customHeight="1">
      <c r="A70" s="430" t="s">
        <v>112</v>
      </c>
      <c r="B70" s="431"/>
      <c r="C70" s="328" t="s">
        <v>828</v>
      </c>
      <c r="D70" s="328" t="s">
        <v>115</v>
      </c>
      <c r="E70" s="329" t="s">
        <v>821</v>
      </c>
      <c r="F70" s="432" t="s">
        <v>154</v>
      </c>
      <c r="G70" s="433"/>
      <c r="H70" s="433"/>
      <c r="I70" s="433"/>
      <c r="J70" s="433"/>
      <c r="K70" s="433"/>
      <c r="L70" s="433"/>
      <c r="M70" s="434"/>
      <c r="N70" s="141"/>
      <c r="O70" s="334"/>
      <c r="P70" s="447"/>
      <c r="Q70" s="448"/>
      <c r="R70" s="447"/>
      <c r="S70" s="449"/>
      <c r="T70" s="449"/>
      <c r="U70" s="448"/>
      <c r="V70" s="436"/>
      <c r="W70" s="437"/>
      <c r="X70" s="437"/>
      <c r="Y70" s="437"/>
      <c r="Z70" s="437"/>
      <c r="AA70" s="437"/>
      <c r="AB70" s="437"/>
      <c r="AC70" s="437"/>
      <c r="AD70" s="438"/>
    </row>
    <row r="71" spans="1:32" ht="27" customHeight="1">
      <c r="A71" s="430"/>
      <c r="B71" s="431"/>
      <c r="C71" s="328"/>
      <c r="D71" s="328"/>
      <c r="E71" s="329"/>
      <c r="F71" s="432"/>
      <c r="G71" s="433"/>
      <c r="H71" s="433"/>
      <c r="I71" s="433"/>
      <c r="J71" s="433"/>
      <c r="K71" s="433"/>
      <c r="L71" s="433"/>
      <c r="M71" s="434"/>
      <c r="N71" s="141"/>
      <c r="O71" s="334"/>
      <c r="P71" s="435"/>
      <c r="Q71" s="435"/>
      <c r="R71" s="435"/>
      <c r="S71" s="435"/>
      <c r="T71" s="435"/>
      <c r="U71" s="435"/>
      <c r="V71" s="436"/>
      <c r="W71" s="437"/>
      <c r="X71" s="437"/>
      <c r="Y71" s="437"/>
      <c r="Z71" s="437"/>
      <c r="AA71" s="437"/>
      <c r="AB71" s="437"/>
      <c r="AC71" s="437"/>
      <c r="AD71" s="438"/>
      <c r="AF71" s="81">
        <f>8*3000</f>
        <v>24000</v>
      </c>
    </row>
    <row r="72" spans="1:32" ht="27" customHeight="1" thickBot="1">
      <c r="A72" s="439"/>
      <c r="B72" s="440"/>
      <c r="C72" s="330"/>
      <c r="D72" s="331"/>
      <c r="E72" s="330"/>
      <c r="F72" s="490"/>
      <c r="G72" s="491"/>
      <c r="H72" s="491"/>
      <c r="I72" s="491"/>
      <c r="J72" s="491"/>
      <c r="K72" s="491"/>
      <c r="L72" s="491"/>
      <c r="M72" s="492"/>
      <c r="N72" s="105"/>
      <c r="O72" s="97"/>
      <c r="P72" s="444"/>
      <c r="Q72" s="444"/>
      <c r="R72" s="444"/>
      <c r="S72" s="444"/>
      <c r="T72" s="444"/>
      <c r="U72" s="444"/>
      <c r="V72" s="445"/>
      <c r="W72" s="445"/>
      <c r="X72" s="445"/>
      <c r="Y72" s="445"/>
      <c r="Z72" s="445"/>
      <c r="AA72" s="445"/>
      <c r="AB72" s="445"/>
      <c r="AC72" s="445"/>
      <c r="AD72" s="446"/>
      <c r="AF72" s="81">
        <f>16*3000</f>
        <v>48000</v>
      </c>
    </row>
    <row r="73" spans="1:32" ht="27.75" thickBot="1">
      <c r="A73" s="428" t="s">
        <v>836</v>
      </c>
      <c r="B73" s="428"/>
      <c r="C73" s="428"/>
      <c r="D73" s="428"/>
      <c r="E73" s="428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81">
        <v>24000</v>
      </c>
    </row>
    <row r="74" spans="1:32" ht="29.25" customHeight="1" thickBot="1">
      <c r="A74" s="429" t="s">
        <v>111</v>
      </c>
      <c r="B74" s="426"/>
      <c r="C74" s="332" t="s">
        <v>2</v>
      </c>
      <c r="D74" s="332" t="s">
        <v>37</v>
      </c>
      <c r="E74" s="332" t="s">
        <v>3</v>
      </c>
      <c r="F74" s="426" t="s">
        <v>109</v>
      </c>
      <c r="G74" s="426"/>
      <c r="H74" s="426"/>
      <c r="I74" s="426"/>
      <c r="J74" s="426"/>
      <c r="K74" s="426" t="s">
        <v>39</v>
      </c>
      <c r="L74" s="426"/>
      <c r="M74" s="332" t="s">
        <v>40</v>
      </c>
      <c r="N74" s="426" t="s">
        <v>41</v>
      </c>
      <c r="O74" s="426"/>
      <c r="P74" s="423" t="s">
        <v>42</v>
      </c>
      <c r="Q74" s="425"/>
      <c r="R74" s="423" t="s">
        <v>43</v>
      </c>
      <c r="S74" s="424"/>
      <c r="T74" s="424"/>
      <c r="U74" s="424"/>
      <c r="V74" s="424"/>
      <c r="W74" s="424"/>
      <c r="X74" s="424"/>
      <c r="Y74" s="424"/>
      <c r="Z74" s="424"/>
      <c r="AA74" s="425"/>
      <c r="AB74" s="426" t="s">
        <v>44</v>
      </c>
      <c r="AC74" s="426"/>
      <c r="AD74" s="427"/>
      <c r="AF74" s="81">
        <f>SUM(AF71:AF73)</f>
        <v>96000</v>
      </c>
    </row>
    <row r="75" spans="1:32" ht="25.5" customHeight="1">
      <c r="A75" s="414">
        <v>1</v>
      </c>
      <c r="B75" s="415"/>
      <c r="C75" s="98"/>
      <c r="D75" s="336"/>
      <c r="E75" s="333"/>
      <c r="F75" s="416"/>
      <c r="G75" s="406"/>
      <c r="H75" s="406"/>
      <c r="I75" s="406"/>
      <c r="J75" s="406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2</v>
      </c>
      <c r="B76" s="415"/>
      <c r="C76" s="98"/>
      <c r="D76" s="336"/>
      <c r="E76" s="333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3</v>
      </c>
      <c r="B77" s="415"/>
      <c r="C77" s="98"/>
      <c r="D77" s="336"/>
      <c r="E77" s="333"/>
      <c r="F77" s="416"/>
      <c r="G77" s="406"/>
      <c r="H77" s="406"/>
      <c r="I77" s="406"/>
      <c r="J77" s="406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4</v>
      </c>
      <c r="B78" s="415"/>
      <c r="C78" s="98"/>
      <c r="D78" s="336"/>
      <c r="E78" s="333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5</v>
      </c>
      <c r="B79" s="415"/>
      <c r="C79" s="98"/>
      <c r="D79" s="336"/>
      <c r="E79" s="333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6</v>
      </c>
      <c r="B80" s="415"/>
      <c r="C80" s="98"/>
      <c r="D80" s="336"/>
      <c r="E80" s="333"/>
      <c r="F80" s="420"/>
      <c r="G80" s="421"/>
      <c r="H80" s="421"/>
      <c r="I80" s="421"/>
      <c r="J80" s="422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7</v>
      </c>
      <c r="B81" s="415"/>
      <c r="C81" s="98"/>
      <c r="D81" s="336"/>
      <c r="E81" s="333"/>
      <c r="F81" s="420"/>
      <c r="G81" s="421"/>
      <c r="H81" s="421"/>
      <c r="I81" s="421"/>
      <c r="J81" s="422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8</v>
      </c>
      <c r="B82" s="415"/>
      <c r="C82" s="98"/>
      <c r="D82" s="336"/>
      <c r="E82" s="333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5.5" customHeight="1">
      <c r="A83" s="414">
        <v>9</v>
      </c>
      <c r="B83" s="415"/>
      <c r="C83" s="98"/>
      <c r="D83" s="336"/>
      <c r="E83" s="333"/>
      <c r="F83" s="416"/>
      <c r="G83" s="406"/>
      <c r="H83" s="406"/>
      <c r="I83" s="406"/>
      <c r="J83" s="406"/>
      <c r="K83" s="406"/>
      <c r="L83" s="406"/>
      <c r="M83" s="51"/>
      <c r="N83" s="417"/>
      <c r="O83" s="417"/>
      <c r="P83" s="418"/>
      <c r="Q83" s="418"/>
      <c r="R83" s="419"/>
      <c r="S83" s="419"/>
      <c r="T83" s="419"/>
      <c r="U83" s="419"/>
      <c r="V83" s="419"/>
      <c r="W83" s="419"/>
      <c r="X83" s="419"/>
      <c r="Y83" s="419"/>
      <c r="Z83" s="419"/>
      <c r="AA83" s="419"/>
      <c r="AB83" s="406"/>
      <c r="AC83" s="406"/>
      <c r="AD83" s="407"/>
      <c r="AF83" s="50"/>
    </row>
    <row r="84" spans="1:32" ht="25.5" customHeight="1">
      <c r="A84" s="414">
        <v>10</v>
      </c>
      <c r="B84" s="415"/>
      <c r="C84" s="98"/>
      <c r="D84" s="336"/>
      <c r="E84" s="333"/>
      <c r="F84" s="416"/>
      <c r="G84" s="406"/>
      <c r="H84" s="406"/>
      <c r="I84" s="406"/>
      <c r="J84" s="406"/>
      <c r="K84" s="406"/>
      <c r="L84" s="406"/>
      <c r="M84" s="51"/>
      <c r="N84" s="417"/>
      <c r="O84" s="417"/>
      <c r="P84" s="418"/>
      <c r="Q84" s="418"/>
      <c r="R84" s="419"/>
      <c r="S84" s="419"/>
      <c r="T84" s="419"/>
      <c r="U84" s="419"/>
      <c r="V84" s="419"/>
      <c r="W84" s="419"/>
      <c r="X84" s="419"/>
      <c r="Y84" s="419"/>
      <c r="Z84" s="419"/>
      <c r="AA84" s="419"/>
      <c r="AB84" s="406"/>
      <c r="AC84" s="406"/>
      <c r="AD84" s="407"/>
      <c r="AF84" s="50"/>
    </row>
    <row r="85" spans="1:32" ht="26.25" customHeight="1" thickBot="1">
      <c r="A85" s="386" t="s">
        <v>837</v>
      </c>
      <c r="B85" s="386"/>
      <c r="C85" s="386"/>
      <c r="D85" s="386"/>
      <c r="E85" s="386"/>
      <c r="F85" s="37"/>
      <c r="G85" s="37"/>
      <c r="H85" s="38"/>
      <c r="I85" s="38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F85" s="50"/>
    </row>
    <row r="86" spans="1:32" ht="23.25" thickBot="1">
      <c r="A86" s="408" t="s">
        <v>111</v>
      </c>
      <c r="B86" s="409"/>
      <c r="C86" s="335" t="s">
        <v>2</v>
      </c>
      <c r="D86" s="335" t="s">
        <v>37</v>
      </c>
      <c r="E86" s="335" t="s">
        <v>120</v>
      </c>
      <c r="F86" s="388" t="s">
        <v>38</v>
      </c>
      <c r="G86" s="388"/>
      <c r="H86" s="388"/>
      <c r="I86" s="388"/>
      <c r="J86" s="388"/>
      <c r="K86" s="410" t="s">
        <v>58</v>
      </c>
      <c r="L86" s="411"/>
      <c r="M86" s="411"/>
      <c r="N86" s="411"/>
      <c r="O86" s="411"/>
      <c r="P86" s="411"/>
      <c r="Q86" s="411"/>
      <c r="R86" s="411"/>
      <c r="S86" s="412"/>
      <c r="T86" s="388" t="s">
        <v>49</v>
      </c>
      <c r="U86" s="388"/>
      <c r="V86" s="410" t="s">
        <v>50</v>
      </c>
      <c r="W86" s="412"/>
      <c r="X86" s="411" t="s">
        <v>51</v>
      </c>
      <c r="Y86" s="411"/>
      <c r="Z86" s="411"/>
      <c r="AA86" s="411"/>
      <c r="AB86" s="411"/>
      <c r="AC86" s="411"/>
      <c r="AD86" s="413"/>
      <c r="AF86" s="50"/>
    </row>
    <row r="87" spans="1:32" ht="33.75" customHeight="1">
      <c r="A87" s="380">
        <v>1</v>
      </c>
      <c r="B87" s="381"/>
      <c r="C87" s="337"/>
      <c r="D87" s="337"/>
      <c r="E87" s="65"/>
      <c r="F87" s="395"/>
      <c r="G87" s="396"/>
      <c r="H87" s="396"/>
      <c r="I87" s="396"/>
      <c r="J87" s="397"/>
      <c r="K87" s="398"/>
      <c r="L87" s="399"/>
      <c r="M87" s="399"/>
      <c r="N87" s="399"/>
      <c r="O87" s="399"/>
      <c r="P87" s="399"/>
      <c r="Q87" s="399"/>
      <c r="R87" s="399"/>
      <c r="S87" s="400"/>
      <c r="T87" s="401"/>
      <c r="U87" s="402"/>
      <c r="V87" s="403"/>
      <c r="W87" s="403"/>
      <c r="X87" s="404"/>
      <c r="Y87" s="404"/>
      <c r="Z87" s="404"/>
      <c r="AA87" s="404"/>
      <c r="AB87" s="404"/>
      <c r="AC87" s="404"/>
      <c r="AD87" s="405"/>
      <c r="AF87" s="50"/>
    </row>
    <row r="88" spans="1:32" ht="30" customHeight="1">
      <c r="A88" s="373">
        <f>A87+1</f>
        <v>2</v>
      </c>
      <c r="B88" s="374"/>
      <c r="C88" s="336"/>
      <c r="D88" s="336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ref="A89:A93" si="28">A88+1</f>
        <v>3</v>
      </c>
      <c r="B89" s="374"/>
      <c r="C89" s="336"/>
      <c r="D89" s="336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28"/>
        <v>4</v>
      </c>
      <c r="B90" s="374"/>
      <c r="C90" s="336"/>
      <c r="D90" s="336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28"/>
        <v>5</v>
      </c>
      <c r="B91" s="374"/>
      <c r="C91" s="336"/>
      <c r="D91" s="336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0" customHeight="1">
      <c r="A92" s="373">
        <f t="shared" si="28"/>
        <v>6</v>
      </c>
      <c r="B92" s="374"/>
      <c r="C92" s="336"/>
      <c r="D92" s="336"/>
      <c r="E92" s="32"/>
      <c r="F92" s="374"/>
      <c r="G92" s="374"/>
      <c r="H92" s="374"/>
      <c r="I92" s="374"/>
      <c r="J92" s="374"/>
      <c r="K92" s="389"/>
      <c r="L92" s="390"/>
      <c r="M92" s="390"/>
      <c r="N92" s="390"/>
      <c r="O92" s="390"/>
      <c r="P92" s="390"/>
      <c r="Q92" s="390"/>
      <c r="R92" s="390"/>
      <c r="S92" s="391"/>
      <c r="T92" s="392"/>
      <c r="U92" s="392"/>
      <c r="V92" s="392"/>
      <c r="W92" s="392"/>
      <c r="X92" s="393"/>
      <c r="Y92" s="393"/>
      <c r="Z92" s="393"/>
      <c r="AA92" s="393"/>
      <c r="AB92" s="393"/>
      <c r="AC92" s="393"/>
      <c r="AD92" s="394"/>
      <c r="AF92" s="50"/>
    </row>
    <row r="93" spans="1:32" ht="30" customHeight="1">
      <c r="A93" s="373">
        <f t="shared" si="28"/>
        <v>7</v>
      </c>
      <c r="B93" s="374"/>
      <c r="C93" s="336"/>
      <c r="D93" s="336"/>
      <c r="E93" s="32"/>
      <c r="F93" s="374"/>
      <c r="G93" s="374"/>
      <c r="H93" s="374"/>
      <c r="I93" s="374"/>
      <c r="J93" s="374"/>
      <c r="K93" s="389"/>
      <c r="L93" s="390"/>
      <c r="M93" s="390"/>
      <c r="N93" s="390"/>
      <c r="O93" s="390"/>
      <c r="P93" s="390"/>
      <c r="Q93" s="390"/>
      <c r="R93" s="390"/>
      <c r="S93" s="391"/>
      <c r="T93" s="392"/>
      <c r="U93" s="392"/>
      <c r="V93" s="392"/>
      <c r="W93" s="392"/>
      <c r="X93" s="393"/>
      <c r="Y93" s="393"/>
      <c r="Z93" s="393"/>
      <c r="AA93" s="393"/>
      <c r="AB93" s="393"/>
      <c r="AC93" s="393"/>
      <c r="AD93" s="394"/>
      <c r="AF93" s="50"/>
    </row>
    <row r="94" spans="1:32" ht="36" thickBot="1">
      <c r="A94" s="386" t="s">
        <v>838</v>
      </c>
      <c r="B94" s="386"/>
      <c r="C94" s="386"/>
      <c r="D94" s="386"/>
      <c r="E94" s="386"/>
      <c r="F94" s="37"/>
      <c r="G94" s="37"/>
      <c r="H94" s="38"/>
      <c r="I94" s="38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F94" s="50"/>
    </row>
    <row r="95" spans="1:32" ht="30.75" customHeight="1" thickBot="1">
      <c r="A95" s="387" t="s">
        <v>111</v>
      </c>
      <c r="B95" s="388"/>
      <c r="C95" s="378" t="s">
        <v>52</v>
      </c>
      <c r="D95" s="378"/>
      <c r="E95" s="378" t="s">
        <v>53</v>
      </c>
      <c r="F95" s="378"/>
      <c r="G95" s="378"/>
      <c r="H95" s="378"/>
      <c r="I95" s="378"/>
      <c r="J95" s="378"/>
      <c r="K95" s="378" t="s">
        <v>54</v>
      </c>
      <c r="L95" s="378"/>
      <c r="M95" s="378"/>
      <c r="N95" s="378"/>
      <c r="O95" s="378"/>
      <c r="P95" s="378"/>
      <c r="Q95" s="378"/>
      <c r="R95" s="378"/>
      <c r="S95" s="378"/>
      <c r="T95" s="378" t="s">
        <v>55</v>
      </c>
      <c r="U95" s="378"/>
      <c r="V95" s="378" t="s">
        <v>56</v>
      </c>
      <c r="W95" s="378"/>
      <c r="X95" s="378"/>
      <c r="Y95" s="378" t="s">
        <v>51</v>
      </c>
      <c r="Z95" s="378"/>
      <c r="AA95" s="378"/>
      <c r="AB95" s="378"/>
      <c r="AC95" s="378"/>
      <c r="AD95" s="379"/>
      <c r="AF95" s="50"/>
    </row>
    <row r="96" spans="1:32" ht="30.75" customHeight="1">
      <c r="A96" s="380">
        <v>1</v>
      </c>
      <c r="B96" s="381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3"/>
      <c r="W96" s="383"/>
      <c r="X96" s="383"/>
      <c r="Y96" s="384"/>
      <c r="Z96" s="384"/>
      <c r="AA96" s="384"/>
      <c r="AB96" s="384"/>
      <c r="AC96" s="384"/>
      <c r="AD96" s="385"/>
      <c r="AF96" s="50"/>
    </row>
    <row r="97" spans="1:32" ht="30.75" customHeight="1">
      <c r="A97" s="373">
        <v>2</v>
      </c>
      <c r="B97" s="374"/>
      <c r="C97" s="375"/>
      <c r="D97" s="375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5"/>
      <c r="P97" s="375"/>
      <c r="Q97" s="375"/>
      <c r="R97" s="375"/>
      <c r="S97" s="375"/>
      <c r="T97" s="376"/>
      <c r="U97" s="376"/>
      <c r="V97" s="377"/>
      <c r="W97" s="377"/>
      <c r="X97" s="377"/>
      <c r="Y97" s="365"/>
      <c r="Z97" s="365"/>
      <c r="AA97" s="365"/>
      <c r="AB97" s="365"/>
      <c r="AC97" s="365"/>
      <c r="AD97" s="366"/>
      <c r="AF97" s="50"/>
    </row>
    <row r="98" spans="1:32" ht="30.75" customHeight="1" thickBot="1">
      <c r="A98" s="367">
        <v>3</v>
      </c>
      <c r="B98" s="368"/>
      <c r="C98" s="369"/>
      <c r="D98" s="369"/>
      <c r="E98" s="369"/>
      <c r="F98" s="369"/>
      <c r="G98" s="369"/>
      <c r="H98" s="369"/>
      <c r="I98" s="369"/>
      <c r="J98" s="369"/>
      <c r="K98" s="369"/>
      <c r="L98" s="369"/>
      <c r="M98" s="369"/>
      <c r="N98" s="369"/>
      <c r="O98" s="369"/>
      <c r="P98" s="369"/>
      <c r="Q98" s="369"/>
      <c r="R98" s="369"/>
      <c r="S98" s="369"/>
      <c r="T98" s="369"/>
      <c r="U98" s="369"/>
      <c r="V98" s="370"/>
      <c r="W98" s="370"/>
      <c r="X98" s="370"/>
      <c r="Y98" s="371"/>
      <c r="Z98" s="371"/>
      <c r="AA98" s="371"/>
      <c r="AB98" s="371"/>
      <c r="AC98" s="371"/>
      <c r="AD98" s="372"/>
      <c r="AF98" s="50"/>
    </row>
  </sheetData>
  <mergeCells count="232">
    <mergeCell ref="Y97:AD97"/>
    <mergeCell ref="A98:B98"/>
    <mergeCell ref="C98:D98"/>
    <mergeCell ref="E98:J98"/>
    <mergeCell ref="K98:S98"/>
    <mergeCell ref="T98:U98"/>
    <mergeCell ref="V98:X98"/>
    <mergeCell ref="Y98:AD98"/>
    <mergeCell ref="A97:B97"/>
    <mergeCell ref="C97:D97"/>
    <mergeCell ref="E97:J97"/>
    <mergeCell ref="K97:S97"/>
    <mergeCell ref="T97:U97"/>
    <mergeCell ref="V97:X97"/>
    <mergeCell ref="V95:X95"/>
    <mergeCell ref="Y95:AD95"/>
    <mergeCell ref="A96:B96"/>
    <mergeCell ref="C96:D96"/>
    <mergeCell ref="E96:J96"/>
    <mergeCell ref="K96:S96"/>
    <mergeCell ref="T96:U96"/>
    <mergeCell ref="V96:X96"/>
    <mergeCell ref="Y96:AD96"/>
    <mergeCell ref="A94:E94"/>
    <mergeCell ref="A95:B95"/>
    <mergeCell ref="C95:D95"/>
    <mergeCell ref="E95:J95"/>
    <mergeCell ref="K95:S95"/>
    <mergeCell ref="T95:U95"/>
    <mergeCell ref="A93:B93"/>
    <mergeCell ref="F93:J93"/>
    <mergeCell ref="K93:S93"/>
    <mergeCell ref="T93:U93"/>
    <mergeCell ref="V93:W93"/>
    <mergeCell ref="X93:AD93"/>
    <mergeCell ref="A92:B92"/>
    <mergeCell ref="F92:J92"/>
    <mergeCell ref="K92:S92"/>
    <mergeCell ref="T92:U92"/>
    <mergeCell ref="V92:W92"/>
    <mergeCell ref="X92:AD92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B84:AD84"/>
    <mergeCell ref="A85:E85"/>
    <mergeCell ref="A86:B86"/>
    <mergeCell ref="F86:J86"/>
    <mergeCell ref="K86:S86"/>
    <mergeCell ref="T86:U86"/>
    <mergeCell ref="V86:W86"/>
    <mergeCell ref="X86:AD86"/>
    <mergeCell ref="A84:B84"/>
    <mergeCell ref="F84:J84"/>
    <mergeCell ref="K84:L84"/>
    <mergeCell ref="N84:O84"/>
    <mergeCell ref="P84:Q84"/>
    <mergeCell ref="R84:AA84"/>
    <mergeCell ref="AB82:AD82"/>
    <mergeCell ref="A83:B83"/>
    <mergeCell ref="F83:J83"/>
    <mergeCell ref="K83:L83"/>
    <mergeCell ref="N83:O83"/>
    <mergeCell ref="P83:Q83"/>
    <mergeCell ref="R83:AA83"/>
    <mergeCell ref="AB83:AD83"/>
    <mergeCell ref="A82:B82"/>
    <mergeCell ref="F82:J82"/>
    <mergeCell ref="K82:L82"/>
    <mergeCell ref="N82:O82"/>
    <mergeCell ref="P82:Q82"/>
    <mergeCell ref="R82:AA82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R74:AA74"/>
    <mergeCell ref="AB74:AD74"/>
    <mergeCell ref="A75:B75"/>
    <mergeCell ref="F75:J75"/>
    <mergeCell ref="K75:L75"/>
    <mergeCell ref="N75:O75"/>
    <mergeCell ref="P75:Q75"/>
    <mergeCell ref="R75:AA75"/>
    <mergeCell ref="AB75:AD75"/>
    <mergeCell ref="A73:E73"/>
    <mergeCell ref="A74:B74"/>
    <mergeCell ref="F74:J74"/>
    <mergeCell ref="K74:L74"/>
    <mergeCell ref="N74:O74"/>
    <mergeCell ref="P74:Q74"/>
    <mergeCell ref="A71:B71"/>
    <mergeCell ref="F71:M71"/>
    <mergeCell ref="P71:Q71"/>
    <mergeCell ref="R71:U71"/>
    <mergeCell ref="V71:AD71"/>
    <mergeCell ref="A72:B72"/>
    <mergeCell ref="F72:M72"/>
    <mergeCell ref="P72:Q72"/>
    <mergeCell ref="R72:U72"/>
    <mergeCell ref="V72:AD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D4:AD5"/>
    <mergeCell ref="A33:H33"/>
    <mergeCell ref="A60:E60"/>
    <mergeCell ref="A61:M61"/>
    <mergeCell ref="N61:AD61"/>
    <mergeCell ref="A62:B62"/>
    <mergeCell ref="F62:M62"/>
    <mergeCell ref="P62:Q62"/>
    <mergeCell ref="R62:U62"/>
    <mergeCell ref="V62:AD6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8" max="29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F100-7602-44F7-8F1A-8D40DB1B94CD}">
  <sheetPr>
    <pageSetUpPr fitToPage="1"/>
  </sheetPr>
  <dimension ref="A1:AF96"/>
  <sheetViews>
    <sheetView view="pageBreakPreview" zoomScale="70" zoomScaleNormal="72" zoomScaleSheetLayoutView="70" workbookViewId="0">
      <selection activeCell="A93" sqref="A93:B9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8.7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839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338" t="s">
        <v>17</v>
      </c>
      <c r="L5" s="338" t="s">
        <v>18</v>
      </c>
      <c r="M5" s="338" t="s">
        <v>19</v>
      </c>
      <c r="N5" s="33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322</v>
      </c>
      <c r="E6" s="53" t="s">
        <v>840</v>
      </c>
      <c r="F6" s="30" t="s">
        <v>138</v>
      </c>
      <c r="G6" s="12">
        <v>1</v>
      </c>
      <c r="H6" s="13">
        <v>24</v>
      </c>
      <c r="I6" s="31">
        <v>2000</v>
      </c>
      <c r="J6" s="14">
        <v>4276</v>
      </c>
      <c r="K6" s="15">
        <f>L6</f>
        <v>4276</v>
      </c>
      <c r="L6" s="15">
        <f>1312+2964</f>
        <v>4276</v>
      </c>
      <c r="M6" s="15">
        <f t="shared" ref="M6:M30" si="0">L6-N6</f>
        <v>4276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20</v>
      </c>
      <c r="Q6" s="40">
        <f t="shared" ref="Q6:Q30" si="3">SUM(R6:AA6)</f>
        <v>4</v>
      </c>
      <c r="R6" s="7"/>
      <c r="S6" s="6">
        <v>3</v>
      </c>
      <c r="T6" s="16">
        <v>1</v>
      </c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0.83333333333333337</v>
      </c>
      <c r="AD6" s="10">
        <f>AC6*AB6*(1-O6)</f>
        <v>0.83333333333333337</v>
      </c>
      <c r="AE6" s="36">
        <f t="shared" ref="AE6:AE30" si="6">$AD$31</f>
        <v>0.41333333333333333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137</v>
      </c>
      <c r="E7" s="53" t="s">
        <v>805</v>
      </c>
      <c r="F7" s="30" t="s">
        <v>136</v>
      </c>
      <c r="G7" s="12">
        <v>1</v>
      </c>
      <c r="H7" s="13">
        <v>24</v>
      </c>
      <c r="I7" s="31">
        <v>6000</v>
      </c>
      <c r="J7" s="14">
        <v>6598</v>
      </c>
      <c r="K7" s="15">
        <f>L7+2472</f>
        <v>9070</v>
      </c>
      <c r="L7" s="15">
        <f>3698+2900</f>
        <v>6598</v>
      </c>
      <c r="M7" s="15">
        <f t="shared" si="0"/>
        <v>6598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0" si="8">AC7*AB7*(1-O7)</f>
        <v>1</v>
      </c>
      <c r="AE7" s="36">
        <f t="shared" si="6"/>
        <v>0.41333333333333333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334</v>
      </c>
      <c r="D8" s="52"/>
      <c r="E8" s="53" t="s">
        <v>336</v>
      </c>
      <c r="F8" s="30" t="s">
        <v>340</v>
      </c>
      <c r="G8" s="12">
        <v>1</v>
      </c>
      <c r="H8" s="13">
        <v>24</v>
      </c>
      <c r="I8" s="7">
        <v>600</v>
      </c>
      <c r="J8" s="14">
        <v>600</v>
      </c>
      <c r="K8" s="15">
        <f>L8</f>
        <v>600</v>
      </c>
      <c r="L8" s="15">
        <v>600</v>
      </c>
      <c r="M8" s="15">
        <f t="shared" si="0"/>
        <v>600</v>
      </c>
      <c r="N8" s="15">
        <v>0</v>
      </c>
      <c r="O8" s="58">
        <f t="shared" si="1"/>
        <v>0</v>
      </c>
      <c r="P8" s="39">
        <f t="shared" si="2"/>
        <v>4</v>
      </c>
      <c r="Q8" s="40">
        <f t="shared" si="3"/>
        <v>20</v>
      </c>
      <c r="R8" s="7"/>
      <c r="S8" s="6"/>
      <c r="T8" s="16"/>
      <c r="U8" s="16"/>
      <c r="V8" s="17"/>
      <c r="W8" s="5">
        <v>20</v>
      </c>
      <c r="X8" s="16"/>
      <c r="Y8" s="16"/>
      <c r="Z8" s="16"/>
      <c r="AA8" s="18"/>
      <c r="AB8" s="8">
        <f t="shared" si="4"/>
        <v>1</v>
      </c>
      <c r="AC8" s="9">
        <f t="shared" si="5"/>
        <v>0.16666666666666666</v>
      </c>
      <c r="AD8" s="10">
        <f t="shared" si="8"/>
        <v>0.16666666666666666</v>
      </c>
      <c r="AE8" s="36">
        <f t="shared" si="6"/>
        <v>0.41333333333333333</v>
      </c>
      <c r="AF8" s="81">
        <f t="shared" si="7"/>
        <v>3</v>
      </c>
    </row>
    <row r="9" spans="1:32" ht="27" customHeight="1">
      <c r="A9" s="92">
        <v>3</v>
      </c>
      <c r="B9" s="11" t="s">
        <v>57</v>
      </c>
      <c r="C9" s="34" t="s">
        <v>112</v>
      </c>
      <c r="D9" s="52" t="s">
        <v>115</v>
      </c>
      <c r="E9" s="53" t="s">
        <v>841</v>
      </c>
      <c r="F9" s="30" t="s">
        <v>123</v>
      </c>
      <c r="G9" s="12">
        <v>1</v>
      </c>
      <c r="H9" s="13">
        <v>24</v>
      </c>
      <c r="I9" s="7">
        <v>400</v>
      </c>
      <c r="J9" s="14">
        <v>562</v>
      </c>
      <c r="K9" s="15">
        <f>L9</f>
        <v>562</v>
      </c>
      <c r="L9" s="15">
        <f>45+517</f>
        <v>562</v>
      </c>
      <c r="M9" s="15">
        <f t="shared" si="0"/>
        <v>562</v>
      </c>
      <c r="N9" s="15">
        <v>0</v>
      </c>
      <c r="O9" s="58">
        <f t="shared" si="1"/>
        <v>0</v>
      </c>
      <c r="P9" s="39">
        <f t="shared" si="2"/>
        <v>8</v>
      </c>
      <c r="Q9" s="40">
        <f t="shared" si="3"/>
        <v>16</v>
      </c>
      <c r="R9" s="7"/>
      <c r="S9" s="6">
        <v>10</v>
      </c>
      <c r="T9" s="16">
        <v>6</v>
      </c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0.33333333333333331</v>
      </c>
      <c r="AD9" s="10">
        <f t="shared" si="8"/>
        <v>0.33333333333333331</v>
      </c>
      <c r="AE9" s="36">
        <f t="shared" si="6"/>
        <v>0.41333333333333333</v>
      </c>
      <c r="AF9" s="81">
        <f t="shared" si="7"/>
        <v>3</v>
      </c>
    </row>
    <row r="10" spans="1:32" ht="27" customHeight="1">
      <c r="A10" s="92">
        <v>4</v>
      </c>
      <c r="B10" s="11" t="s">
        <v>57</v>
      </c>
      <c r="C10" s="34" t="s">
        <v>116</v>
      </c>
      <c r="D10" s="52" t="s">
        <v>115</v>
      </c>
      <c r="E10" s="53" t="s">
        <v>842</v>
      </c>
      <c r="F10" s="30" t="s">
        <v>135</v>
      </c>
      <c r="G10" s="12">
        <v>1</v>
      </c>
      <c r="H10" s="13">
        <v>24</v>
      </c>
      <c r="I10" s="7">
        <v>9000</v>
      </c>
      <c r="J10" s="14">
        <v>3293</v>
      </c>
      <c r="K10" s="15">
        <f>L10</f>
        <v>0</v>
      </c>
      <c r="L10" s="15">
        <f>0</f>
        <v>0</v>
      </c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8"/>
        <v>0</v>
      </c>
      <c r="AE10" s="36">
        <f t="shared" si="6"/>
        <v>0.41333333333333333</v>
      </c>
      <c r="AF10" s="81">
        <f t="shared" si="7"/>
        <v>4</v>
      </c>
    </row>
    <row r="11" spans="1:32" ht="27" customHeight="1">
      <c r="A11" s="92">
        <v>5</v>
      </c>
      <c r="B11" s="11" t="s">
        <v>57</v>
      </c>
      <c r="C11" s="11" t="s">
        <v>126</v>
      </c>
      <c r="D11" s="52" t="s">
        <v>843</v>
      </c>
      <c r="E11" s="53" t="s">
        <v>844</v>
      </c>
      <c r="F11" s="30" t="s">
        <v>148</v>
      </c>
      <c r="G11" s="33">
        <v>1</v>
      </c>
      <c r="H11" s="35">
        <v>24</v>
      </c>
      <c r="I11" s="7">
        <v>2500</v>
      </c>
      <c r="J11" s="14">
        <v>4701</v>
      </c>
      <c r="K11" s="15">
        <f>L11</f>
        <v>4701</v>
      </c>
      <c r="L11" s="15">
        <f>2036+2665</f>
        <v>4701</v>
      </c>
      <c r="M11" s="15">
        <f t="shared" si="0"/>
        <v>4701</v>
      </c>
      <c r="N11" s="15">
        <v>0</v>
      </c>
      <c r="O11" s="58">
        <f t="shared" si="1"/>
        <v>0</v>
      </c>
      <c r="P11" s="39">
        <f t="shared" si="2"/>
        <v>23</v>
      </c>
      <c r="Q11" s="40">
        <f t="shared" si="3"/>
        <v>1</v>
      </c>
      <c r="R11" s="7"/>
      <c r="S11" s="6"/>
      <c r="T11" s="16">
        <v>1</v>
      </c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0.95833333333333337</v>
      </c>
      <c r="AD11" s="10">
        <f t="shared" si="8"/>
        <v>0.95833333333333337</v>
      </c>
      <c r="AE11" s="36">
        <f t="shared" si="6"/>
        <v>0.41333333333333333</v>
      </c>
      <c r="AF11" s="81">
        <f t="shared" si="7"/>
        <v>5</v>
      </c>
    </row>
    <row r="12" spans="1:32" ht="27" customHeight="1">
      <c r="A12" s="92">
        <v>6</v>
      </c>
      <c r="B12" s="11" t="s">
        <v>57</v>
      </c>
      <c r="C12" s="11" t="s">
        <v>116</v>
      </c>
      <c r="D12" s="52" t="s">
        <v>256</v>
      </c>
      <c r="E12" s="53" t="s">
        <v>845</v>
      </c>
      <c r="F12" s="30" t="s">
        <v>135</v>
      </c>
      <c r="G12" s="33">
        <v>1</v>
      </c>
      <c r="H12" s="35">
        <v>24</v>
      </c>
      <c r="I12" s="7">
        <v>22000</v>
      </c>
      <c r="J12" s="14">
        <v>1121</v>
      </c>
      <c r="K12" s="15">
        <f>L12</f>
        <v>1121</v>
      </c>
      <c r="L12" s="15">
        <f>653+468</f>
        <v>1121</v>
      </c>
      <c r="M12" s="15">
        <f t="shared" si="0"/>
        <v>1121</v>
      </c>
      <c r="N12" s="15">
        <v>0</v>
      </c>
      <c r="O12" s="58">
        <f t="shared" si="1"/>
        <v>0</v>
      </c>
      <c r="P12" s="39">
        <f t="shared" si="2"/>
        <v>6</v>
      </c>
      <c r="Q12" s="40">
        <f t="shared" si="3"/>
        <v>18</v>
      </c>
      <c r="R12" s="7"/>
      <c r="S12" s="6">
        <v>18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0.25</v>
      </c>
      <c r="AD12" s="10">
        <f t="shared" si="8"/>
        <v>0.25</v>
      </c>
      <c r="AE12" s="36">
        <f t="shared" si="6"/>
        <v>0.41333333333333333</v>
      </c>
      <c r="AF12" s="81">
        <f t="shared" si="7"/>
        <v>6</v>
      </c>
    </row>
    <row r="13" spans="1:32" ht="27" customHeight="1">
      <c r="A13" s="92">
        <v>7</v>
      </c>
      <c r="B13" s="11" t="s">
        <v>57</v>
      </c>
      <c r="C13" s="34" t="s">
        <v>116</v>
      </c>
      <c r="D13" s="52" t="s">
        <v>115</v>
      </c>
      <c r="E13" s="53" t="s">
        <v>691</v>
      </c>
      <c r="F13" s="30" t="s">
        <v>159</v>
      </c>
      <c r="G13" s="12">
        <v>2</v>
      </c>
      <c r="H13" s="13">
        <v>22</v>
      </c>
      <c r="I13" s="31">
        <v>71000</v>
      </c>
      <c r="J13" s="5">
        <v>8804</v>
      </c>
      <c r="K13" s="15">
        <f>L13+9138+9640+10002+9460</f>
        <v>47044</v>
      </c>
      <c r="L13" s="15">
        <f>2668*2+1734*2</f>
        <v>8804</v>
      </c>
      <c r="M13" s="15">
        <f t="shared" si="0"/>
        <v>8804</v>
      </c>
      <c r="N13" s="15">
        <v>0</v>
      </c>
      <c r="O13" s="58">
        <f t="shared" si="1"/>
        <v>0</v>
      </c>
      <c r="P13" s="39">
        <f t="shared" si="2"/>
        <v>22</v>
      </c>
      <c r="Q13" s="40">
        <f t="shared" si="3"/>
        <v>2</v>
      </c>
      <c r="R13" s="7">
        <v>2</v>
      </c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0.91666666666666663</v>
      </c>
      <c r="AD13" s="10">
        <f t="shared" si="8"/>
        <v>0.91666666666666663</v>
      </c>
      <c r="AE13" s="36">
        <f t="shared" si="6"/>
        <v>0.41333333333333333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116</v>
      </c>
      <c r="D14" s="52" t="s">
        <v>147</v>
      </c>
      <c r="E14" s="53" t="s">
        <v>692</v>
      </c>
      <c r="F14" s="30" t="s">
        <v>730</v>
      </c>
      <c r="G14" s="33">
        <v>2</v>
      </c>
      <c r="H14" s="35">
        <v>22</v>
      </c>
      <c r="I14" s="7">
        <v>68000</v>
      </c>
      <c r="J14" s="14">
        <v>14816</v>
      </c>
      <c r="K14" s="15">
        <f>L14+10908+11004+14278+13894</f>
        <v>64900</v>
      </c>
      <c r="L14" s="15">
        <f>4157*2+3251*2</f>
        <v>14816</v>
      </c>
      <c r="M14" s="15">
        <f t="shared" si="0"/>
        <v>14816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8"/>
        <v>1</v>
      </c>
      <c r="AE14" s="36">
        <f t="shared" si="6"/>
        <v>0.41333333333333333</v>
      </c>
      <c r="AF14" s="81">
        <f t="shared" si="7"/>
        <v>8</v>
      </c>
    </row>
    <row r="15" spans="1:32" ht="27" customHeight="1">
      <c r="A15" s="99">
        <v>9</v>
      </c>
      <c r="B15" s="11" t="s">
        <v>57</v>
      </c>
      <c r="C15" s="34" t="s">
        <v>112</v>
      </c>
      <c r="D15" s="52" t="s">
        <v>115</v>
      </c>
      <c r="E15" s="53" t="s">
        <v>810</v>
      </c>
      <c r="F15" s="30" t="s">
        <v>148</v>
      </c>
      <c r="G15" s="33">
        <v>1</v>
      </c>
      <c r="H15" s="35">
        <v>50</v>
      </c>
      <c r="I15" s="7">
        <v>300</v>
      </c>
      <c r="J15" s="5">
        <v>244</v>
      </c>
      <c r="K15" s="15">
        <f>L15</f>
        <v>0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0.41333333333333333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575</v>
      </c>
      <c r="D16" s="52" t="s">
        <v>822</v>
      </c>
      <c r="E16" s="53" t="s">
        <v>823</v>
      </c>
      <c r="F16" s="30" t="s">
        <v>824</v>
      </c>
      <c r="G16" s="12">
        <v>4</v>
      </c>
      <c r="H16" s="13">
        <v>24</v>
      </c>
      <c r="I16" s="31">
        <v>157200</v>
      </c>
      <c r="J16" s="14">
        <v>24324</v>
      </c>
      <c r="K16" s="15">
        <f>L16+15076</f>
        <v>39400</v>
      </c>
      <c r="L16" s="15">
        <f>3491*4+2590*4</f>
        <v>24324</v>
      </c>
      <c r="M16" s="15">
        <f t="shared" si="0"/>
        <v>24324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0.41333333333333333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197</v>
      </c>
      <c r="E17" s="53" t="s">
        <v>366</v>
      </c>
      <c r="F17" s="30" t="s">
        <v>123</v>
      </c>
      <c r="G17" s="12">
        <v>2</v>
      </c>
      <c r="H17" s="13">
        <v>22</v>
      </c>
      <c r="I17" s="31">
        <v>260000</v>
      </c>
      <c r="J17" s="5">
        <v>11588</v>
      </c>
      <c r="K17" s="15">
        <f>L17+9350+9873+10572+11420+9694+7670+11372+10884+8431+5890+10900+11458+11552+11940+10862</f>
        <v>163456</v>
      </c>
      <c r="L17" s="15">
        <f>3250*2+2544*2</f>
        <v>11588</v>
      </c>
      <c r="M17" s="15">
        <f t="shared" si="0"/>
        <v>11588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0.41333333333333333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334</v>
      </c>
      <c r="D18" s="52"/>
      <c r="E18" s="53" t="s">
        <v>331</v>
      </c>
      <c r="F18" s="30" t="s">
        <v>183</v>
      </c>
      <c r="G18" s="12">
        <v>1</v>
      </c>
      <c r="H18" s="13">
        <v>24</v>
      </c>
      <c r="I18" s="7">
        <v>600</v>
      </c>
      <c r="J18" s="14">
        <v>600</v>
      </c>
      <c r="K18" s="15">
        <f>L18+600</f>
        <v>600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8"/>
        <v>0</v>
      </c>
      <c r="AE18" s="36">
        <f t="shared" si="6"/>
        <v>0.41333333333333333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116</v>
      </c>
      <c r="D19" s="52" t="s">
        <v>115</v>
      </c>
      <c r="E19" s="53" t="s">
        <v>371</v>
      </c>
      <c r="F19" s="30" t="s">
        <v>135</v>
      </c>
      <c r="G19" s="12">
        <v>2</v>
      </c>
      <c r="H19" s="13">
        <v>22</v>
      </c>
      <c r="I19" s="31">
        <v>260000</v>
      </c>
      <c r="J19" s="5">
        <v>11242</v>
      </c>
      <c r="K19" s="15">
        <f>L19+10480+11444+11648+11082+10368+10658+11130+11168+12108+9740+10720+10498+11286+11772+11032</f>
        <v>176376</v>
      </c>
      <c r="L19" s="15">
        <f>3062*2+2559*2</f>
        <v>11242</v>
      </c>
      <c r="M19" s="15">
        <f t="shared" si="0"/>
        <v>11242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0.41333333333333333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115</v>
      </c>
      <c r="E20" s="53" t="s">
        <v>732</v>
      </c>
      <c r="F20" s="30" t="s">
        <v>122</v>
      </c>
      <c r="G20" s="33">
        <v>1</v>
      </c>
      <c r="H20" s="35">
        <v>24</v>
      </c>
      <c r="I20" s="7">
        <v>6000</v>
      </c>
      <c r="J20" s="14">
        <v>4075</v>
      </c>
      <c r="K20" s="15">
        <f>L20+1720+4090</f>
        <v>9885</v>
      </c>
      <c r="L20" s="15">
        <f>2187+1888</f>
        <v>4075</v>
      </c>
      <c r="M20" s="15">
        <f t="shared" si="0"/>
        <v>4075</v>
      </c>
      <c r="N20" s="15">
        <v>0</v>
      </c>
      <c r="O20" s="58">
        <f t="shared" si="1"/>
        <v>0</v>
      </c>
      <c r="P20" s="39">
        <f t="shared" si="2"/>
        <v>21</v>
      </c>
      <c r="Q20" s="40">
        <f t="shared" si="3"/>
        <v>3</v>
      </c>
      <c r="R20" s="7"/>
      <c r="S20" s="6">
        <v>3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0.875</v>
      </c>
      <c r="AD20" s="10">
        <f t="shared" si="8"/>
        <v>0.875</v>
      </c>
      <c r="AE20" s="36">
        <f t="shared" si="6"/>
        <v>0.41333333333333333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116</v>
      </c>
      <c r="D21" s="52" t="s">
        <v>147</v>
      </c>
      <c r="E21" s="53" t="s">
        <v>846</v>
      </c>
      <c r="F21" s="30" t="s">
        <v>788</v>
      </c>
      <c r="G21" s="33">
        <v>1</v>
      </c>
      <c r="H21" s="35">
        <v>24</v>
      </c>
      <c r="I21" s="7">
        <v>22000</v>
      </c>
      <c r="J21" s="14">
        <v>5062</v>
      </c>
      <c r="K21" s="15">
        <f>L21</f>
        <v>5062</v>
      </c>
      <c r="L21" s="15">
        <f>2064+2998</f>
        <v>5062</v>
      </c>
      <c r="M21" s="15">
        <f t="shared" si="0"/>
        <v>5062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0.41333333333333333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352</v>
      </c>
      <c r="F22" s="12" t="s">
        <v>114</v>
      </c>
      <c r="G22" s="12">
        <v>4</v>
      </c>
      <c r="H22" s="35">
        <v>20</v>
      </c>
      <c r="I22" s="7">
        <v>2000000</v>
      </c>
      <c r="J22" s="14">
        <v>61284</v>
      </c>
      <c r="K22" s="15">
        <f>L22+64424+64620+22548+54104+64632+65016+67504+61284</f>
        <v>464132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>
        <v>24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0.41333333333333333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0.41333333333333333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353</v>
      </c>
      <c r="F24" s="12" t="s">
        <v>180</v>
      </c>
      <c r="G24" s="12">
        <v>4</v>
      </c>
      <c r="H24" s="35">
        <v>15</v>
      </c>
      <c r="I24" s="7">
        <v>20000</v>
      </c>
      <c r="J24" s="14">
        <v>24024</v>
      </c>
      <c r="K24" s="15">
        <f>L24+14040+7084+2888+25304+4864+24024</f>
        <v>78204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/>
      <c r="X24" s="16"/>
      <c r="Y24" s="16"/>
      <c r="Z24" s="16"/>
      <c r="AA24" s="18">
        <v>24</v>
      </c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0.41333333333333333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0.41333333333333333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30</v>
      </c>
      <c r="H26" s="35">
        <v>20</v>
      </c>
      <c r="I26" s="7">
        <v>2000000</v>
      </c>
      <c r="J26" s="14">
        <v>189476</v>
      </c>
      <c r="K26" s="15">
        <f>L26+322260+481964+478184+484736+189476</f>
        <v>1956620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0.41333333333333333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115</v>
      </c>
      <c r="E27" s="53" t="s">
        <v>414</v>
      </c>
      <c r="F27" s="12" t="s">
        <v>135</v>
      </c>
      <c r="G27" s="12">
        <v>3</v>
      </c>
      <c r="H27" s="35">
        <v>20</v>
      </c>
      <c r="I27" s="7">
        <v>130000</v>
      </c>
      <c r="J27" s="14">
        <v>15393</v>
      </c>
      <c r="K27" s="15">
        <f>L27+15220+23840+22923+6507+15501+18108+17847+18078+15393</f>
        <v>153417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0.41333333333333333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197</v>
      </c>
      <c r="E28" s="53" t="s">
        <v>415</v>
      </c>
      <c r="F28" s="12" t="s">
        <v>124</v>
      </c>
      <c r="G28" s="12">
        <v>4</v>
      </c>
      <c r="H28" s="35">
        <v>20</v>
      </c>
      <c r="I28" s="7">
        <v>130000</v>
      </c>
      <c r="J28" s="14">
        <v>24332</v>
      </c>
      <c r="K28" s="15">
        <f>L28+15632+12648+1958+21292+27256+2770+24332</f>
        <v>105888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0.41333333333333333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416</v>
      </c>
      <c r="F29" s="12" t="s">
        <v>124</v>
      </c>
      <c r="G29" s="12">
        <v>4</v>
      </c>
      <c r="H29" s="35">
        <v>20</v>
      </c>
      <c r="I29" s="7">
        <v>130000</v>
      </c>
      <c r="J29" s="14">
        <v>26116</v>
      </c>
      <c r="K29" s="15">
        <f>L29+27916+29980+10704+25528+29800+29376+29736+26116</f>
        <v>209156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0.41333333333333333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0.41333333333333333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9">SUM(I6:I30)</f>
        <v>6367600</v>
      </c>
      <c r="J31" s="19">
        <f t="shared" si="9"/>
        <v>544159</v>
      </c>
      <c r="K31" s="20">
        <f t="shared" si="9"/>
        <v>4203014</v>
      </c>
      <c r="L31" s="21">
        <f t="shared" si="9"/>
        <v>97769</v>
      </c>
      <c r="M31" s="20">
        <f t="shared" si="9"/>
        <v>97769</v>
      </c>
      <c r="N31" s="21">
        <f t="shared" si="9"/>
        <v>0</v>
      </c>
      <c r="O31" s="41">
        <f t="shared" si="1"/>
        <v>0</v>
      </c>
      <c r="P31" s="42">
        <f t="shared" ref="P31:AA31" si="10">SUM(P6:P30)</f>
        <v>248</v>
      </c>
      <c r="Q31" s="43">
        <f t="shared" si="10"/>
        <v>352</v>
      </c>
      <c r="R31" s="23">
        <f t="shared" si="10"/>
        <v>2</v>
      </c>
      <c r="S31" s="24">
        <f t="shared" si="10"/>
        <v>106</v>
      </c>
      <c r="T31" s="24">
        <f t="shared" si="10"/>
        <v>8</v>
      </c>
      <c r="U31" s="24">
        <f t="shared" si="10"/>
        <v>0</v>
      </c>
      <c r="V31" s="25">
        <f t="shared" si="10"/>
        <v>48</v>
      </c>
      <c r="W31" s="26">
        <f t="shared" si="10"/>
        <v>164</v>
      </c>
      <c r="X31" s="27">
        <f t="shared" si="10"/>
        <v>0</v>
      </c>
      <c r="Y31" s="27">
        <f t="shared" si="10"/>
        <v>0</v>
      </c>
      <c r="Z31" s="27">
        <f t="shared" si="10"/>
        <v>0</v>
      </c>
      <c r="AA31" s="27">
        <f t="shared" si="10"/>
        <v>24</v>
      </c>
      <c r="AB31" s="28">
        <f>AVERAGE(AB6:AB30)</f>
        <v>0.54166666666666663</v>
      </c>
      <c r="AC31" s="4">
        <f>AVERAGE(AC6:AC30)</f>
        <v>0.41333333333333333</v>
      </c>
      <c r="AD31" s="4">
        <f>AVERAGE(AD6:AD30)</f>
        <v>0.41333333333333333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 ht="7.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 ht="7.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 ht="7.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 ht="7.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 ht="7.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 ht="7.5" customHeight="1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 ht="7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 ht="7.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 ht="7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7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7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7.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7.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7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12" customHeight="1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12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12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12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12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12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2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2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2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847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853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339" t="s">
        <v>46</v>
      </c>
      <c r="D60" s="339" t="s">
        <v>47</v>
      </c>
      <c r="E60" s="339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339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126</v>
      </c>
      <c r="B61" s="431"/>
      <c r="C61" s="340" t="s">
        <v>139</v>
      </c>
      <c r="D61" s="340" t="s">
        <v>322</v>
      </c>
      <c r="E61" s="341" t="s">
        <v>840</v>
      </c>
      <c r="F61" s="432" t="s">
        <v>759</v>
      </c>
      <c r="G61" s="433"/>
      <c r="H61" s="433"/>
      <c r="I61" s="433"/>
      <c r="J61" s="433"/>
      <c r="K61" s="433"/>
      <c r="L61" s="433"/>
      <c r="M61" s="434"/>
      <c r="N61" s="141" t="s">
        <v>112</v>
      </c>
      <c r="O61" s="346" t="s">
        <v>146</v>
      </c>
      <c r="P61" s="447" t="s">
        <v>115</v>
      </c>
      <c r="Q61" s="448"/>
      <c r="R61" s="447" t="s">
        <v>854</v>
      </c>
      <c r="S61" s="449"/>
      <c r="T61" s="449"/>
      <c r="U61" s="448"/>
      <c r="V61" s="436" t="s">
        <v>154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116</v>
      </c>
      <c r="B62" s="431"/>
      <c r="C62" s="340" t="s">
        <v>142</v>
      </c>
      <c r="D62" s="340" t="s">
        <v>115</v>
      </c>
      <c r="E62" s="341" t="s">
        <v>831</v>
      </c>
      <c r="F62" s="432" t="s">
        <v>848</v>
      </c>
      <c r="G62" s="433"/>
      <c r="H62" s="433"/>
      <c r="I62" s="433"/>
      <c r="J62" s="433"/>
      <c r="K62" s="433"/>
      <c r="L62" s="433"/>
      <c r="M62" s="434"/>
      <c r="N62" s="141" t="s">
        <v>112</v>
      </c>
      <c r="O62" s="346" t="s">
        <v>146</v>
      </c>
      <c r="P62" s="447" t="s">
        <v>115</v>
      </c>
      <c r="Q62" s="448"/>
      <c r="R62" s="447" t="s">
        <v>195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334</v>
      </c>
      <c r="B63" s="431"/>
      <c r="C63" s="340" t="s">
        <v>146</v>
      </c>
      <c r="D63" s="340"/>
      <c r="E63" s="341" t="s">
        <v>336</v>
      </c>
      <c r="F63" s="432" t="s">
        <v>372</v>
      </c>
      <c r="G63" s="433"/>
      <c r="H63" s="433"/>
      <c r="I63" s="433"/>
      <c r="J63" s="433"/>
      <c r="K63" s="433"/>
      <c r="L63" s="433"/>
      <c r="M63" s="434"/>
      <c r="N63" s="141" t="s">
        <v>116</v>
      </c>
      <c r="O63" s="346" t="s">
        <v>142</v>
      </c>
      <c r="P63" s="447" t="s">
        <v>115</v>
      </c>
      <c r="Q63" s="448"/>
      <c r="R63" s="447" t="s">
        <v>842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112</v>
      </c>
      <c r="B64" s="431"/>
      <c r="C64" s="340" t="s">
        <v>219</v>
      </c>
      <c r="D64" s="340" t="s">
        <v>115</v>
      </c>
      <c r="E64" s="341" t="s">
        <v>810</v>
      </c>
      <c r="F64" s="432" t="s">
        <v>849</v>
      </c>
      <c r="G64" s="433"/>
      <c r="H64" s="433"/>
      <c r="I64" s="433"/>
      <c r="J64" s="433"/>
      <c r="K64" s="433"/>
      <c r="L64" s="433"/>
      <c r="M64" s="434"/>
      <c r="N64" s="141" t="s">
        <v>116</v>
      </c>
      <c r="O64" s="346" t="s">
        <v>166</v>
      </c>
      <c r="P64" s="447" t="s">
        <v>256</v>
      </c>
      <c r="Q64" s="448"/>
      <c r="R64" s="447" t="s">
        <v>834</v>
      </c>
      <c r="S64" s="449"/>
      <c r="T64" s="449"/>
      <c r="U64" s="448"/>
      <c r="V64" s="436" t="s">
        <v>141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112</v>
      </c>
      <c r="B65" s="431"/>
      <c r="C65" s="340" t="s">
        <v>146</v>
      </c>
      <c r="D65" s="340" t="s">
        <v>115</v>
      </c>
      <c r="E65" s="341" t="s">
        <v>841</v>
      </c>
      <c r="F65" s="432" t="s">
        <v>850</v>
      </c>
      <c r="G65" s="433"/>
      <c r="H65" s="433"/>
      <c r="I65" s="433"/>
      <c r="J65" s="433"/>
      <c r="K65" s="433"/>
      <c r="L65" s="433"/>
      <c r="M65" s="434"/>
      <c r="N65" s="141" t="s">
        <v>112</v>
      </c>
      <c r="O65" s="346" t="s">
        <v>856</v>
      </c>
      <c r="P65" s="447" t="s">
        <v>115</v>
      </c>
      <c r="Q65" s="448"/>
      <c r="R65" s="447" t="s">
        <v>855</v>
      </c>
      <c r="S65" s="449"/>
      <c r="T65" s="449"/>
      <c r="U65" s="448"/>
      <c r="V65" s="436" t="s">
        <v>141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112</v>
      </c>
      <c r="B66" s="431"/>
      <c r="C66" s="340" t="s">
        <v>208</v>
      </c>
      <c r="D66" s="340" t="s">
        <v>115</v>
      </c>
      <c r="E66" s="341" t="s">
        <v>732</v>
      </c>
      <c r="F66" s="432" t="s">
        <v>502</v>
      </c>
      <c r="G66" s="433"/>
      <c r="H66" s="433"/>
      <c r="I66" s="433"/>
      <c r="J66" s="433"/>
      <c r="K66" s="433"/>
      <c r="L66" s="433"/>
      <c r="M66" s="434"/>
      <c r="N66" s="141"/>
      <c r="O66" s="346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116</v>
      </c>
      <c r="B67" s="431"/>
      <c r="C67" s="340" t="s">
        <v>166</v>
      </c>
      <c r="D67" s="340" t="s">
        <v>256</v>
      </c>
      <c r="E67" s="341" t="s">
        <v>834</v>
      </c>
      <c r="F67" s="432" t="s">
        <v>260</v>
      </c>
      <c r="G67" s="433"/>
      <c r="H67" s="433"/>
      <c r="I67" s="433"/>
      <c r="J67" s="433"/>
      <c r="K67" s="433"/>
      <c r="L67" s="433"/>
      <c r="M67" s="434"/>
      <c r="N67" s="141"/>
      <c r="O67" s="346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116</v>
      </c>
      <c r="B68" s="431"/>
      <c r="C68" s="340" t="s">
        <v>191</v>
      </c>
      <c r="D68" s="340" t="s">
        <v>147</v>
      </c>
      <c r="E68" s="341" t="s">
        <v>846</v>
      </c>
      <c r="F68" s="432" t="s">
        <v>154</v>
      </c>
      <c r="G68" s="433"/>
      <c r="H68" s="433"/>
      <c r="I68" s="433"/>
      <c r="J68" s="433"/>
      <c r="K68" s="433"/>
      <c r="L68" s="433"/>
      <c r="M68" s="434"/>
      <c r="N68" s="141"/>
      <c r="O68" s="346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 t="s">
        <v>126</v>
      </c>
      <c r="B69" s="431"/>
      <c r="C69" s="340" t="s">
        <v>851</v>
      </c>
      <c r="D69" s="340" t="s">
        <v>852</v>
      </c>
      <c r="E69" s="341" t="s">
        <v>844</v>
      </c>
      <c r="F69" s="432" t="s">
        <v>154</v>
      </c>
      <c r="G69" s="433"/>
      <c r="H69" s="433"/>
      <c r="I69" s="433"/>
      <c r="J69" s="433"/>
      <c r="K69" s="433"/>
      <c r="L69" s="433"/>
      <c r="M69" s="434"/>
      <c r="N69" s="141"/>
      <c r="O69" s="346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342"/>
      <c r="D70" s="343"/>
      <c r="E70" s="342"/>
      <c r="F70" s="490"/>
      <c r="G70" s="491"/>
      <c r="H70" s="491"/>
      <c r="I70" s="491"/>
      <c r="J70" s="491"/>
      <c r="K70" s="491"/>
      <c r="L70" s="491"/>
      <c r="M70" s="492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857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344" t="s">
        <v>2</v>
      </c>
      <c r="D72" s="344" t="s">
        <v>37</v>
      </c>
      <c r="E72" s="344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344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859</v>
      </c>
      <c r="D73" s="348"/>
      <c r="E73" s="345"/>
      <c r="F73" s="416" t="s">
        <v>858</v>
      </c>
      <c r="G73" s="406"/>
      <c r="H73" s="406"/>
      <c r="I73" s="406"/>
      <c r="J73" s="406"/>
      <c r="K73" s="406" t="s">
        <v>860</v>
      </c>
      <c r="L73" s="406"/>
      <c r="M73" s="51" t="s">
        <v>861</v>
      </c>
      <c r="N73" s="417" t="s">
        <v>862</v>
      </c>
      <c r="O73" s="417"/>
      <c r="P73" s="418">
        <v>50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 t="s">
        <v>859</v>
      </c>
      <c r="D74" s="348"/>
      <c r="E74" s="345"/>
      <c r="F74" s="420" t="s">
        <v>863</v>
      </c>
      <c r="G74" s="421"/>
      <c r="H74" s="421"/>
      <c r="I74" s="421"/>
      <c r="J74" s="422"/>
      <c r="K74" s="406" t="s">
        <v>864</v>
      </c>
      <c r="L74" s="406"/>
      <c r="M74" s="51" t="s">
        <v>861</v>
      </c>
      <c r="N74" s="417" t="s">
        <v>862</v>
      </c>
      <c r="O74" s="417"/>
      <c r="P74" s="418">
        <v>50</v>
      </c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 t="s">
        <v>859</v>
      </c>
      <c r="D75" s="348"/>
      <c r="E75" s="345"/>
      <c r="F75" s="416" t="s">
        <v>865</v>
      </c>
      <c r="G75" s="406"/>
      <c r="H75" s="406"/>
      <c r="I75" s="406"/>
      <c r="J75" s="406"/>
      <c r="K75" s="406" t="s">
        <v>866</v>
      </c>
      <c r="L75" s="406"/>
      <c r="M75" s="51" t="s">
        <v>861</v>
      </c>
      <c r="N75" s="417" t="s">
        <v>867</v>
      </c>
      <c r="O75" s="417"/>
      <c r="P75" s="418">
        <v>50</v>
      </c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 t="s">
        <v>869</v>
      </c>
      <c r="D76" s="348"/>
      <c r="E76" s="345" t="s">
        <v>870</v>
      </c>
      <c r="F76" s="420" t="s">
        <v>868</v>
      </c>
      <c r="G76" s="421"/>
      <c r="H76" s="421"/>
      <c r="I76" s="421"/>
      <c r="J76" s="422"/>
      <c r="K76" s="406" t="s">
        <v>871</v>
      </c>
      <c r="L76" s="406"/>
      <c r="M76" s="51" t="s">
        <v>861</v>
      </c>
      <c r="N76" s="417" t="s">
        <v>872</v>
      </c>
      <c r="O76" s="417"/>
      <c r="P76" s="418">
        <v>100</v>
      </c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/>
      <c r="D77" s="348"/>
      <c r="E77" s="345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348"/>
      <c r="E78" s="345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348"/>
      <c r="E79" s="345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348"/>
      <c r="E80" s="345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348"/>
      <c r="E81" s="345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348"/>
      <c r="E82" s="345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873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347" t="s">
        <v>2</v>
      </c>
      <c r="D84" s="347" t="s">
        <v>37</v>
      </c>
      <c r="E84" s="347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349"/>
      <c r="D85" s="349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348"/>
      <c r="D86" s="348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1">A86+1</f>
        <v>3</v>
      </c>
      <c r="B87" s="374"/>
      <c r="C87" s="348"/>
      <c r="D87" s="348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1"/>
        <v>4</v>
      </c>
      <c r="B88" s="374"/>
      <c r="C88" s="348"/>
      <c r="D88" s="348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1"/>
        <v>5</v>
      </c>
      <c r="B89" s="374"/>
      <c r="C89" s="348"/>
      <c r="D89" s="348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1"/>
        <v>6</v>
      </c>
      <c r="B90" s="374"/>
      <c r="C90" s="348"/>
      <c r="D90" s="348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1"/>
        <v>7</v>
      </c>
      <c r="B91" s="374"/>
      <c r="C91" s="348"/>
      <c r="D91" s="348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874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6" max="29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DBF0-D640-45D2-93B0-79A11BCB90F6}">
  <sheetPr>
    <pageSetUpPr fitToPage="1"/>
  </sheetPr>
  <dimension ref="A1:AF96"/>
  <sheetViews>
    <sheetView tabSelected="1" view="pageBreakPreview" zoomScale="70" zoomScaleNormal="72" zoomScaleSheetLayoutView="70" workbookViewId="0">
      <selection activeCell="V61" sqref="V61:AD6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8.7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875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361" t="s">
        <v>17</v>
      </c>
      <c r="L5" s="361" t="s">
        <v>18</v>
      </c>
      <c r="M5" s="361" t="s">
        <v>19</v>
      </c>
      <c r="N5" s="36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322</v>
      </c>
      <c r="E6" s="53" t="s">
        <v>840</v>
      </c>
      <c r="F6" s="30" t="s">
        <v>138</v>
      </c>
      <c r="G6" s="12">
        <v>1</v>
      </c>
      <c r="H6" s="13">
        <v>24</v>
      </c>
      <c r="I6" s="31">
        <v>2000</v>
      </c>
      <c r="J6" s="14">
        <v>5292</v>
      </c>
      <c r="K6" s="15">
        <f>L6+4276</f>
        <v>9568</v>
      </c>
      <c r="L6" s="15">
        <f>2700+2592</f>
        <v>5292</v>
      </c>
      <c r="M6" s="15">
        <f t="shared" ref="M6:M30" si="0">L6-N6</f>
        <v>5292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24</v>
      </c>
      <c r="Q6" s="40">
        <f t="shared" ref="Q6:Q30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1</v>
      </c>
      <c r="AD6" s="10">
        <f>AC6*AB6*(1-O6)</f>
        <v>1</v>
      </c>
      <c r="AE6" s="36">
        <f t="shared" ref="AE6:AE30" si="6">$AD$31</f>
        <v>0.46500000000000002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137</v>
      </c>
      <c r="E7" s="53" t="s">
        <v>805</v>
      </c>
      <c r="F7" s="30" t="s">
        <v>136</v>
      </c>
      <c r="G7" s="12">
        <v>1</v>
      </c>
      <c r="H7" s="13">
        <v>24</v>
      </c>
      <c r="I7" s="31">
        <v>6000</v>
      </c>
      <c r="J7" s="14">
        <v>585</v>
      </c>
      <c r="K7" s="15">
        <f>L7+2472+6598</f>
        <v>9655</v>
      </c>
      <c r="L7" s="15">
        <v>585</v>
      </c>
      <c r="M7" s="15">
        <f t="shared" si="0"/>
        <v>585</v>
      </c>
      <c r="N7" s="15">
        <v>0</v>
      </c>
      <c r="O7" s="58">
        <f t="shared" si="1"/>
        <v>0</v>
      </c>
      <c r="P7" s="39">
        <f t="shared" si="2"/>
        <v>4</v>
      </c>
      <c r="Q7" s="40">
        <f t="shared" si="3"/>
        <v>20</v>
      </c>
      <c r="R7" s="7"/>
      <c r="S7" s="6"/>
      <c r="T7" s="16"/>
      <c r="U7" s="16"/>
      <c r="V7" s="17"/>
      <c r="W7" s="5">
        <v>20</v>
      </c>
      <c r="X7" s="16"/>
      <c r="Y7" s="16"/>
      <c r="Z7" s="16"/>
      <c r="AA7" s="18"/>
      <c r="AB7" s="8">
        <f t="shared" si="4"/>
        <v>1</v>
      </c>
      <c r="AC7" s="9">
        <f t="shared" si="5"/>
        <v>0.16666666666666666</v>
      </c>
      <c r="AD7" s="10">
        <f t="shared" ref="AD7:AD30" si="8">AC7*AB7*(1-O7)</f>
        <v>0.16666666666666666</v>
      </c>
      <c r="AE7" s="36">
        <f t="shared" si="6"/>
        <v>0.46500000000000002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876</v>
      </c>
      <c r="F8" s="30" t="s">
        <v>152</v>
      </c>
      <c r="G8" s="12">
        <v>1</v>
      </c>
      <c r="H8" s="13">
        <v>24</v>
      </c>
      <c r="I8" s="7">
        <v>500</v>
      </c>
      <c r="J8" s="14">
        <v>594</v>
      </c>
      <c r="K8" s="15">
        <f>L8</f>
        <v>594</v>
      </c>
      <c r="L8" s="15">
        <f>409+185</f>
        <v>594</v>
      </c>
      <c r="M8" s="15">
        <f t="shared" si="0"/>
        <v>594</v>
      </c>
      <c r="N8" s="15">
        <v>0</v>
      </c>
      <c r="O8" s="58">
        <f t="shared" si="1"/>
        <v>0</v>
      </c>
      <c r="P8" s="39">
        <f t="shared" si="2"/>
        <v>9</v>
      </c>
      <c r="Q8" s="40">
        <f t="shared" si="3"/>
        <v>15</v>
      </c>
      <c r="R8" s="7"/>
      <c r="S8" s="6">
        <v>5</v>
      </c>
      <c r="T8" s="16"/>
      <c r="U8" s="16"/>
      <c r="V8" s="17"/>
      <c r="W8" s="5">
        <v>10</v>
      </c>
      <c r="X8" s="16"/>
      <c r="Y8" s="16"/>
      <c r="Z8" s="16"/>
      <c r="AA8" s="18"/>
      <c r="AB8" s="8">
        <f t="shared" si="4"/>
        <v>1</v>
      </c>
      <c r="AC8" s="9">
        <f t="shared" si="5"/>
        <v>0.375</v>
      </c>
      <c r="AD8" s="10">
        <f t="shared" si="8"/>
        <v>0.375</v>
      </c>
      <c r="AE8" s="36">
        <f t="shared" si="6"/>
        <v>0.46500000000000002</v>
      </c>
      <c r="AF8" s="81">
        <f t="shared" si="7"/>
        <v>3</v>
      </c>
    </row>
    <row r="9" spans="1:32" ht="27" customHeight="1">
      <c r="A9" s="92">
        <v>3</v>
      </c>
      <c r="B9" s="11" t="s">
        <v>57</v>
      </c>
      <c r="C9" s="34" t="s">
        <v>112</v>
      </c>
      <c r="D9" s="52" t="s">
        <v>115</v>
      </c>
      <c r="E9" s="53" t="s">
        <v>877</v>
      </c>
      <c r="F9" s="30" t="s">
        <v>152</v>
      </c>
      <c r="G9" s="12">
        <v>1</v>
      </c>
      <c r="H9" s="13">
        <v>24</v>
      </c>
      <c r="I9" s="7">
        <v>500</v>
      </c>
      <c r="J9" s="14">
        <v>598</v>
      </c>
      <c r="K9" s="15">
        <f>L9</f>
        <v>598</v>
      </c>
      <c r="L9" s="15">
        <f>289+309</f>
        <v>598</v>
      </c>
      <c r="M9" s="15">
        <f t="shared" si="0"/>
        <v>598</v>
      </c>
      <c r="N9" s="15">
        <v>0</v>
      </c>
      <c r="O9" s="58">
        <f t="shared" si="1"/>
        <v>0</v>
      </c>
      <c r="P9" s="39">
        <f t="shared" si="2"/>
        <v>9</v>
      </c>
      <c r="Q9" s="40">
        <f t="shared" si="3"/>
        <v>15</v>
      </c>
      <c r="R9" s="7"/>
      <c r="S9" s="6">
        <v>15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0.375</v>
      </c>
      <c r="AD9" s="10">
        <f t="shared" si="8"/>
        <v>0.375</v>
      </c>
      <c r="AE9" s="36">
        <f t="shared" si="6"/>
        <v>0.46500000000000002</v>
      </c>
      <c r="AF9" s="81">
        <f t="shared" si="7"/>
        <v>3</v>
      </c>
    </row>
    <row r="10" spans="1:32" ht="27" customHeight="1">
      <c r="A10" s="92">
        <v>4</v>
      </c>
      <c r="B10" s="11" t="s">
        <v>57</v>
      </c>
      <c r="C10" s="34" t="s">
        <v>116</v>
      </c>
      <c r="D10" s="52" t="s">
        <v>115</v>
      </c>
      <c r="E10" s="53" t="s">
        <v>842</v>
      </c>
      <c r="F10" s="30" t="s">
        <v>135</v>
      </c>
      <c r="G10" s="12">
        <v>1</v>
      </c>
      <c r="H10" s="13">
        <v>24</v>
      </c>
      <c r="I10" s="7">
        <v>9000</v>
      </c>
      <c r="J10" s="14">
        <v>3293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8"/>
        <v>0</v>
      </c>
      <c r="AE10" s="36">
        <f t="shared" si="6"/>
        <v>0.46500000000000002</v>
      </c>
      <c r="AF10" s="81">
        <f t="shared" si="7"/>
        <v>4</v>
      </c>
    </row>
    <row r="11" spans="1:32" ht="27" customHeight="1">
      <c r="A11" s="92">
        <v>5</v>
      </c>
      <c r="B11" s="11" t="s">
        <v>57</v>
      </c>
      <c r="C11" s="11" t="s">
        <v>126</v>
      </c>
      <c r="D11" s="52" t="s">
        <v>843</v>
      </c>
      <c r="E11" s="53" t="s">
        <v>844</v>
      </c>
      <c r="F11" s="30" t="s">
        <v>148</v>
      </c>
      <c r="G11" s="33">
        <v>1</v>
      </c>
      <c r="H11" s="35">
        <v>24</v>
      </c>
      <c r="I11" s="7">
        <v>2500</v>
      </c>
      <c r="J11" s="14">
        <v>4126</v>
      </c>
      <c r="K11" s="15">
        <f>L11+4701</f>
        <v>8827</v>
      </c>
      <c r="L11" s="15">
        <f>1993+2133</f>
        <v>4126</v>
      </c>
      <c r="M11" s="15">
        <f t="shared" si="0"/>
        <v>4126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8"/>
        <v>1</v>
      </c>
      <c r="AE11" s="36">
        <f t="shared" si="6"/>
        <v>0.46500000000000002</v>
      </c>
      <c r="AF11" s="81">
        <f t="shared" si="7"/>
        <v>5</v>
      </c>
    </row>
    <row r="12" spans="1:32" ht="27" customHeight="1">
      <c r="A12" s="92">
        <v>6</v>
      </c>
      <c r="B12" s="11" t="s">
        <v>57</v>
      </c>
      <c r="C12" s="11" t="s">
        <v>116</v>
      </c>
      <c r="D12" s="52" t="s">
        <v>256</v>
      </c>
      <c r="E12" s="53" t="s">
        <v>845</v>
      </c>
      <c r="F12" s="30" t="s">
        <v>135</v>
      </c>
      <c r="G12" s="33">
        <v>1</v>
      </c>
      <c r="H12" s="35">
        <v>24</v>
      </c>
      <c r="I12" s="7">
        <v>22000</v>
      </c>
      <c r="J12" s="14">
        <v>873</v>
      </c>
      <c r="K12" s="15">
        <f>L12+1121</f>
        <v>1994</v>
      </c>
      <c r="L12" s="15">
        <f>457+416</f>
        <v>873</v>
      </c>
      <c r="M12" s="15">
        <f t="shared" si="0"/>
        <v>873</v>
      </c>
      <c r="N12" s="15">
        <v>0</v>
      </c>
      <c r="O12" s="58">
        <f t="shared" si="1"/>
        <v>0</v>
      </c>
      <c r="P12" s="39">
        <f t="shared" si="2"/>
        <v>5</v>
      </c>
      <c r="Q12" s="40">
        <f t="shared" si="3"/>
        <v>19</v>
      </c>
      <c r="R12" s="7"/>
      <c r="S12" s="6">
        <v>19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0.20833333333333334</v>
      </c>
      <c r="AD12" s="10">
        <f t="shared" si="8"/>
        <v>0.20833333333333334</v>
      </c>
      <c r="AE12" s="36">
        <f t="shared" si="6"/>
        <v>0.46500000000000002</v>
      </c>
      <c r="AF12" s="81">
        <f t="shared" si="7"/>
        <v>6</v>
      </c>
    </row>
    <row r="13" spans="1:32" ht="27" customHeight="1">
      <c r="A13" s="92">
        <v>7</v>
      </c>
      <c r="B13" s="11" t="s">
        <v>57</v>
      </c>
      <c r="C13" s="34" t="s">
        <v>116</v>
      </c>
      <c r="D13" s="52" t="s">
        <v>115</v>
      </c>
      <c r="E13" s="53" t="s">
        <v>691</v>
      </c>
      <c r="F13" s="30" t="s">
        <v>159</v>
      </c>
      <c r="G13" s="12">
        <v>2</v>
      </c>
      <c r="H13" s="13">
        <v>22</v>
      </c>
      <c r="I13" s="31">
        <v>71000</v>
      </c>
      <c r="J13" s="5">
        <v>9066</v>
      </c>
      <c r="K13" s="15">
        <f>L13+9138+9640+10002+9460+8804</f>
        <v>56110</v>
      </c>
      <c r="L13" s="15">
        <f>2404*2+2129*2</f>
        <v>9066</v>
      </c>
      <c r="M13" s="15">
        <f t="shared" si="0"/>
        <v>9066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0.46500000000000002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116</v>
      </c>
      <c r="D14" s="52" t="s">
        <v>147</v>
      </c>
      <c r="E14" s="53" t="s">
        <v>692</v>
      </c>
      <c r="F14" s="30" t="s">
        <v>730</v>
      </c>
      <c r="G14" s="33">
        <v>2</v>
      </c>
      <c r="H14" s="35">
        <v>22</v>
      </c>
      <c r="I14" s="7">
        <v>68000</v>
      </c>
      <c r="J14" s="14">
        <v>13532</v>
      </c>
      <c r="K14" s="15">
        <f>L14+10908+11004+14278+13894+14816</f>
        <v>78432</v>
      </c>
      <c r="L14" s="15">
        <f>3438*2+3328*2</f>
        <v>13532</v>
      </c>
      <c r="M14" s="15">
        <f t="shared" si="0"/>
        <v>13532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8"/>
        <v>1</v>
      </c>
      <c r="AE14" s="36">
        <f t="shared" si="6"/>
        <v>0.46500000000000002</v>
      </c>
      <c r="AF14" s="81">
        <f t="shared" si="7"/>
        <v>8</v>
      </c>
    </row>
    <row r="15" spans="1:32" ht="27" customHeight="1">
      <c r="A15" s="99">
        <v>9</v>
      </c>
      <c r="B15" s="11" t="s">
        <v>57</v>
      </c>
      <c r="C15" s="34" t="s">
        <v>112</v>
      </c>
      <c r="D15" s="52" t="s">
        <v>115</v>
      </c>
      <c r="E15" s="53" t="s">
        <v>810</v>
      </c>
      <c r="F15" s="30" t="s">
        <v>148</v>
      </c>
      <c r="G15" s="33">
        <v>1</v>
      </c>
      <c r="H15" s="35">
        <v>50</v>
      </c>
      <c r="I15" s="7">
        <v>300</v>
      </c>
      <c r="J15" s="5">
        <v>988</v>
      </c>
      <c r="K15" s="15">
        <f>L15</f>
        <v>988</v>
      </c>
      <c r="L15" s="15">
        <f>567+421</f>
        <v>988</v>
      </c>
      <c r="M15" s="15">
        <f t="shared" si="0"/>
        <v>988</v>
      </c>
      <c r="N15" s="15">
        <v>0</v>
      </c>
      <c r="O15" s="58">
        <f t="shared" si="1"/>
        <v>0</v>
      </c>
      <c r="P15" s="39">
        <f t="shared" si="2"/>
        <v>16</v>
      </c>
      <c r="Q15" s="40">
        <f t="shared" si="3"/>
        <v>8</v>
      </c>
      <c r="R15" s="7"/>
      <c r="S15" s="6">
        <v>6</v>
      </c>
      <c r="T15" s="16"/>
      <c r="U15" s="16"/>
      <c r="V15" s="17"/>
      <c r="W15" s="5">
        <v>2</v>
      </c>
      <c r="X15" s="16"/>
      <c r="Y15" s="16"/>
      <c r="Z15" s="16"/>
      <c r="AA15" s="18"/>
      <c r="AB15" s="8">
        <f t="shared" si="4"/>
        <v>1</v>
      </c>
      <c r="AC15" s="9">
        <f t="shared" si="5"/>
        <v>0.66666666666666663</v>
      </c>
      <c r="AD15" s="10">
        <f t="shared" si="8"/>
        <v>0.66666666666666663</v>
      </c>
      <c r="AE15" s="36">
        <f t="shared" si="6"/>
        <v>0.46500000000000002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575</v>
      </c>
      <c r="D16" s="52" t="s">
        <v>822</v>
      </c>
      <c r="E16" s="53" t="s">
        <v>823</v>
      </c>
      <c r="F16" s="30" t="s">
        <v>824</v>
      </c>
      <c r="G16" s="12">
        <v>4</v>
      </c>
      <c r="H16" s="13">
        <v>24</v>
      </c>
      <c r="I16" s="31">
        <v>157200</v>
      </c>
      <c r="J16" s="14">
        <v>23616</v>
      </c>
      <c r="K16" s="15">
        <f>L16+15076+24324</f>
        <v>63016</v>
      </c>
      <c r="L16" s="15">
        <f>3144*4+2760*4</f>
        <v>23616</v>
      </c>
      <c r="M16" s="15">
        <f t="shared" si="0"/>
        <v>23616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0.46500000000000002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197</v>
      </c>
      <c r="E17" s="53" t="s">
        <v>366</v>
      </c>
      <c r="F17" s="30" t="s">
        <v>123</v>
      </c>
      <c r="G17" s="12">
        <v>2</v>
      </c>
      <c r="H17" s="13">
        <v>22</v>
      </c>
      <c r="I17" s="31">
        <v>260000</v>
      </c>
      <c r="J17" s="5">
        <v>10714</v>
      </c>
      <c r="K17" s="15">
        <f>L17+9350+9873+10572+11420+9694+7670+11372+10884+8431+5890+10900+11458+11552+11940+10862+11588</f>
        <v>174170</v>
      </c>
      <c r="L17" s="15">
        <f>2865*2+2492*2</f>
        <v>10714</v>
      </c>
      <c r="M17" s="15">
        <f t="shared" si="0"/>
        <v>10714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0.46500000000000002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334</v>
      </c>
      <c r="D18" s="52"/>
      <c r="E18" s="53" t="s">
        <v>331</v>
      </c>
      <c r="F18" s="30" t="s">
        <v>183</v>
      </c>
      <c r="G18" s="12">
        <v>1</v>
      </c>
      <c r="H18" s="13">
        <v>24</v>
      </c>
      <c r="I18" s="7">
        <v>600</v>
      </c>
      <c r="J18" s="14">
        <v>600</v>
      </c>
      <c r="K18" s="15">
        <f>L18+600</f>
        <v>600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8"/>
        <v>0</v>
      </c>
      <c r="AE18" s="36">
        <f t="shared" si="6"/>
        <v>0.46500000000000002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116</v>
      </c>
      <c r="D19" s="52" t="s">
        <v>115</v>
      </c>
      <c r="E19" s="53" t="s">
        <v>371</v>
      </c>
      <c r="F19" s="30" t="s">
        <v>135</v>
      </c>
      <c r="G19" s="12">
        <v>2</v>
      </c>
      <c r="H19" s="13">
        <v>22</v>
      </c>
      <c r="I19" s="31">
        <v>260000</v>
      </c>
      <c r="J19" s="5">
        <v>10656</v>
      </c>
      <c r="K19" s="15">
        <f>L19+10480+11444+11648+11082+10368+10658+11130+11168+12108+9740+10720+10498+11286+11772+11032+11242</f>
        <v>187032</v>
      </c>
      <c r="L19" s="15">
        <f>2828*2+2500*2</f>
        <v>10656</v>
      </c>
      <c r="M19" s="15">
        <f t="shared" si="0"/>
        <v>10656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0.46500000000000002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126</v>
      </c>
      <c r="D20" s="52" t="s">
        <v>246</v>
      </c>
      <c r="E20" s="53" t="s">
        <v>878</v>
      </c>
      <c r="F20" s="30" t="s">
        <v>148</v>
      </c>
      <c r="G20" s="33">
        <v>1</v>
      </c>
      <c r="H20" s="35">
        <v>24</v>
      </c>
      <c r="I20" s="7">
        <v>2500</v>
      </c>
      <c r="J20" s="14">
        <v>4563</v>
      </c>
      <c r="K20" s="15">
        <f>L20</f>
        <v>4563</v>
      </c>
      <c r="L20" s="15">
        <f>2019+2544</f>
        <v>4563</v>
      </c>
      <c r="M20" s="15">
        <f t="shared" si="0"/>
        <v>4563</v>
      </c>
      <c r="N20" s="15">
        <v>0</v>
      </c>
      <c r="O20" s="58">
        <f t="shared" si="1"/>
        <v>0</v>
      </c>
      <c r="P20" s="39">
        <f t="shared" si="2"/>
        <v>22</v>
      </c>
      <c r="Q20" s="40">
        <f t="shared" si="3"/>
        <v>2</v>
      </c>
      <c r="R20" s="7"/>
      <c r="S20" s="6">
        <v>2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0.91666666666666663</v>
      </c>
      <c r="AD20" s="10">
        <f t="shared" si="8"/>
        <v>0.91666666666666663</v>
      </c>
      <c r="AE20" s="36">
        <f t="shared" si="6"/>
        <v>0.46500000000000002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116</v>
      </c>
      <c r="D21" s="52" t="s">
        <v>147</v>
      </c>
      <c r="E21" s="53" t="s">
        <v>846</v>
      </c>
      <c r="F21" s="30" t="s">
        <v>788</v>
      </c>
      <c r="G21" s="33">
        <v>1</v>
      </c>
      <c r="H21" s="35">
        <v>24</v>
      </c>
      <c r="I21" s="7">
        <v>22000</v>
      </c>
      <c r="J21" s="14">
        <v>5211</v>
      </c>
      <c r="K21" s="15">
        <f>L21+5062</f>
        <v>10273</v>
      </c>
      <c r="L21" s="15">
        <f>2448+2763</f>
        <v>5211</v>
      </c>
      <c r="M21" s="15">
        <f t="shared" si="0"/>
        <v>5211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0.46500000000000002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352</v>
      </c>
      <c r="F22" s="12" t="s">
        <v>114</v>
      </c>
      <c r="G22" s="12">
        <v>4</v>
      </c>
      <c r="H22" s="35">
        <v>20</v>
      </c>
      <c r="I22" s="7">
        <v>2000000</v>
      </c>
      <c r="J22" s="14">
        <v>57732</v>
      </c>
      <c r="K22" s="15">
        <f>L22+64424+64620+22548+54104+64632+65016+67504+61284</f>
        <v>521864</v>
      </c>
      <c r="L22" s="15">
        <f>6302*4+8131*4</f>
        <v>57732</v>
      </c>
      <c r="M22" s="15">
        <f t="shared" si="0"/>
        <v>57732</v>
      </c>
      <c r="N22" s="15">
        <v>0</v>
      </c>
      <c r="O22" s="58">
        <f t="shared" si="1"/>
        <v>0</v>
      </c>
      <c r="P22" s="39">
        <f t="shared" si="2"/>
        <v>22</v>
      </c>
      <c r="Q22" s="40">
        <f t="shared" si="3"/>
        <v>2</v>
      </c>
      <c r="R22" s="7"/>
      <c r="S22" s="6">
        <v>2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0.91666666666666663</v>
      </c>
      <c r="AD22" s="10">
        <f t="shared" si="8"/>
        <v>0.91666666666666663</v>
      </c>
      <c r="AE22" s="36">
        <f t="shared" si="6"/>
        <v>0.46500000000000002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0.46500000000000002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353</v>
      </c>
      <c r="F24" s="12" t="s">
        <v>180</v>
      </c>
      <c r="G24" s="12">
        <v>4</v>
      </c>
      <c r="H24" s="35">
        <v>15</v>
      </c>
      <c r="I24" s="7">
        <v>20000</v>
      </c>
      <c r="J24" s="14">
        <v>24024</v>
      </c>
      <c r="K24" s="15">
        <f>L24+14040+7084+2888+25304+4864+24024</f>
        <v>78204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/>
      <c r="X24" s="16"/>
      <c r="Y24" s="16"/>
      <c r="Z24" s="16"/>
      <c r="AA24" s="18">
        <v>24</v>
      </c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0.46500000000000002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0.46500000000000002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30</v>
      </c>
      <c r="H26" s="35">
        <v>20</v>
      </c>
      <c r="I26" s="7">
        <v>2000000</v>
      </c>
      <c r="J26" s="14">
        <v>189476</v>
      </c>
      <c r="K26" s="15">
        <f>L26+322260+481964+478184+484736+189476</f>
        <v>1956620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0.46500000000000002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115</v>
      </c>
      <c r="E27" s="53" t="s">
        <v>414</v>
      </c>
      <c r="F27" s="12" t="s">
        <v>135</v>
      </c>
      <c r="G27" s="12">
        <v>3</v>
      </c>
      <c r="H27" s="35">
        <v>20</v>
      </c>
      <c r="I27" s="7">
        <v>130000</v>
      </c>
      <c r="J27" s="14">
        <v>15393</v>
      </c>
      <c r="K27" s="15">
        <f>L27+15220+23840+22923+6507+15501+18108+17847+18078+15393</f>
        <v>153417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0.46500000000000002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197</v>
      </c>
      <c r="E28" s="53" t="s">
        <v>415</v>
      </c>
      <c r="F28" s="12" t="s">
        <v>124</v>
      </c>
      <c r="G28" s="12">
        <v>4</v>
      </c>
      <c r="H28" s="35">
        <v>20</v>
      </c>
      <c r="I28" s="7">
        <v>130000</v>
      </c>
      <c r="J28" s="14">
        <v>24332</v>
      </c>
      <c r="K28" s="15">
        <f>L28+15632+12648+1958+21292+27256+2770+24332</f>
        <v>105888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0.46500000000000002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416</v>
      </c>
      <c r="F29" s="12" t="s">
        <v>124</v>
      </c>
      <c r="G29" s="12">
        <v>4</v>
      </c>
      <c r="H29" s="35">
        <v>20</v>
      </c>
      <c r="I29" s="7">
        <v>130000</v>
      </c>
      <c r="J29" s="14">
        <v>26116</v>
      </c>
      <c r="K29" s="15">
        <f>L29+27916+29980+10704+25528+29800+29376+29736+26116</f>
        <v>209156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0.46500000000000002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0.46500000000000002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9">SUM(I6:I30)</f>
        <v>6364100</v>
      </c>
      <c r="J31" s="19">
        <f t="shared" si="9"/>
        <v>533008</v>
      </c>
      <c r="K31" s="20">
        <f t="shared" si="9"/>
        <v>4340113</v>
      </c>
      <c r="L31" s="21">
        <f t="shared" si="9"/>
        <v>148146</v>
      </c>
      <c r="M31" s="20">
        <f t="shared" si="9"/>
        <v>148146</v>
      </c>
      <c r="N31" s="21">
        <f t="shared" si="9"/>
        <v>0</v>
      </c>
      <c r="O31" s="41">
        <f t="shared" si="1"/>
        <v>0</v>
      </c>
      <c r="P31" s="42">
        <f t="shared" ref="P31:AA31" si="10">SUM(P6:P30)</f>
        <v>279</v>
      </c>
      <c r="Q31" s="43">
        <f t="shared" si="10"/>
        <v>321</v>
      </c>
      <c r="R31" s="23">
        <f t="shared" si="10"/>
        <v>0</v>
      </c>
      <c r="S31" s="24">
        <f t="shared" si="10"/>
        <v>73</v>
      </c>
      <c r="T31" s="24">
        <f t="shared" si="10"/>
        <v>0</v>
      </c>
      <c r="U31" s="24">
        <f t="shared" si="10"/>
        <v>0</v>
      </c>
      <c r="V31" s="25">
        <f t="shared" si="10"/>
        <v>48</v>
      </c>
      <c r="W31" s="26">
        <f t="shared" si="10"/>
        <v>176</v>
      </c>
      <c r="X31" s="27">
        <f t="shared" si="10"/>
        <v>0</v>
      </c>
      <c r="Y31" s="27">
        <f t="shared" si="10"/>
        <v>0</v>
      </c>
      <c r="Z31" s="27">
        <f t="shared" si="10"/>
        <v>0</v>
      </c>
      <c r="AA31" s="27">
        <f t="shared" si="10"/>
        <v>24</v>
      </c>
      <c r="AB31" s="28">
        <f>AVERAGE(AB6:AB30)</f>
        <v>0.625</v>
      </c>
      <c r="AC31" s="4">
        <f>AVERAGE(AC6:AC30)</f>
        <v>0.46500000000000002</v>
      </c>
      <c r="AD31" s="4">
        <f>AVERAGE(AD6:AD30)</f>
        <v>0.46500000000000002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 ht="7.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 ht="7.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 ht="7.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 ht="7.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 ht="7.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 ht="7.5" customHeight="1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 ht="7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 ht="7.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 ht="7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7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7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7.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7.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7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12" customHeight="1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12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12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12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12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12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2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2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2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879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885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360" t="s">
        <v>46</v>
      </c>
      <c r="D60" s="360" t="s">
        <v>47</v>
      </c>
      <c r="E60" s="360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360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112</v>
      </c>
      <c r="B61" s="431"/>
      <c r="C61" s="356" t="s">
        <v>146</v>
      </c>
      <c r="D61" s="356" t="s">
        <v>115</v>
      </c>
      <c r="E61" s="357" t="s">
        <v>854</v>
      </c>
      <c r="F61" s="432" t="s">
        <v>260</v>
      </c>
      <c r="G61" s="433"/>
      <c r="H61" s="433"/>
      <c r="I61" s="433"/>
      <c r="J61" s="433"/>
      <c r="K61" s="433"/>
      <c r="L61" s="433"/>
      <c r="M61" s="434"/>
      <c r="N61" s="141" t="s">
        <v>112</v>
      </c>
      <c r="O61" s="354" t="s">
        <v>146</v>
      </c>
      <c r="P61" s="447" t="s">
        <v>115</v>
      </c>
      <c r="Q61" s="448"/>
      <c r="R61" s="447" t="s">
        <v>854</v>
      </c>
      <c r="S61" s="449"/>
      <c r="T61" s="449"/>
      <c r="U61" s="448"/>
      <c r="V61" s="436" t="s">
        <v>141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116</v>
      </c>
      <c r="B62" s="431"/>
      <c r="C62" s="356" t="s">
        <v>142</v>
      </c>
      <c r="D62" s="356" t="s">
        <v>115</v>
      </c>
      <c r="E62" s="357" t="s">
        <v>831</v>
      </c>
      <c r="F62" s="432" t="s">
        <v>230</v>
      </c>
      <c r="G62" s="433"/>
      <c r="H62" s="433"/>
      <c r="I62" s="433"/>
      <c r="J62" s="433"/>
      <c r="K62" s="433"/>
      <c r="L62" s="433"/>
      <c r="M62" s="434"/>
      <c r="N62" s="141" t="s">
        <v>116</v>
      </c>
      <c r="O62" s="364" t="s">
        <v>146</v>
      </c>
      <c r="P62" s="447" t="s">
        <v>115</v>
      </c>
      <c r="Q62" s="448"/>
      <c r="R62" s="447" t="s">
        <v>831</v>
      </c>
      <c r="S62" s="449"/>
      <c r="T62" s="449"/>
      <c r="U62" s="448"/>
      <c r="V62" s="436" t="s">
        <v>141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112</v>
      </c>
      <c r="B63" s="431"/>
      <c r="C63" s="356" t="s">
        <v>146</v>
      </c>
      <c r="D63" s="356" t="s">
        <v>115</v>
      </c>
      <c r="E63" s="363" t="s">
        <v>195</v>
      </c>
      <c r="F63" s="432" t="s">
        <v>880</v>
      </c>
      <c r="G63" s="433"/>
      <c r="H63" s="433"/>
      <c r="I63" s="433"/>
      <c r="J63" s="433"/>
      <c r="K63" s="433"/>
      <c r="L63" s="433"/>
      <c r="M63" s="434"/>
      <c r="N63" s="141" t="s">
        <v>112</v>
      </c>
      <c r="O63" s="354" t="s">
        <v>442</v>
      </c>
      <c r="P63" s="447" t="s">
        <v>149</v>
      </c>
      <c r="Q63" s="448"/>
      <c r="R63" s="447" t="s">
        <v>886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112</v>
      </c>
      <c r="B64" s="431"/>
      <c r="C64" s="356" t="s">
        <v>219</v>
      </c>
      <c r="D64" s="356" t="s">
        <v>115</v>
      </c>
      <c r="E64" s="357" t="s">
        <v>810</v>
      </c>
      <c r="F64" s="432" t="s">
        <v>460</v>
      </c>
      <c r="G64" s="433"/>
      <c r="H64" s="433"/>
      <c r="I64" s="433"/>
      <c r="J64" s="433"/>
      <c r="K64" s="433"/>
      <c r="L64" s="433"/>
      <c r="M64" s="434"/>
      <c r="N64" s="141" t="s">
        <v>116</v>
      </c>
      <c r="O64" s="354" t="s">
        <v>166</v>
      </c>
      <c r="P64" s="447" t="s">
        <v>256</v>
      </c>
      <c r="Q64" s="448"/>
      <c r="R64" s="447" t="s">
        <v>834</v>
      </c>
      <c r="S64" s="449"/>
      <c r="T64" s="449"/>
      <c r="U64" s="448"/>
      <c r="V64" s="436" t="s">
        <v>141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126</v>
      </c>
      <c r="B65" s="431"/>
      <c r="C65" s="356" t="s">
        <v>208</v>
      </c>
      <c r="D65" s="356" t="s">
        <v>246</v>
      </c>
      <c r="E65" s="357" t="s">
        <v>878</v>
      </c>
      <c r="F65" s="432" t="s">
        <v>759</v>
      </c>
      <c r="G65" s="433"/>
      <c r="H65" s="433"/>
      <c r="I65" s="433"/>
      <c r="J65" s="433"/>
      <c r="K65" s="433"/>
      <c r="L65" s="433"/>
      <c r="M65" s="434"/>
      <c r="N65" s="141" t="s">
        <v>112</v>
      </c>
      <c r="O65" s="354" t="s">
        <v>856</v>
      </c>
      <c r="P65" s="447" t="s">
        <v>115</v>
      </c>
      <c r="Q65" s="448"/>
      <c r="R65" s="447" t="s">
        <v>887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116</v>
      </c>
      <c r="B66" s="431"/>
      <c r="C66" s="362" t="s">
        <v>166</v>
      </c>
      <c r="D66" s="362" t="s">
        <v>256</v>
      </c>
      <c r="E66" s="363" t="s">
        <v>834</v>
      </c>
      <c r="F66" s="432" t="s">
        <v>881</v>
      </c>
      <c r="G66" s="433"/>
      <c r="H66" s="433"/>
      <c r="I66" s="433"/>
      <c r="J66" s="433"/>
      <c r="K66" s="433"/>
      <c r="L66" s="433"/>
      <c r="M66" s="434"/>
      <c r="N66" s="141" t="s">
        <v>112</v>
      </c>
      <c r="O66" s="354" t="s">
        <v>889</v>
      </c>
      <c r="P66" s="447" t="s">
        <v>890</v>
      </c>
      <c r="Q66" s="448"/>
      <c r="R66" s="447" t="s">
        <v>888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883</v>
      </c>
      <c r="B67" s="431"/>
      <c r="C67" s="356" t="s">
        <v>884</v>
      </c>
      <c r="D67" s="356"/>
      <c r="E67" s="357" t="s">
        <v>882</v>
      </c>
      <c r="F67" s="432" t="s">
        <v>141</v>
      </c>
      <c r="G67" s="433"/>
      <c r="H67" s="433"/>
      <c r="I67" s="433"/>
      <c r="J67" s="433"/>
      <c r="K67" s="433"/>
      <c r="L67" s="433"/>
      <c r="M67" s="434"/>
      <c r="N67" s="141" t="s">
        <v>892</v>
      </c>
      <c r="O67" s="354" t="s">
        <v>893</v>
      </c>
      <c r="P67" s="447" t="s">
        <v>894</v>
      </c>
      <c r="Q67" s="448"/>
      <c r="R67" s="447" t="s">
        <v>891</v>
      </c>
      <c r="S67" s="449"/>
      <c r="T67" s="449"/>
      <c r="U67" s="448"/>
      <c r="V67" s="436" t="s">
        <v>154</v>
      </c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356"/>
      <c r="D68" s="356"/>
      <c r="E68" s="357"/>
      <c r="F68" s="432"/>
      <c r="G68" s="433"/>
      <c r="H68" s="433"/>
      <c r="I68" s="433"/>
      <c r="J68" s="433"/>
      <c r="K68" s="433"/>
      <c r="L68" s="433"/>
      <c r="M68" s="434"/>
      <c r="N68" s="141"/>
      <c r="O68" s="354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/>
      <c r="B69" s="431"/>
      <c r="C69" s="356"/>
      <c r="D69" s="356"/>
      <c r="E69" s="357"/>
      <c r="F69" s="432"/>
      <c r="G69" s="433"/>
      <c r="H69" s="433"/>
      <c r="I69" s="433"/>
      <c r="J69" s="433"/>
      <c r="K69" s="433"/>
      <c r="L69" s="433"/>
      <c r="M69" s="434"/>
      <c r="N69" s="141"/>
      <c r="O69" s="354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358"/>
      <c r="D70" s="359"/>
      <c r="E70" s="358"/>
      <c r="F70" s="490"/>
      <c r="G70" s="491"/>
      <c r="H70" s="491"/>
      <c r="I70" s="491"/>
      <c r="J70" s="491"/>
      <c r="K70" s="491"/>
      <c r="L70" s="491"/>
      <c r="M70" s="492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895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355" t="s">
        <v>2</v>
      </c>
      <c r="D72" s="355" t="s">
        <v>37</v>
      </c>
      <c r="E72" s="355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355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898</v>
      </c>
      <c r="D73" s="350"/>
      <c r="E73" s="353" t="s">
        <v>899</v>
      </c>
      <c r="F73" s="416" t="s">
        <v>896</v>
      </c>
      <c r="G73" s="406"/>
      <c r="H73" s="406"/>
      <c r="I73" s="406"/>
      <c r="J73" s="406"/>
      <c r="K73" s="406" t="s">
        <v>900</v>
      </c>
      <c r="L73" s="406"/>
      <c r="M73" s="51" t="s">
        <v>901</v>
      </c>
      <c r="N73" s="417" t="s">
        <v>902</v>
      </c>
      <c r="O73" s="417"/>
      <c r="P73" s="418">
        <v>50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 t="s">
        <v>903</v>
      </c>
      <c r="D74" s="350"/>
      <c r="E74" s="353" t="s">
        <v>904</v>
      </c>
      <c r="F74" s="420" t="s">
        <v>897</v>
      </c>
      <c r="G74" s="421"/>
      <c r="H74" s="421"/>
      <c r="I74" s="421"/>
      <c r="J74" s="422"/>
      <c r="K74" s="406" t="s">
        <v>905</v>
      </c>
      <c r="L74" s="406"/>
      <c r="M74" s="51" t="s">
        <v>906</v>
      </c>
      <c r="N74" s="417" t="s">
        <v>907</v>
      </c>
      <c r="O74" s="417"/>
      <c r="P74" s="418">
        <v>100</v>
      </c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 t="s">
        <v>898</v>
      </c>
      <c r="D75" s="350"/>
      <c r="E75" s="353" t="s">
        <v>890</v>
      </c>
      <c r="F75" s="416" t="s">
        <v>908</v>
      </c>
      <c r="G75" s="406"/>
      <c r="H75" s="406"/>
      <c r="I75" s="406"/>
      <c r="J75" s="406"/>
      <c r="K75" s="406" t="s">
        <v>909</v>
      </c>
      <c r="L75" s="406"/>
      <c r="M75" s="51" t="s">
        <v>901</v>
      </c>
      <c r="N75" s="417" t="s">
        <v>910</v>
      </c>
      <c r="O75" s="417"/>
      <c r="P75" s="418">
        <v>2000</v>
      </c>
      <c r="Q75" s="418"/>
      <c r="R75" s="419" t="s">
        <v>911</v>
      </c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/>
      <c r="D76" s="350"/>
      <c r="E76" s="353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/>
      <c r="D77" s="350"/>
      <c r="E77" s="353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350"/>
      <c r="E78" s="353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350"/>
      <c r="E79" s="353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350"/>
      <c r="E80" s="353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350"/>
      <c r="E81" s="353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350"/>
      <c r="E82" s="353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912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352" t="s">
        <v>2</v>
      </c>
      <c r="D84" s="352" t="s">
        <v>37</v>
      </c>
      <c r="E84" s="352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351"/>
      <c r="D85" s="351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350"/>
      <c r="D86" s="350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1">A86+1</f>
        <v>3</v>
      </c>
      <c r="B87" s="374"/>
      <c r="C87" s="350"/>
      <c r="D87" s="350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1"/>
        <v>4</v>
      </c>
      <c r="B88" s="374"/>
      <c r="C88" s="350"/>
      <c r="D88" s="350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1"/>
        <v>5</v>
      </c>
      <c r="B89" s="374"/>
      <c r="C89" s="350"/>
      <c r="D89" s="350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1"/>
        <v>6</v>
      </c>
      <c r="B90" s="374"/>
      <c r="C90" s="350"/>
      <c r="D90" s="350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1"/>
        <v>7</v>
      </c>
      <c r="B91" s="374"/>
      <c r="C91" s="350"/>
      <c r="D91" s="350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913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6" max="29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28"/>
  <sheetViews>
    <sheetView view="pageBreakPreview" zoomScaleNormal="100" zoomScaleSheetLayoutView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X44" sqref="X44"/>
    </sheetView>
  </sheetViews>
  <sheetFormatPr defaultRowHeight="13.5"/>
  <cols>
    <col min="1" max="1" width="7.5" style="68" bestFit="1" customWidth="1"/>
    <col min="2" max="17" width="5.5" style="68" bestFit="1" customWidth="1"/>
    <col min="18" max="18" width="6" style="68" customWidth="1"/>
    <col min="19" max="32" width="5.5" style="68" bestFit="1" customWidth="1"/>
    <col min="33" max="33" width="6.5" style="68" bestFit="1" customWidth="1"/>
    <col min="34" max="16384" width="9" style="68"/>
  </cols>
  <sheetData>
    <row r="1" spans="1:33" ht="33.75" customHeight="1" thickBot="1">
      <c r="A1" s="493" t="s">
        <v>222</v>
      </c>
      <c r="B1" s="493"/>
      <c r="C1" s="493"/>
      <c r="D1" s="493"/>
      <c r="E1" s="493"/>
      <c r="F1" s="493"/>
      <c r="G1" s="493"/>
      <c r="H1" s="493"/>
    </row>
    <row r="2" spans="1:33" ht="21.75" customHeight="1" thickBot="1">
      <c r="A2" s="83" t="s">
        <v>59</v>
      </c>
      <c r="B2" s="85" t="s">
        <v>73</v>
      </c>
      <c r="C2" s="86" t="s">
        <v>74</v>
      </c>
      <c r="D2" s="86" t="s">
        <v>75</v>
      </c>
      <c r="E2" s="86" t="s">
        <v>76</v>
      </c>
      <c r="F2" s="86" t="s">
        <v>77</v>
      </c>
      <c r="G2" s="86" t="s">
        <v>78</v>
      </c>
      <c r="H2" s="86" t="s">
        <v>79</v>
      </c>
      <c r="I2" s="86" t="s">
        <v>80</v>
      </c>
      <c r="J2" s="86" t="s">
        <v>81</v>
      </c>
      <c r="K2" s="86" t="s">
        <v>82</v>
      </c>
      <c r="L2" s="86" t="s">
        <v>83</v>
      </c>
      <c r="M2" s="86" t="s">
        <v>84</v>
      </c>
      <c r="N2" s="86" t="s">
        <v>85</v>
      </c>
      <c r="O2" s="86" t="s">
        <v>86</v>
      </c>
      <c r="P2" s="86" t="s">
        <v>87</v>
      </c>
      <c r="Q2" s="86" t="s">
        <v>88</v>
      </c>
      <c r="R2" s="86" t="s">
        <v>89</v>
      </c>
      <c r="S2" s="86" t="s">
        <v>90</v>
      </c>
      <c r="T2" s="86" t="s">
        <v>91</v>
      </c>
      <c r="U2" s="86" t="s">
        <v>92</v>
      </c>
      <c r="V2" s="86" t="s">
        <v>93</v>
      </c>
      <c r="W2" s="86" t="s">
        <v>94</v>
      </c>
      <c r="X2" s="86" t="s">
        <v>95</v>
      </c>
      <c r="Y2" s="86" t="s">
        <v>96</v>
      </c>
      <c r="Z2" s="86" t="s">
        <v>97</v>
      </c>
      <c r="AA2" s="86" t="s">
        <v>98</v>
      </c>
      <c r="AB2" s="86" t="s">
        <v>99</v>
      </c>
      <c r="AC2" s="86" t="s">
        <v>100</v>
      </c>
      <c r="AD2" s="86" t="s">
        <v>101</v>
      </c>
      <c r="AE2" s="86" t="s">
        <v>102</v>
      </c>
      <c r="AF2" s="87" t="s">
        <v>103</v>
      </c>
      <c r="AG2" s="83" t="s">
        <v>105</v>
      </c>
    </row>
    <row r="3" spans="1:33" ht="21.75" customHeight="1">
      <c r="A3" s="107" t="s">
        <v>60</v>
      </c>
      <c r="B3" s="108">
        <f>'01'!AD6</f>
        <v>0.875</v>
      </c>
      <c r="C3" s="108">
        <f>'02'!AD6</f>
        <v>0.95833333333333337</v>
      </c>
      <c r="D3" s="109">
        <f>'03'!AD6</f>
        <v>0.41666666666666669</v>
      </c>
      <c r="E3" s="109">
        <f>'04'!AD6</f>
        <v>3.7361814831874716</v>
      </c>
      <c r="F3" s="109">
        <f>'05'!AD6</f>
        <v>0.41666666666666669</v>
      </c>
      <c r="G3" s="109"/>
      <c r="H3" s="109"/>
      <c r="I3" s="109">
        <f>'08'!AD6</f>
        <v>1</v>
      </c>
      <c r="J3" s="109">
        <f>'09'!AD6</f>
        <v>0.91666666666666663</v>
      </c>
      <c r="K3" s="109">
        <f>'10'!AD6</f>
        <v>0</v>
      </c>
      <c r="L3" s="109">
        <f>'11'!AD6</f>
        <v>0</v>
      </c>
      <c r="M3" s="109">
        <f>'12'!AD6</f>
        <v>0</v>
      </c>
      <c r="N3" s="110"/>
      <c r="O3" s="109"/>
      <c r="P3" s="109">
        <f>'15'!AD6</f>
        <v>0.66666666666666663</v>
      </c>
      <c r="Q3" s="109">
        <f>'16'!AD6</f>
        <v>0</v>
      </c>
      <c r="R3" s="109">
        <f>'17'!AD6</f>
        <v>0.75</v>
      </c>
      <c r="S3" s="109">
        <f>'18'!AD6</f>
        <v>0.66666666666666663</v>
      </c>
      <c r="T3" s="109">
        <f>'19'!AD6</f>
        <v>1</v>
      </c>
      <c r="U3" s="109"/>
      <c r="V3" s="109"/>
      <c r="W3" s="110">
        <f>'22'!AD6</f>
        <v>1</v>
      </c>
      <c r="X3" s="110">
        <f>'23'!AD6</f>
        <v>0.16666666666666666</v>
      </c>
      <c r="Y3" s="109">
        <f>'24'!AD6</f>
        <v>0</v>
      </c>
      <c r="Z3" s="109">
        <f>'25'!AD6</f>
        <v>0.83333333333333337</v>
      </c>
      <c r="AA3" s="109">
        <f>'26'!AD6</f>
        <v>1</v>
      </c>
      <c r="AB3" s="109"/>
      <c r="AC3" s="109"/>
      <c r="AD3" s="109">
        <f>'29'!AD6</f>
        <v>0.83333333333333337</v>
      </c>
      <c r="AE3" s="109">
        <f>'30'!AD6</f>
        <v>1</v>
      </c>
      <c r="AF3" s="111"/>
      <c r="AG3" s="112">
        <f>SUM(B3:AF3)/30</f>
        <v>0.54120604943958239</v>
      </c>
    </row>
    <row r="4" spans="1:33" ht="21.75" customHeight="1">
      <c r="A4" s="95" t="s">
        <v>61</v>
      </c>
      <c r="B4" s="93">
        <f>'01'!AD7</f>
        <v>0</v>
      </c>
      <c r="C4" s="93">
        <f>'02'!AD7+'02'!AD8</f>
        <v>0.91666666666666663</v>
      </c>
      <c r="D4" s="74">
        <f>'03'!AD7</f>
        <v>1</v>
      </c>
      <c r="E4" s="74">
        <f>'04'!AD7</f>
        <v>1</v>
      </c>
      <c r="F4" s="74">
        <f>'05'!AD7</f>
        <v>1</v>
      </c>
      <c r="G4" s="113"/>
      <c r="H4" s="74"/>
      <c r="I4" s="74">
        <f>'08'!AD7</f>
        <v>1</v>
      </c>
      <c r="J4" s="74">
        <f>'09'!AD7</f>
        <v>1</v>
      </c>
      <c r="K4" s="74">
        <f>'10'!AD7</f>
        <v>0.625</v>
      </c>
      <c r="L4" s="74">
        <f>'11'!AD7</f>
        <v>0.16666666666666666</v>
      </c>
      <c r="M4" s="74">
        <f>'12'!AD7</f>
        <v>0</v>
      </c>
      <c r="N4" s="74"/>
      <c r="O4" s="74"/>
      <c r="P4" s="74">
        <f>'15'!AD7</f>
        <v>0</v>
      </c>
      <c r="Q4" s="74">
        <f>'16'!AD7</f>
        <v>0</v>
      </c>
      <c r="R4" s="74">
        <f>'17'!AD7</f>
        <v>0.33333333333333331</v>
      </c>
      <c r="S4" s="74">
        <f>'18'!AD7</f>
        <v>0</v>
      </c>
      <c r="T4" s="74">
        <f>'19'!AD7</f>
        <v>0</v>
      </c>
      <c r="U4" s="74"/>
      <c r="V4" s="74"/>
      <c r="W4" s="74">
        <f>'22'!AD7</f>
        <v>0</v>
      </c>
      <c r="X4" s="74">
        <f>'23'!AD7</f>
        <v>0.20833333333333334</v>
      </c>
      <c r="Y4" s="74">
        <f>'24'!AD7</f>
        <v>0.875</v>
      </c>
      <c r="Z4" s="74">
        <f>'25'!AD7</f>
        <v>1</v>
      </c>
      <c r="AA4" s="74">
        <f>'26'!AD7</f>
        <v>0.58333333333333337</v>
      </c>
      <c r="AB4" s="74"/>
      <c r="AC4" s="74"/>
      <c r="AD4" s="74">
        <f>'29'!AD7</f>
        <v>1</v>
      </c>
      <c r="AE4" s="74">
        <f>'30'!AD7</f>
        <v>0.16666666666666666</v>
      </c>
      <c r="AF4" s="75"/>
      <c r="AG4" s="76">
        <f t="shared" ref="AG4:AG27" si="0">SUM(B4:AF4)/30</f>
        <v>0.36249999999999999</v>
      </c>
    </row>
    <row r="5" spans="1:33" ht="21.75" customHeight="1">
      <c r="A5" s="95" t="s">
        <v>62</v>
      </c>
      <c r="B5" s="93">
        <f>'01'!AD8</f>
        <v>0.625</v>
      </c>
      <c r="C5" s="93">
        <f>'02'!AD9</f>
        <v>1</v>
      </c>
      <c r="D5" s="74">
        <f>'03'!AD8</f>
        <v>0.79166666666666663</v>
      </c>
      <c r="E5" s="74">
        <f>'04'!AD8</f>
        <v>0.16666666666666666</v>
      </c>
      <c r="F5" s="74">
        <f>'05'!AD8</f>
        <v>0</v>
      </c>
      <c r="G5" s="74"/>
      <c r="H5" s="74"/>
      <c r="I5" s="74">
        <f>'08'!AD8+'08'!AD9+'08'!AD10</f>
        <v>0.625</v>
      </c>
      <c r="J5" s="74">
        <f>'09'!AD8</f>
        <v>0.16666666666666666</v>
      </c>
      <c r="K5" s="74">
        <f>'10'!AD8</f>
        <v>0.29166666666666669</v>
      </c>
      <c r="L5" s="74">
        <f>'11'!AD8</f>
        <v>0.41666666666666669</v>
      </c>
      <c r="M5" s="74">
        <f>'12'!AD8</f>
        <v>0.16666666666666666</v>
      </c>
      <c r="N5" s="74"/>
      <c r="O5" s="74"/>
      <c r="P5" s="74">
        <f>'15'!AD8</f>
        <v>0.41666666666666669</v>
      </c>
      <c r="Q5" s="74">
        <f>'16'!AD8</f>
        <v>0.95833333333333337</v>
      </c>
      <c r="R5" s="74">
        <f>'17'!AD8</f>
        <v>0.58333333333333337</v>
      </c>
      <c r="S5" s="74">
        <f>'18'!AD8</f>
        <v>0.33333333333333331</v>
      </c>
      <c r="T5" s="74">
        <f>'19'!AD8</f>
        <v>0.95833333333333337</v>
      </c>
      <c r="U5" s="74"/>
      <c r="V5" s="74"/>
      <c r="W5" s="113">
        <f>'22'!AD8</f>
        <v>0.16666666666666666</v>
      </c>
      <c r="X5" s="74">
        <f>'23'!AD8+'23'!AD9</f>
        <v>0.54166666666666663</v>
      </c>
      <c r="Y5" s="74">
        <f>'24'!AD8</f>
        <v>0</v>
      </c>
      <c r="Z5" s="74">
        <f>'25'!AD8</f>
        <v>0.79166666666666663</v>
      </c>
      <c r="AA5" s="74">
        <f>'26'!AD8+'26'!AD9+'26'!AD10</f>
        <v>0.95833333333333337</v>
      </c>
      <c r="AB5" s="74"/>
      <c r="AC5" s="74"/>
      <c r="AD5" s="74">
        <f>'29'!AD8+'29'!AD9</f>
        <v>0.5</v>
      </c>
      <c r="AE5" s="74">
        <f>'30'!AD8+'30'!AD9</f>
        <v>0.75</v>
      </c>
      <c r="AF5" s="75"/>
      <c r="AG5" s="76">
        <f t="shared" si="0"/>
        <v>0.37361111111111106</v>
      </c>
    </row>
    <row r="6" spans="1:33" ht="21.75" customHeight="1">
      <c r="A6" s="95" t="s">
        <v>63</v>
      </c>
      <c r="B6" s="93">
        <f>'01'!AD9</f>
        <v>0.95833333333333337</v>
      </c>
      <c r="C6" s="93">
        <f>'02'!AD10</f>
        <v>1</v>
      </c>
      <c r="D6" s="74">
        <f>'03'!AD9</f>
        <v>1</v>
      </c>
      <c r="E6" s="74">
        <f>'04'!AD9</f>
        <v>1</v>
      </c>
      <c r="F6" s="74">
        <f>'05'!AD9</f>
        <v>0.875</v>
      </c>
      <c r="G6" s="74"/>
      <c r="H6" s="74"/>
      <c r="I6" s="74">
        <f>'08'!AD11</f>
        <v>1</v>
      </c>
      <c r="J6" s="74">
        <f>'09'!AD9</f>
        <v>1</v>
      </c>
      <c r="K6" s="74">
        <f>'10'!AD9</f>
        <v>0.83333333333333337</v>
      </c>
      <c r="L6" s="74">
        <f>'11'!AD9</f>
        <v>1</v>
      </c>
      <c r="M6" s="74">
        <f>'12'!AD9</f>
        <v>0.75</v>
      </c>
      <c r="N6" s="74"/>
      <c r="O6" s="74"/>
      <c r="P6" s="74">
        <f>'15'!AD9</f>
        <v>0.875</v>
      </c>
      <c r="Q6" s="74">
        <f>'16'!AD9</f>
        <v>1</v>
      </c>
      <c r="R6" s="74">
        <f>'17'!AD9</f>
        <v>1</v>
      </c>
      <c r="S6" s="74">
        <f>'18'!AD9</f>
        <v>1</v>
      </c>
      <c r="T6" s="74">
        <f>'19'!AD9</f>
        <v>1</v>
      </c>
      <c r="U6" s="74"/>
      <c r="V6" s="74"/>
      <c r="W6" s="74">
        <f>'22'!AD9</f>
        <v>0</v>
      </c>
      <c r="X6" s="74">
        <f>'23'!AD10</f>
        <v>1</v>
      </c>
      <c r="Y6" s="74">
        <f>'24'!AD9</f>
        <v>0.45833333333333331</v>
      </c>
      <c r="Z6" s="74">
        <f>'25'!AD9</f>
        <v>0.58333333333333337</v>
      </c>
      <c r="AA6" s="74">
        <f>'26'!AD11</f>
        <v>0.75</v>
      </c>
      <c r="AB6" s="74"/>
      <c r="AC6" s="74"/>
      <c r="AD6" s="74">
        <f>'29'!AD10</f>
        <v>0</v>
      </c>
      <c r="AE6" s="74">
        <f>'30'!AD10</f>
        <v>0</v>
      </c>
      <c r="AF6" s="75"/>
      <c r="AG6" s="76">
        <f t="shared" si="0"/>
        <v>0.56944444444444453</v>
      </c>
    </row>
    <row r="7" spans="1:33" ht="21.75" customHeight="1">
      <c r="A7" s="95" t="s">
        <v>64</v>
      </c>
      <c r="B7" s="93">
        <f>'01'!AD10</f>
        <v>0.70833333333333337</v>
      </c>
      <c r="C7" s="93">
        <f>'02'!AD11</f>
        <v>0.95833333333333337</v>
      </c>
      <c r="D7" s="74">
        <f>'03'!AD10</f>
        <v>0.95833333333333337</v>
      </c>
      <c r="E7" s="74">
        <f>'04'!AD10</f>
        <v>0.95833333333333337</v>
      </c>
      <c r="F7" s="74">
        <f>'05'!AD10</f>
        <v>1</v>
      </c>
      <c r="G7" s="74"/>
      <c r="H7" s="74"/>
      <c r="I7" s="74">
        <f>'08'!AD12</f>
        <v>0</v>
      </c>
      <c r="J7" s="74">
        <f>'09'!AD10</f>
        <v>0</v>
      </c>
      <c r="K7" s="74">
        <f>'10'!AD10</f>
        <v>0.875</v>
      </c>
      <c r="L7" s="74">
        <f>'11'!AD10</f>
        <v>0</v>
      </c>
      <c r="M7" s="74">
        <f>'12'!AD10</f>
        <v>0.83333333333333337</v>
      </c>
      <c r="N7" s="74"/>
      <c r="O7" s="74"/>
      <c r="P7" s="74">
        <f>'15'!AD10</f>
        <v>1</v>
      </c>
      <c r="Q7" s="74">
        <f>'16'!AD10</f>
        <v>1</v>
      </c>
      <c r="R7" s="74">
        <f>'17'!AD10</f>
        <v>0</v>
      </c>
      <c r="S7" s="74">
        <f>'18'!AD10</f>
        <v>0</v>
      </c>
      <c r="T7" s="74">
        <f>'19'!AD10</f>
        <v>0.66666666666666663</v>
      </c>
      <c r="U7" s="74"/>
      <c r="V7" s="74"/>
      <c r="W7" s="74">
        <f>'22'!AD10</f>
        <v>1</v>
      </c>
      <c r="X7" s="74">
        <f>'23'!AD11</f>
        <v>1</v>
      </c>
      <c r="Y7" s="74">
        <f>'24'!AD10</f>
        <v>1</v>
      </c>
      <c r="Z7" s="74">
        <f>'25'!AD10</f>
        <v>1</v>
      </c>
      <c r="AA7" s="74">
        <f>'26'!AD12</f>
        <v>0.97655692892797719</v>
      </c>
      <c r="AB7" s="74"/>
      <c r="AC7" s="74"/>
      <c r="AD7" s="74">
        <f>'29'!AD11</f>
        <v>0.95833333333333337</v>
      </c>
      <c r="AE7" s="74">
        <f>'30'!AD11</f>
        <v>1</v>
      </c>
      <c r="AF7" s="75"/>
      <c r="AG7" s="76">
        <f t="shared" si="0"/>
        <v>0.52977411985315481</v>
      </c>
    </row>
    <row r="8" spans="1:33" ht="21.75" customHeight="1">
      <c r="A8" s="95" t="s">
        <v>65</v>
      </c>
      <c r="B8" s="93">
        <f>'01'!AD11</f>
        <v>0.16666666666666666</v>
      </c>
      <c r="C8" s="93">
        <f>'02'!AD12</f>
        <v>0.91666666666666663</v>
      </c>
      <c r="D8" s="74">
        <f>'03'!AD11</f>
        <v>0.875</v>
      </c>
      <c r="E8" s="74">
        <f>'04'!AD11</f>
        <v>0.875</v>
      </c>
      <c r="F8" s="74">
        <f>'05'!AD11</f>
        <v>0.91666666666666663</v>
      </c>
      <c r="G8" s="74"/>
      <c r="H8" s="74"/>
      <c r="I8" s="74">
        <f>'08'!AD13</f>
        <v>1</v>
      </c>
      <c r="J8" s="74">
        <f>'09'!AD11+'09'!AD12</f>
        <v>0.70833333333333326</v>
      </c>
      <c r="K8" s="74">
        <f>'10'!AD11</f>
        <v>0</v>
      </c>
      <c r="L8" s="74">
        <f>'11'!AD11</f>
        <v>0.91666666666666663</v>
      </c>
      <c r="M8" s="74">
        <f>'12'!AD11</f>
        <v>1</v>
      </c>
      <c r="N8" s="74"/>
      <c r="O8" s="74"/>
      <c r="P8" s="74">
        <f>'15'!AD11</f>
        <v>0.875</v>
      </c>
      <c r="Q8" s="74">
        <f>'16'!AD11</f>
        <v>0.58333333333333337</v>
      </c>
      <c r="R8" s="74">
        <f>'17'!AD11+'17'!AD12</f>
        <v>0.75</v>
      </c>
      <c r="S8" s="74">
        <f>'18'!AD11</f>
        <v>0.25</v>
      </c>
      <c r="T8" s="74">
        <f>'19'!AD11</f>
        <v>1</v>
      </c>
      <c r="U8" s="74"/>
      <c r="V8" s="74"/>
      <c r="W8" s="74">
        <f>'22'!AD11</f>
        <v>1</v>
      </c>
      <c r="X8" s="74">
        <f>'23'!AD12+'23'!AD13</f>
        <v>0.45833333333333337</v>
      </c>
      <c r="Y8" s="74">
        <f>'24'!AD11</f>
        <v>0.95833333333333337</v>
      </c>
      <c r="Z8" s="74">
        <f>'25'!AD11</f>
        <v>0.95833333333333337</v>
      </c>
      <c r="AA8" s="74">
        <f>'26'!AD13</f>
        <v>1</v>
      </c>
      <c r="AB8" s="74"/>
      <c r="AC8" s="74"/>
      <c r="AD8" s="74">
        <f>'29'!AD12</f>
        <v>0.25</v>
      </c>
      <c r="AE8" s="74">
        <f>'30'!AD12</f>
        <v>0.20833333333333334</v>
      </c>
      <c r="AF8" s="75"/>
      <c r="AG8" s="76">
        <f t="shared" si="0"/>
        <v>0.52222222222222237</v>
      </c>
    </row>
    <row r="9" spans="1:33" ht="21.75" customHeight="1">
      <c r="A9" s="95" t="s">
        <v>66</v>
      </c>
      <c r="B9" s="93">
        <f>'01'!AD12</f>
        <v>1</v>
      </c>
      <c r="C9" s="93">
        <f>'02'!AD13</f>
        <v>0.125</v>
      </c>
      <c r="D9" s="74">
        <f>'03'!AD12</f>
        <v>1</v>
      </c>
      <c r="E9" s="74">
        <f>'04'!AD12</f>
        <v>1</v>
      </c>
      <c r="F9" s="74">
        <f>'05'!AD12</f>
        <v>1</v>
      </c>
      <c r="G9" s="74"/>
      <c r="H9" s="74"/>
      <c r="I9" s="74">
        <f>'08'!AD14</f>
        <v>0.875</v>
      </c>
      <c r="J9" s="74">
        <f>'09'!AD13</f>
        <v>1</v>
      </c>
      <c r="K9" s="74">
        <f>'10'!AD12</f>
        <v>1</v>
      </c>
      <c r="L9" s="74">
        <f>'11'!AD12</f>
        <v>1</v>
      </c>
      <c r="M9" s="74">
        <f>'12'!AD12</f>
        <v>1</v>
      </c>
      <c r="N9" s="74"/>
      <c r="O9" s="74"/>
      <c r="P9" s="74">
        <f>'15'!AD12</f>
        <v>1</v>
      </c>
      <c r="Q9" s="74">
        <f>'16'!AD12</f>
        <v>1</v>
      </c>
      <c r="R9" s="74">
        <f>'17'!AD13</f>
        <v>1</v>
      </c>
      <c r="S9" s="74">
        <f>'18'!AD12</f>
        <v>1</v>
      </c>
      <c r="T9" s="74">
        <f>'19'!AD12</f>
        <v>1</v>
      </c>
      <c r="U9" s="74"/>
      <c r="V9" s="74"/>
      <c r="W9" s="74">
        <f>'22'!AD12</f>
        <v>1</v>
      </c>
      <c r="X9" s="74">
        <f>'23'!AD14</f>
        <v>0.95833333333333337</v>
      </c>
      <c r="Y9" s="74">
        <f>'24'!AD12</f>
        <v>1</v>
      </c>
      <c r="Z9" s="74">
        <f>'25'!AD12</f>
        <v>1</v>
      </c>
      <c r="AA9" s="74">
        <f>'26'!AD14</f>
        <v>1</v>
      </c>
      <c r="AB9" s="74"/>
      <c r="AC9" s="74"/>
      <c r="AD9" s="74">
        <f>'29'!AD13</f>
        <v>0.91666666666666663</v>
      </c>
      <c r="AE9" s="74">
        <f>'30'!AD13</f>
        <v>1</v>
      </c>
      <c r="AF9" s="75"/>
      <c r="AG9" s="76">
        <f t="shared" si="0"/>
        <v>0.69583333333333341</v>
      </c>
    </row>
    <row r="10" spans="1:33" ht="21.75" customHeight="1">
      <c r="A10" s="95" t="s">
        <v>67</v>
      </c>
      <c r="B10" s="93">
        <f>'01'!AD13</f>
        <v>0.41666666666666669</v>
      </c>
      <c r="C10" s="93">
        <f>'02'!AD14</f>
        <v>0</v>
      </c>
      <c r="D10" s="74">
        <f>'03'!AD13</f>
        <v>0.70833333333333337</v>
      </c>
      <c r="E10" s="74">
        <f>'04'!AD13</f>
        <v>0.83333333333333337</v>
      </c>
      <c r="F10" s="74">
        <f>'05'!AD13</f>
        <v>1</v>
      </c>
      <c r="G10" s="74"/>
      <c r="H10" s="74"/>
      <c r="I10" s="74">
        <f>'08'!AD15</f>
        <v>1</v>
      </c>
      <c r="J10" s="74">
        <f>'09'!AD14</f>
        <v>1</v>
      </c>
      <c r="K10" s="74">
        <f>'10'!AD13</f>
        <v>1</v>
      </c>
      <c r="L10" s="74">
        <f>'11'!AD13</f>
        <v>0.75</v>
      </c>
      <c r="M10" s="74">
        <f>'12'!AD13</f>
        <v>1</v>
      </c>
      <c r="N10" s="74"/>
      <c r="O10" s="74"/>
      <c r="P10" s="74">
        <f>'15'!AD13</f>
        <v>0.25</v>
      </c>
      <c r="Q10" s="74">
        <f>'16'!AD13</f>
        <v>1</v>
      </c>
      <c r="R10" s="74">
        <f>'17'!AD14</f>
        <v>1</v>
      </c>
      <c r="S10" s="74">
        <f>'18'!AD13</f>
        <v>1</v>
      </c>
      <c r="T10" s="74">
        <f>'19'!AD13</f>
        <v>1</v>
      </c>
      <c r="U10" s="74"/>
      <c r="V10" s="74"/>
      <c r="W10" s="74">
        <f>'22'!AD13</f>
        <v>0.33333333333333331</v>
      </c>
      <c r="X10" s="74">
        <f>'23'!AD15</f>
        <v>0.875</v>
      </c>
      <c r="Y10" s="74">
        <f>'24'!AD13</f>
        <v>0.91666666666666663</v>
      </c>
      <c r="Z10" s="74">
        <f>'25'!AD13</f>
        <v>1</v>
      </c>
      <c r="AA10" s="74">
        <f>'26'!AD15</f>
        <v>1</v>
      </c>
      <c r="AB10" s="74"/>
      <c r="AC10" s="74"/>
      <c r="AD10" s="74">
        <f>'29'!AD14</f>
        <v>1</v>
      </c>
      <c r="AE10" s="74">
        <f>'30'!AD14</f>
        <v>1</v>
      </c>
      <c r="AF10" s="75"/>
      <c r="AG10" s="76">
        <f t="shared" si="0"/>
        <v>0.60277777777777786</v>
      </c>
    </row>
    <row r="11" spans="1:33" ht="21.75" customHeight="1">
      <c r="A11" s="100" t="s">
        <v>68</v>
      </c>
      <c r="B11" s="101">
        <f>'01'!AD14</f>
        <v>0</v>
      </c>
      <c r="C11" s="101">
        <f>'02'!AD15</f>
        <v>0.41666666666666669</v>
      </c>
      <c r="D11" s="102">
        <f>'03'!AD14</f>
        <v>0.33333333333333331</v>
      </c>
      <c r="E11" s="102">
        <f>'04'!AD14</f>
        <v>0.33333333333333331</v>
      </c>
      <c r="F11" s="102">
        <f>'05'!AD14</f>
        <v>0.33333333333333331</v>
      </c>
      <c r="G11" s="102"/>
      <c r="H11" s="102"/>
      <c r="I11" s="102">
        <f>'08'!AD16</f>
        <v>0</v>
      </c>
      <c r="J11" s="102">
        <f>'09'!AD15</f>
        <v>0</v>
      </c>
      <c r="K11" s="102">
        <f>'10'!AD14</f>
        <v>0.54166666666666663</v>
      </c>
      <c r="L11" s="102">
        <f>'11'!AD14</f>
        <v>0</v>
      </c>
      <c r="M11" s="102">
        <f>'12'!AD14</f>
        <v>0</v>
      </c>
      <c r="N11" s="102"/>
      <c r="O11" s="102"/>
      <c r="P11" s="102">
        <f>'15'!AD14</f>
        <v>0.66666666666666663</v>
      </c>
      <c r="Q11" s="102">
        <f>'16'!AD14</f>
        <v>0</v>
      </c>
      <c r="R11" s="102">
        <f>'17'!AD15</f>
        <v>0</v>
      </c>
      <c r="S11" s="102">
        <f>'18'!AD14</f>
        <v>0.25</v>
      </c>
      <c r="T11" s="102">
        <f>'19'!AD14</f>
        <v>0.20833333333333334</v>
      </c>
      <c r="U11" s="102"/>
      <c r="V11" s="102"/>
      <c r="W11" s="102">
        <f>'22'!AD14</f>
        <v>0</v>
      </c>
      <c r="X11" s="102">
        <f>'23'!AD16</f>
        <v>0</v>
      </c>
      <c r="Y11" s="102">
        <f>'24'!AD14+'24'!AD15</f>
        <v>0.54166666666666663</v>
      </c>
      <c r="Z11" s="102">
        <f>'25'!AD14</f>
        <v>0.20833333333333334</v>
      </c>
      <c r="AA11" s="102">
        <f>'26'!AD16</f>
        <v>0</v>
      </c>
      <c r="AB11" s="102"/>
      <c r="AC11" s="102"/>
      <c r="AD11" s="102">
        <f>'29'!AD15</f>
        <v>0</v>
      </c>
      <c r="AE11" s="102">
        <f>'30'!AD15</f>
        <v>0.66666666666666663</v>
      </c>
      <c r="AF11" s="103"/>
      <c r="AG11" s="104">
        <f t="shared" si="0"/>
        <v>0.15</v>
      </c>
    </row>
    <row r="12" spans="1:33" ht="21.75" customHeight="1">
      <c r="A12" s="95" t="s">
        <v>69</v>
      </c>
      <c r="B12" s="93">
        <f>'01'!AD15</f>
        <v>1</v>
      </c>
      <c r="C12" s="93">
        <f>'02'!AD16</f>
        <v>1</v>
      </c>
      <c r="D12" s="74">
        <f>'03'!AD15</f>
        <v>0.91666666666666663</v>
      </c>
      <c r="E12" s="74">
        <f>'04'!AD15</f>
        <v>1</v>
      </c>
      <c r="F12" s="74">
        <f>'05'!AD15</f>
        <v>0.33333333333333331</v>
      </c>
      <c r="G12" s="74"/>
      <c r="H12" s="74"/>
      <c r="I12" s="74">
        <f>'08'!AD17</f>
        <v>0.16666666666666666</v>
      </c>
      <c r="J12" s="74">
        <f>'09'!AD16</f>
        <v>0.83333333333333337</v>
      </c>
      <c r="K12" s="74">
        <f>'10'!AD15</f>
        <v>1</v>
      </c>
      <c r="L12" s="74">
        <f>'11'!AD15</f>
        <v>1</v>
      </c>
      <c r="M12" s="74">
        <f>'12'!AD15</f>
        <v>1</v>
      </c>
      <c r="N12" s="74"/>
      <c r="O12" s="74"/>
      <c r="P12" s="74">
        <f>'15'!AD15</f>
        <v>0</v>
      </c>
      <c r="Q12" s="74">
        <f>'16'!AD15</f>
        <v>1</v>
      </c>
      <c r="R12" s="74">
        <f>'17'!AD16</f>
        <v>1</v>
      </c>
      <c r="S12" s="74">
        <f>'18'!AD15</f>
        <v>1</v>
      </c>
      <c r="T12" s="74">
        <f>'19'!AD15</f>
        <v>1</v>
      </c>
      <c r="U12" s="74"/>
      <c r="V12" s="74"/>
      <c r="W12" s="74">
        <f>'22'!AD15</f>
        <v>1</v>
      </c>
      <c r="X12" s="74">
        <f>'23'!AD17</f>
        <v>1</v>
      </c>
      <c r="Y12" s="74">
        <f>'24'!AD16</f>
        <v>0</v>
      </c>
      <c r="Z12" s="74">
        <f>'25'!AD15</f>
        <v>0.625</v>
      </c>
      <c r="AA12" s="74">
        <f>'26'!AD17+'26'!AD18</f>
        <v>0.83333333333333337</v>
      </c>
      <c r="AB12" s="74"/>
      <c r="AC12" s="74"/>
      <c r="AD12" s="74">
        <f>'29'!AD16</f>
        <v>1</v>
      </c>
      <c r="AE12" s="74">
        <f>'30'!AD16</f>
        <v>1</v>
      </c>
      <c r="AF12" s="75"/>
      <c r="AG12" s="76">
        <f t="shared" si="0"/>
        <v>0.5902777777777779</v>
      </c>
    </row>
    <row r="13" spans="1:33" ht="21.75" customHeight="1">
      <c r="A13" s="95" t="s">
        <v>70</v>
      </c>
      <c r="B13" s="93">
        <f>'01'!AD16</f>
        <v>1</v>
      </c>
      <c r="C13" s="93">
        <f>'02'!AD17</f>
        <v>1</v>
      </c>
      <c r="D13" s="74">
        <f>'03'!AD16</f>
        <v>1</v>
      </c>
      <c r="E13" s="74">
        <f>'04'!AD16</f>
        <v>1</v>
      </c>
      <c r="F13" s="74">
        <f>'05'!AD16</f>
        <v>0.875</v>
      </c>
      <c r="G13" s="74"/>
      <c r="H13" s="74"/>
      <c r="I13" s="74">
        <f>'08'!AD18</f>
        <v>0.875</v>
      </c>
      <c r="J13" s="74">
        <f>'09'!AD17</f>
        <v>0.91666666666666663</v>
      </c>
      <c r="K13" s="74">
        <f>'10'!AD16</f>
        <v>0.91666666666666663</v>
      </c>
      <c r="L13" s="74">
        <f>'11'!AD16</f>
        <v>1</v>
      </c>
      <c r="M13" s="74">
        <f>'12'!AD16</f>
        <v>0.875</v>
      </c>
      <c r="N13" s="74"/>
      <c r="O13" s="74"/>
      <c r="P13" s="74">
        <f>'15'!AD16</f>
        <v>1</v>
      </c>
      <c r="Q13" s="74">
        <f>'16'!AD16</f>
        <v>1</v>
      </c>
      <c r="R13" s="74">
        <f>'17'!AD17</f>
        <v>1</v>
      </c>
      <c r="S13" s="74">
        <f>'18'!AD16</f>
        <v>0.91666666666666663</v>
      </c>
      <c r="T13" s="74">
        <f>'19'!AD16</f>
        <v>0.70833333333333337</v>
      </c>
      <c r="U13" s="74"/>
      <c r="V13" s="74"/>
      <c r="W13" s="74">
        <f>'22'!AD16</f>
        <v>1</v>
      </c>
      <c r="X13" s="74">
        <f>'23'!AD18</f>
        <v>1</v>
      </c>
      <c r="Y13" s="74">
        <f>'24'!AD17</f>
        <v>1</v>
      </c>
      <c r="Z13" s="74">
        <f>'25'!AD16</f>
        <v>1</v>
      </c>
      <c r="AA13" s="74">
        <f>'26'!AD19</f>
        <v>1</v>
      </c>
      <c r="AB13" s="74"/>
      <c r="AC13" s="74"/>
      <c r="AD13" s="74">
        <f>'29'!AD17</f>
        <v>1</v>
      </c>
      <c r="AE13" s="74">
        <f>'30'!AD17</f>
        <v>1</v>
      </c>
      <c r="AF13" s="75"/>
      <c r="AG13" s="76">
        <f t="shared" si="0"/>
        <v>0.70277777777777783</v>
      </c>
    </row>
    <row r="14" spans="1:33" ht="21.75" customHeight="1">
      <c r="A14" s="95" t="s">
        <v>71</v>
      </c>
      <c r="B14" s="93">
        <f>'01'!AD17</f>
        <v>0.91666666666666663</v>
      </c>
      <c r="C14" s="93">
        <f>'02'!AD18</f>
        <v>1</v>
      </c>
      <c r="D14" s="74">
        <f>'03'!AD17</f>
        <v>0</v>
      </c>
      <c r="E14" s="74">
        <f>'04'!AD17</f>
        <v>0.79166666666666663</v>
      </c>
      <c r="F14" s="74">
        <f>'05'!AD17</f>
        <v>0.375</v>
      </c>
      <c r="G14" s="74"/>
      <c r="H14" s="74"/>
      <c r="I14" s="74">
        <f>'08'!AD19</f>
        <v>0.83333333333333337</v>
      </c>
      <c r="J14" s="74">
        <f>'09'!AD18</f>
        <v>0</v>
      </c>
      <c r="K14" s="74">
        <f>'10'!AD17</f>
        <v>0</v>
      </c>
      <c r="L14" s="74">
        <f>'11'!AD17</f>
        <v>0.20833333333333334</v>
      </c>
      <c r="M14" s="74">
        <f>'12'!AD17</f>
        <v>0</v>
      </c>
      <c r="N14" s="74"/>
      <c r="O14" s="74"/>
      <c r="P14" s="74">
        <f>'15'!AD17</f>
        <v>0.83333333333333337</v>
      </c>
      <c r="Q14" s="74">
        <f>'16'!AD17</f>
        <v>0</v>
      </c>
      <c r="R14" s="74">
        <f>'17'!AD18</f>
        <v>0</v>
      </c>
      <c r="S14" s="74">
        <f>'18'!AD17</f>
        <v>0</v>
      </c>
      <c r="T14" s="74">
        <f>'19'!AD17</f>
        <v>0</v>
      </c>
      <c r="U14" s="74"/>
      <c r="V14" s="74"/>
      <c r="W14" s="74">
        <f>'22'!AD17</f>
        <v>0.16666666666666666</v>
      </c>
      <c r="X14" s="74">
        <f>'23'!AD19</f>
        <v>0</v>
      </c>
      <c r="Y14" s="74">
        <f>'24'!AD18</f>
        <v>0</v>
      </c>
      <c r="Z14" s="74">
        <f>'25'!AD17</f>
        <v>0</v>
      </c>
      <c r="AA14" s="74">
        <f>'26'!AD20</f>
        <v>0</v>
      </c>
      <c r="AB14" s="74"/>
      <c r="AC14" s="74"/>
      <c r="AD14" s="74">
        <f>'29'!AD18</f>
        <v>0</v>
      </c>
      <c r="AE14" s="74">
        <f>'30'!AD18</f>
        <v>0</v>
      </c>
      <c r="AF14" s="75"/>
      <c r="AG14" s="76">
        <f t="shared" si="0"/>
        <v>0.17083333333333334</v>
      </c>
    </row>
    <row r="15" spans="1:33" ht="21.75" customHeight="1">
      <c r="A15" s="95" t="s">
        <v>72</v>
      </c>
      <c r="B15" s="93">
        <f>'01'!AD18</f>
        <v>0.95833333333333337</v>
      </c>
      <c r="C15" s="93">
        <f>'02'!AD19</f>
        <v>1</v>
      </c>
      <c r="D15" s="74">
        <f>'03'!AD18</f>
        <v>1</v>
      </c>
      <c r="E15" s="74">
        <f>'04'!AD18</f>
        <v>0.41666666666666669</v>
      </c>
      <c r="F15" s="74">
        <f>'05'!AD18</f>
        <v>0.41666666666666669</v>
      </c>
      <c r="G15" s="74"/>
      <c r="H15" s="74"/>
      <c r="I15" s="74">
        <f>'08'!AD20</f>
        <v>1</v>
      </c>
      <c r="J15" s="74">
        <f>'09'!AD19</f>
        <v>1</v>
      </c>
      <c r="K15" s="74">
        <f>'10'!AD18</f>
        <v>1</v>
      </c>
      <c r="L15" s="74">
        <f>'11'!AD18</f>
        <v>1</v>
      </c>
      <c r="M15" s="74">
        <f>'12'!AD18</f>
        <v>1</v>
      </c>
      <c r="N15" s="74"/>
      <c r="O15" s="74"/>
      <c r="P15" s="74">
        <f>'15'!AD18</f>
        <v>0.25</v>
      </c>
      <c r="Q15" s="74">
        <f>'16'!AD18</f>
        <v>1</v>
      </c>
      <c r="R15" s="74">
        <f>'17'!AD19</f>
        <v>1</v>
      </c>
      <c r="S15" s="74">
        <f>'18'!AD18</f>
        <v>1</v>
      </c>
      <c r="T15" s="74">
        <f>'19'!AD18</f>
        <v>1</v>
      </c>
      <c r="U15" s="74"/>
      <c r="V15" s="74"/>
      <c r="W15" s="74">
        <f>'22'!AD18</f>
        <v>1</v>
      </c>
      <c r="X15" s="74">
        <f>'23'!AD20</f>
        <v>0.91666666666666663</v>
      </c>
      <c r="Y15" s="74">
        <f>'24'!AD19</f>
        <v>1</v>
      </c>
      <c r="Z15" s="74">
        <f>'25'!AD18</f>
        <v>1</v>
      </c>
      <c r="AA15" s="74">
        <f>'26'!AD21</f>
        <v>1</v>
      </c>
      <c r="AB15" s="74"/>
      <c r="AC15" s="74"/>
      <c r="AD15" s="74">
        <f>'29'!AD19</f>
        <v>1</v>
      </c>
      <c r="AE15" s="74">
        <f>'30'!AD19</f>
        <v>1</v>
      </c>
      <c r="AF15" s="75"/>
      <c r="AG15" s="76">
        <f t="shared" si="0"/>
        <v>0.66527777777777775</v>
      </c>
    </row>
    <row r="16" spans="1:33" ht="21.75" customHeight="1">
      <c r="A16" s="95" t="s">
        <v>117</v>
      </c>
      <c r="B16" s="93">
        <f>'01'!AD19+'01'!AD20</f>
        <v>0.36501377410468316</v>
      </c>
      <c r="C16" s="93">
        <f>'02'!AD20</f>
        <v>0.875</v>
      </c>
      <c r="D16" s="74">
        <f>'03'!AD19</f>
        <v>0.875</v>
      </c>
      <c r="E16" s="74">
        <f>'04'!AD19+'04'!AD20</f>
        <v>0.95833333333333337</v>
      </c>
      <c r="F16" s="74">
        <f>'05'!AD19</f>
        <v>0.625</v>
      </c>
      <c r="G16" s="74"/>
      <c r="H16" s="74"/>
      <c r="I16" s="74">
        <f>'08'!AD21</f>
        <v>0.29166666666666669</v>
      </c>
      <c r="J16" s="74">
        <f>'09'!AD20</f>
        <v>1</v>
      </c>
      <c r="K16" s="74">
        <f>'10'!AD19</f>
        <v>1</v>
      </c>
      <c r="L16" s="74">
        <f>'11'!AD19</f>
        <v>1</v>
      </c>
      <c r="M16" s="74">
        <f>'12'!AD19</f>
        <v>1</v>
      </c>
      <c r="N16" s="74"/>
      <c r="O16" s="74"/>
      <c r="P16" s="74">
        <f>'15'!AD19</f>
        <v>1</v>
      </c>
      <c r="Q16" s="74">
        <f>'16'!AD19</f>
        <v>1</v>
      </c>
      <c r="R16" s="74">
        <f>'17'!AD20</f>
        <v>1</v>
      </c>
      <c r="S16" s="74">
        <f>'18'!AD19</f>
        <v>0.41666666666666669</v>
      </c>
      <c r="T16" s="74">
        <f>'19'!AD19+'19'!AD20</f>
        <v>0.79166666666666674</v>
      </c>
      <c r="U16" s="74"/>
      <c r="V16" s="74"/>
      <c r="W16" s="74">
        <f>'22'!AD19+'22'!AD20</f>
        <v>0.83333333333333326</v>
      </c>
      <c r="X16" s="74">
        <f>'23'!AD21+'23'!AD22+'23'!AD23</f>
        <v>0.79166666666666674</v>
      </c>
      <c r="Y16" s="74">
        <f>'24'!AD20</f>
        <v>1</v>
      </c>
      <c r="Z16" s="74">
        <f>'25'!AD19</f>
        <v>0.375</v>
      </c>
      <c r="AA16" s="74">
        <f>'26'!AD22</f>
        <v>0.875</v>
      </c>
      <c r="AB16" s="74"/>
      <c r="AC16" s="74"/>
      <c r="AD16" s="74">
        <f>'29'!AD20</f>
        <v>0.875</v>
      </c>
      <c r="AE16" s="74">
        <f>'30'!AD20</f>
        <v>0.91666666666666663</v>
      </c>
      <c r="AF16" s="75"/>
      <c r="AG16" s="76">
        <f t="shared" si="0"/>
        <v>0.59550045913682281</v>
      </c>
    </row>
    <row r="17" spans="1:33" ht="21.75" customHeight="1">
      <c r="A17" s="95" t="s">
        <v>118</v>
      </c>
      <c r="B17" s="93">
        <f>'01'!AD21</f>
        <v>0.75</v>
      </c>
      <c r="C17" s="93">
        <f>'02'!AD21</f>
        <v>1</v>
      </c>
      <c r="D17" s="74">
        <f>'03'!AD20</f>
        <v>1</v>
      </c>
      <c r="E17" s="74">
        <f>'04'!AD21</f>
        <v>1</v>
      </c>
      <c r="F17" s="74">
        <f>'05'!AD20</f>
        <v>1</v>
      </c>
      <c r="G17" s="74"/>
      <c r="H17" s="74"/>
      <c r="I17" s="74">
        <f>'08'!AD22</f>
        <v>1</v>
      </c>
      <c r="J17" s="74">
        <f>'09'!AD21</f>
        <v>1</v>
      </c>
      <c r="K17" s="74">
        <f>'10'!AD20</f>
        <v>1</v>
      </c>
      <c r="L17" s="74">
        <f>'11'!AD20</f>
        <v>1</v>
      </c>
      <c r="M17" s="74">
        <f>'12'!AD20</f>
        <v>0.875</v>
      </c>
      <c r="N17" s="74"/>
      <c r="O17" s="74"/>
      <c r="P17" s="74">
        <f>'15'!AD21+'15'!AD22+'15'!AD23</f>
        <v>0.95833333333333337</v>
      </c>
      <c r="Q17" s="74">
        <f>'16'!AD20+'16'!AD21+'16'!AD22</f>
        <v>0.875</v>
      </c>
      <c r="R17" s="74">
        <f>'17'!AD21</f>
        <v>0.54166666666666663</v>
      </c>
      <c r="S17" s="74">
        <f>'18'!AD20</f>
        <v>0.79166666666666663</v>
      </c>
      <c r="T17" s="74">
        <f>'19'!AD21</f>
        <v>0.79166666666666663</v>
      </c>
      <c r="U17" s="74"/>
      <c r="V17" s="74"/>
      <c r="W17" s="74">
        <f>'22'!AD21</f>
        <v>1</v>
      </c>
      <c r="X17" s="74">
        <f>'23'!AD24</f>
        <v>1</v>
      </c>
      <c r="Y17" s="74">
        <f>'24'!AD21</f>
        <v>1</v>
      </c>
      <c r="Z17" s="74">
        <f>'25'!AD20</f>
        <v>1</v>
      </c>
      <c r="AA17" s="74">
        <f>'26'!AD23</f>
        <v>1</v>
      </c>
      <c r="AB17" s="74"/>
      <c r="AC17" s="74"/>
      <c r="AD17" s="74">
        <f>'29'!AD21</f>
        <v>1</v>
      </c>
      <c r="AE17" s="74">
        <f>'30'!AD21</f>
        <v>1</v>
      </c>
      <c r="AF17" s="75"/>
      <c r="AG17" s="76">
        <f t="shared" si="0"/>
        <v>0.68611111111111112</v>
      </c>
    </row>
    <row r="18" spans="1:33" ht="21.75" customHeight="1">
      <c r="A18" s="95" t="s">
        <v>119</v>
      </c>
      <c r="B18" s="93">
        <f>'01'!AD22</f>
        <v>0.91666666666666663</v>
      </c>
      <c r="C18" s="93">
        <f>'02'!AD22</f>
        <v>0.125</v>
      </c>
      <c r="D18" s="74">
        <f>'03'!AD21</f>
        <v>0.91666666666666663</v>
      </c>
      <c r="E18" s="74">
        <f>'04'!AD22</f>
        <v>1</v>
      </c>
      <c r="F18" s="74">
        <f>'05'!AD21+'05'!AD22</f>
        <v>0.95833333333333337</v>
      </c>
      <c r="G18" s="74"/>
      <c r="H18" s="74"/>
      <c r="I18" s="74">
        <f>'08'!AD23</f>
        <v>0.91666666666666663</v>
      </c>
      <c r="J18" s="74">
        <f>'09'!AD22</f>
        <v>1</v>
      </c>
      <c r="K18" s="74">
        <f>'10'!AD21</f>
        <v>1</v>
      </c>
      <c r="L18" s="74">
        <f>'11'!AD21</f>
        <v>1</v>
      </c>
      <c r="M18" s="74">
        <f>'12'!AD21</f>
        <v>1</v>
      </c>
      <c r="N18" s="74"/>
      <c r="O18" s="74"/>
      <c r="P18" s="74">
        <f>'15'!AD24</f>
        <v>1</v>
      </c>
      <c r="Q18" s="74">
        <f>'16'!AD23</f>
        <v>1</v>
      </c>
      <c r="R18" s="74">
        <f>'17'!AD22</f>
        <v>1</v>
      </c>
      <c r="S18" s="74">
        <f>'18'!AD21</f>
        <v>0.375</v>
      </c>
      <c r="T18" s="74">
        <f>'19'!AD22</f>
        <v>0</v>
      </c>
      <c r="U18" s="74"/>
      <c r="V18" s="74"/>
      <c r="W18" s="74">
        <f>'22'!AD22</f>
        <v>0.875</v>
      </c>
      <c r="X18" s="74">
        <f>'23'!AD25</f>
        <v>1</v>
      </c>
      <c r="Y18" s="74">
        <f>'24'!AD22</f>
        <v>1</v>
      </c>
      <c r="Z18" s="74">
        <f>'25'!AD21</f>
        <v>1</v>
      </c>
      <c r="AA18" s="74">
        <f>'26'!AD24</f>
        <v>1</v>
      </c>
      <c r="AB18" s="74"/>
      <c r="AC18" s="74"/>
      <c r="AD18" s="74">
        <f>'29'!AD22</f>
        <v>0</v>
      </c>
      <c r="AE18" s="74">
        <f>'30'!AD22</f>
        <v>0.91666666666666663</v>
      </c>
      <c r="AF18" s="75"/>
      <c r="AG18" s="76">
        <f t="shared" si="0"/>
        <v>0.6</v>
      </c>
    </row>
    <row r="19" spans="1:33" ht="21.75" customHeight="1">
      <c r="A19" s="100" t="s">
        <v>181</v>
      </c>
      <c r="B19" s="101">
        <f>'01'!AD23</f>
        <v>0</v>
      </c>
      <c r="C19" s="101">
        <f>'02'!AD23</f>
        <v>0</v>
      </c>
      <c r="D19" s="102">
        <f>'03'!AD22</f>
        <v>0</v>
      </c>
      <c r="E19" s="102">
        <f>'04'!AD23</f>
        <v>0</v>
      </c>
      <c r="F19" s="102">
        <f>'05'!AD23</f>
        <v>0</v>
      </c>
      <c r="G19" s="102"/>
      <c r="H19" s="102"/>
      <c r="I19" s="102">
        <f>'08'!AD24</f>
        <v>0</v>
      </c>
      <c r="J19" s="102">
        <f>'09'!AD23</f>
        <v>0</v>
      </c>
      <c r="K19" s="102">
        <f>'10'!AD22</f>
        <v>0</v>
      </c>
      <c r="L19" s="102">
        <f>'11'!AD22</f>
        <v>0</v>
      </c>
      <c r="M19" s="102">
        <f>'12'!AD22</f>
        <v>0</v>
      </c>
      <c r="N19" s="102"/>
      <c r="O19" s="102"/>
      <c r="P19" s="102">
        <f>'15'!AD25</f>
        <v>0</v>
      </c>
      <c r="Q19" s="102">
        <f>'16'!AD24</f>
        <v>0</v>
      </c>
      <c r="R19" s="102">
        <f>'17'!AD23</f>
        <v>0</v>
      </c>
      <c r="S19" s="102">
        <f>'18'!AD22</f>
        <v>0</v>
      </c>
      <c r="T19" s="102">
        <f>'19'!AD23</f>
        <v>0</v>
      </c>
      <c r="U19" s="102"/>
      <c r="V19" s="102"/>
      <c r="W19" s="102">
        <f>'22'!AD23</f>
        <v>0</v>
      </c>
      <c r="X19" s="102">
        <f>'23'!AD26</f>
        <v>0</v>
      </c>
      <c r="Y19" s="102">
        <f>'24'!AD23</f>
        <v>0</v>
      </c>
      <c r="Z19" s="102">
        <f>'25'!AD22</f>
        <v>0</v>
      </c>
      <c r="AA19" s="102">
        <f>'26'!AD25</f>
        <v>0</v>
      </c>
      <c r="AB19" s="102"/>
      <c r="AC19" s="102"/>
      <c r="AD19" s="102">
        <f>'29'!AD23</f>
        <v>0</v>
      </c>
      <c r="AE19" s="102">
        <f>'30'!AD23</f>
        <v>0</v>
      </c>
      <c r="AF19" s="103"/>
      <c r="AG19" s="104">
        <f t="shared" si="0"/>
        <v>0</v>
      </c>
    </row>
    <row r="20" spans="1:33" ht="21.75" customHeight="1">
      <c r="A20" s="100" t="s">
        <v>182</v>
      </c>
      <c r="B20" s="101">
        <f>'01'!AD24</f>
        <v>0</v>
      </c>
      <c r="C20" s="101">
        <f>'02'!AD24</f>
        <v>0</v>
      </c>
      <c r="D20" s="102">
        <f>'03'!AD23</f>
        <v>0</v>
      </c>
      <c r="E20" s="102">
        <f>'04'!AD24</f>
        <v>0</v>
      </c>
      <c r="F20" s="102">
        <f>'05'!AD24</f>
        <v>0.5</v>
      </c>
      <c r="G20" s="102"/>
      <c r="H20" s="102"/>
      <c r="I20" s="102">
        <f>'08'!AD25</f>
        <v>0.33333333333333331</v>
      </c>
      <c r="J20" s="102">
        <f>'09'!AD24</f>
        <v>0.16666666666666666</v>
      </c>
      <c r="K20" s="102">
        <f>'10'!AD23</f>
        <v>0</v>
      </c>
      <c r="L20" s="102">
        <f>'11'!AD23</f>
        <v>0.58333333333333337</v>
      </c>
      <c r="M20" s="102">
        <f>'12'!AD23</f>
        <v>0.25</v>
      </c>
      <c r="N20" s="102"/>
      <c r="O20" s="102"/>
      <c r="P20" s="102">
        <f>'15'!AD26</f>
        <v>0.66666666666666663</v>
      </c>
      <c r="Q20" s="102">
        <f>'16'!AD25</f>
        <v>0</v>
      </c>
      <c r="R20" s="102">
        <f>'17'!AD24</f>
        <v>0</v>
      </c>
      <c r="S20" s="102">
        <f>'18'!AD23</f>
        <v>0</v>
      </c>
      <c r="T20" s="102">
        <f>'19'!AD24</f>
        <v>0</v>
      </c>
      <c r="U20" s="102"/>
      <c r="V20" s="102"/>
      <c r="W20" s="102">
        <f>'22'!AD24</f>
        <v>0</v>
      </c>
      <c r="X20" s="102">
        <f>'23'!AD27</f>
        <v>0</v>
      </c>
      <c r="Y20" s="102">
        <f>'24'!AD24</f>
        <v>0</v>
      </c>
      <c r="Z20" s="102">
        <f>'25'!AD23</f>
        <v>0</v>
      </c>
      <c r="AA20" s="102">
        <f>'26'!AD26</f>
        <v>0</v>
      </c>
      <c r="AB20" s="102"/>
      <c r="AC20" s="102"/>
      <c r="AD20" s="102">
        <f>'29'!AD24</f>
        <v>0</v>
      </c>
      <c r="AE20" s="102">
        <f>'30'!AD24</f>
        <v>0</v>
      </c>
      <c r="AF20" s="103"/>
      <c r="AG20" s="104">
        <f t="shared" si="0"/>
        <v>8.3333333333333329E-2</v>
      </c>
    </row>
    <row r="21" spans="1:33" ht="21.75" customHeight="1">
      <c r="A21" s="95" t="s">
        <v>129</v>
      </c>
      <c r="B21" s="93">
        <f>'01'!AD25</f>
        <v>0</v>
      </c>
      <c r="C21" s="93">
        <f>'02'!AD25</f>
        <v>0</v>
      </c>
      <c r="D21" s="74">
        <f>'03'!AD24</f>
        <v>0</v>
      </c>
      <c r="E21" s="74">
        <f>'04'!AD25</f>
        <v>0</v>
      </c>
      <c r="F21" s="74">
        <f>'05'!AD25</f>
        <v>0</v>
      </c>
      <c r="G21" s="74"/>
      <c r="H21" s="74"/>
      <c r="I21" s="74">
        <f>'08'!AD26</f>
        <v>0</v>
      </c>
      <c r="J21" s="74">
        <f>'09'!AD25</f>
        <v>0</v>
      </c>
      <c r="K21" s="74">
        <f>'10'!AD24</f>
        <v>0</v>
      </c>
      <c r="L21" s="74">
        <f>'11'!AD24</f>
        <v>0</v>
      </c>
      <c r="M21" s="74">
        <f>'12'!AD24</f>
        <v>0</v>
      </c>
      <c r="N21" s="74"/>
      <c r="O21" s="74"/>
      <c r="P21" s="74">
        <f>'15'!AD27</f>
        <v>0</v>
      </c>
      <c r="Q21" s="74">
        <f>'16'!AD26</f>
        <v>0</v>
      </c>
      <c r="R21" s="74">
        <f>'17'!AD25</f>
        <v>0</v>
      </c>
      <c r="S21" s="74">
        <f>'18'!AD24</f>
        <v>0</v>
      </c>
      <c r="T21" s="74">
        <f>'19'!AD25</f>
        <v>0</v>
      </c>
      <c r="U21" s="74"/>
      <c r="V21" s="74"/>
      <c r="W21" s="74">
        <f>'22'!AD25</f>
        <v>0</v>
      </c>
      <c r="X21" s="74">
        <f>'23'!AD28</f>
        <v>0</v>
      </c>
      <c r="Y21" s="74">
        <f>'24'!AD25</f>
        <v>0</v>
      </c>
      <c r="Z21" s="74">
        <f>'25'!AD24</f>
        <v>0</v>
      </c>
      <c r="AA21" s="74">
        <f>'26'!AD27</f>
        <v>0</v>
      </c>
      <c r="AB21" s="74"/>
      <c r="AC21" s="74"/>
      <c r="AD21" s="74">
        <f>'29'!AD25</f>
        <v>0</v>
      </c>
      <c r="AE21" s="74">
        <f>'30'!AD25</f>
        <v>0</v>
      </c>
      <c r="AF21" s="75"/>
      <c r="AG21" s="76">
        <f t="shared" si="0"/>
        <v>0</v>
      </c>
    </row>
    <row r="22" spans="1:33" ht="21.75" customHeight="1">
      <c r="A22" s="95" t="s">
        <v>130</v>
      </c>
      <c r="B22" s="93">
        <f>'01'!AD26</f>
        <v>0.54166666666666663</v>
      </c>
      <c r="C22" s="93">
        <f>'02'!AD26</f>
        <v>1</v>
      </c>
      <c r="D22" s="74">
        <f>'03'!AD25</f>
        <v>1</v>
      </c>
      <c r="E22" s="74">
        <f>'04'!AD26</f>
        <v>1</v>
      </c>
      <c r="F22" s="74">
        <f>'05'!AD26</f>
        <v>0.75</v>
      </c>
      <c r="G22" s="74"/>
      <c r="H22" s="74"/>
      <c r="I22" s="74">
        <f>'08'!AD27</f>
        <v>0</v>
      </c>
      <c r="J22" s="74">
        <f>'09'!AD26</f>
        <v>0.95833333333333337</v>
      </c>
      <c r="K22" s="74">
        <f>'10'!AD25</f>
        <v>0</v>
      </c>
      <c r="L22" s="74">
        <f>'11'!AD25</f>
        <v>0</v>
      </c>
      <c r="M22" s="74">
        <f>'12'!AD25</f>
        <v>0</v>
      </c>
      <c r="N22" s="74"/>
      <c r="O22" s="74"/>
      <c r="P22" s="74">
        <f>'15'!AD28</f>
        <v>0.75</v>
      </c>
      <c r="Q22" s="74">
        <f>'16'!AD27</f>
        <v>1</v>
      </c>
      <c r="R22" s="74">
        <f>'17'!AD26</f>
        <v>1</v>
      </c>
      <c r="S22" s="74">
        <f>'18'!AD25</f>
        <v>1</v>
      </c>
      <c r="T22" s="74">
        <f>'19'!AD26</f>
        <v>0.33333333333333331</v>
      </c>
      <c r="U22" s="74"/>
      <c r="V22" s="74"/>
      <c r="W22" s="74">
        <f>'22'!AD26</f>
        <v>0</v>
      </c>
      <c r="X22" s="74">
        <f>'23'!AD29</f>
        <v>0</v>
      </c>
      <c r="Y22" s="74">
        <f>'24'!AD26</f>
        <v>0</v>
      </c>
      <c r="Z22" s="74">
        <f>'25'!AD25</f>
        <v>0</v>
      </c>
      <c r="AA22" s="74">
        <f>'26'!AD28</f>
        <v>0</v>
      </c>
      <c r="AB22" s="74"/>
      <c r="AC22" s="74"/>
      <c r="AD22" s="74">
        <f>'29'!AD26</f>
        <v>0</v>
      </c>
      <c r="AE22" s="74">
        <f>'30'!AD26</f>
        <v>0</v>
      </c>
      <c r="AF22" s="75"/>
      <c r="AG22" s="76">
        <f t="shared" si="0"/>
        <v>0.31111111111111112</v>
      </c>
    </row>
    <row r="23" spans="1:33" ht="21.75" customHeight="1">
      <c r="A23" s="95" t="s">
        <v>131</v>
      </c>
      <c r="B23" s="93">
        <f>'01'!AD27</f>
        <v>0</v>
      </c>
      <c r="C23" s="93">
        <f>'02'!AD27</f>
        <v>0</v>
      </c>
      <c r="D23" s="74">
        <f>'03'!AD26</f>
        <v>0.20833333333333334</v>
      </c>
      <c r="E23" s="74">
        <f>'04'!AD27</f>
        <v>0</v>
      </c>
      <c r="F23" s="74">
        <f>'05'!AD27</f>
        <v>0</v>
      </c>
      <c r="G23" s="74"/>
      <c r="H23" s="74"/>
      <c r="I23" s="74">
        <f>'08'!AD28</f>
        <v>0</v>
      </c>
      <c r="J23" s="74">
        <f>'09'!AD27</f>
        <v>0.66666666666666663</v>
      </c>
      <c r="K23" s="74">
        <f>'10'!AD26</f>
        <v>1</v>
      </c>
      <c r="L23" s="74">
        <f>'11'!AD26</f>
        <v>0.95833333333333337</v>
      </c>
      <c r="M23" s="74">
        <f>'12'!AD26</f>
        <v>0.375</v>
      </c>
      <c r="N23" s="74"/>
      <c r="O23" s="74"/>
      <c r="P23" s="74">
        <f>'15'!AD29</f>
        <v>1</v>
      </c>
      <c r="Q23" s="74">
        <f>'16'!AD28</f>
        <v>1</v>
      </c>
      <c r="R23" s="74">
        <f>'17'!AD27</f>
        <v>1</v>
      </c>
      <c r="S23" s="74">
        <f>'18'!AD26</f>
        <v>1</v>
      </c>
      <c r="T23" s="74">
        <f>'19'!AD27</f>
        <v>0.875</v>
      </c>
      <c r="U23" s="74"/>
      <c r="V23" s="74"/>
      <c r="W23" s="74">
        <f>'22'!AD27</f>
        <v>0</v>
      </c>
      <c r="X23" s="74">
        <f>'23'!AD30</f>
        <v>0</v>
      </c>
      <c r="Y23" s="74">
        <f>'24'!AD27</f>
        <v>0</v>
      </c>
      <c r="Z23" s="74">
        <f>'25'!AD26</f>
        <v>0</v>
      </c>
      <c r="AA23" s="74">
        <f>'26'!AD29</f>
        <v>0</v>
      </c>
      <c r="AB23" s="74"/>
      <c r="AC23" s="74"/>
      <c r="AD23" s="74">
        <f>'29'!AD27</f>
        <v>0</v>
      </c>
      <c r="AE23" s="74">
        <f>'30'!AD27</f>
        <v>0</v>
      </c>
      <c r="AF23" s="75"/>
      <c r="AG23" s="76">
        <f t="shared" si="0"/>
        <v>0.26944444444444449</v>
      </c>
    </row>
    <row r="24" spans="1:33" ht="21.75" customHeight="1">
      <c r="A24" s="95" t="s">
        <v>132</v>
      </c>
      <c r="B24" s="93">
        <f>'01'!AD28</f>
        <v>0</v>
      </c>
      <c r="C24" s="93">
        <f>'02'!AD28</f>
        <v>0</v>
      </c>
      <c r="D24" s="74">
        <f>'03'!AD27</f>
        <v>0</v>
      </c>
      <c r="E24" s="74">
        <f>'04'!AD28</f>
        <v>0</v>
      </c>
      <c r="F24" s="74">
        <f>'05'!AD28</f>
        <v>0</v>
      </c>
      <c r="G24" s="74"/>
      <c r="H24" s="74"/>
      <c r="I24" s="74">
        <f>'08'!AD29</f>
        <v>0</v>
      </c>
      <c r="J24" s="74">
        <f>'09'!AD28</f>
        <v>0.66666666666666663</v>
      </c>
      <c r="K24" s="74">
        <f>'10'!AD27</f>
        <v>0.875</v>
      </c>
      <c r="L24" s="74">
        <f>'11'!AD27</f>
        <v>0.20833333333333334</v>
      </c>
      <c r="M24" s="74">
        <f>'12'!AD27</f>
        <v>0</v>
      </c>
      <c r="N24" s="74"/>
      <c r="O24" s="74"/>
      <c r="P24" s="74">
        <f>'15'!AD30</f>
        <v>0</v>
      </c>
      <c r="Q24" s="74">
        <f>'16'!AD29</f>
        <v>0.79166666666666663</v>
      </c>
      <c r="R24" s="74">
        <f>'17'!AD28</f>
        <v>1</v>
      </c>
      <c r="S24" s="74">
        <f>'18'!AD27</f>
        <v>1</v>
      </c>
      <c r="T24" s="74">
        <f>'19'!AD28</f>
        <v>0.875</v>
      </c>
      <c r="U24" s="74"/>
      <c r="V24" s="74"/>
      <c r="W24" s="74">
        <f>'22'!AD28</f>
        <v>0</v>
      </c>
      <c r="X24" s="74">
        <f>'23'!AD31</f>
        <v>0</v>
      </c>
      <c r="Y24" s="74">
        <f>'24'!AD28</f>
        <v>0</v>
      </c>
      <c r="Z24" s="74">
        <f>'25'!AD27</f>
        <v>0</v>
      </c>
      <c r="AA24" s="74">
        <f>'26'!AD30</f>
        <v>0</v>
      </c>
      <c r="AB24" s="74"/>
      <c r="AC24" s="74"/>
      <c r="AD24" s="74">
        <f>'29'!AD28</f>
        <v>0</v>
      </c>
      <c r="AE24" s="74">
        <f>'30'!AD28</f>
        <v>0</v>
      </c>
      <c r="AF24" s="75"/>
      <c r="AG24" s="76">
        <f t="shared" si="0"/>
        <v>0.18055555555555552</v>
      </c>
    </row>
    <row r="25" spans="1:33" ht="21.75" customHeight="1">
      <c r="A25" s="95" t="s">
        <v>133</v>
      </c>
      <c r="B25" s="93">
        <f>'01'!AD29</f>
        <v>0</v>
      </c>
      <c r="C25" s="93">
        <f>'02'!AD29</f>
        <v>0</v>
      </c>
      <c r="D25" s="74">
        <f>'03'!AD28</f>
        <v>0</v>
      </c>
      <c r="E25" s="74">
        <f>'04'!AD29</f>
        <v>0</v>
      </c>
      <c r="F25" s="74">
        <f>'05'!AD29</f>
        <v>0</v>
      </c>
      <c r="G25" s="74"/>
      <c r="H25" s="74"/>
      <c r="I25" s="74">
        <f>'08'!AD30</f>
        <v>0</v>
      </c>
      <c r="J25" s="74">
        <f>'09'!AD29</f>
        <v>0</v>
      </c>
      <c r="K25" s="74">
        <f>'10'!AD28</f>
        <v>1</v>
      </c>
      <c r="L25" s="74">
        <f>'11'!AD28</f>
        <v>1</v>
      </c>
      <c r="M25" s="74">
        <f>'12'!AD28</f>
        <v>0.375</v>
      </c>
      <c r="N25" s="74"/>
      <c r="O25" s="74"/>
      <c r="P25" s="74">
        <f>'15'!AD31</f>
        <v>1</v>
      </c>
      <c r="Q25" s="74">
        <f>'16'!AD30</f>
        <v>1</v>
      </c>
      <c r="R25" s="74">
        <f>'17'!AD29</f>
        <v>1</v>
      </c>
      <c r="S25" s="74">
        <f>'18'!AD28</f>
        <v>1</v>
      </c>
      <c r="T25" s="74">
        <f>'19'!AD29</f>
        <v>0.875</v>
      </c>
      <c r="U25" s="74"/>
      <c r="V25" s="74"/>
      <c r="W25" s="74">
        <f>'22'!AD29</f>
        <v>0</v>
      </c>
      <c r="X25" s="74">
        <f>'23'!AD32</f>
        <v>0</v>
      </c>
      <c r="Y25" s="74">
        <f>'24'!AD29</f>
        <v>0</v>
      </c>
      <c r="Z25" s="74">
        <f>'25'!AD28</f>
        <v>0</v>
      </c>
      <c r="AA25" s="74">
        <f>'26'!AD31</f>
        <v>0</v>
      </c>
      <c r="AB25" s="74"/>
      <c r="AC25" s="74"/>
      <c r="AD25" s="74">
        <f>'29'!AD29</f>
        <v>0</v>
      </c>
      <c r="AE25" s="74">
        <f>'30'!AD29</f>
        <v>0</v>
      </c>
      <c r="AF25" s="75"/>
      <c r="AG25" s="76">
        <f t="shared" si="0"/>
        <v>0.24166666666666667</v>
      </c>
    </row>
    <row r="26" spans="1:33" ht="21.75" customHeight="1" thickBot="1">
      <c r="A26" s="96" t="s">
        <v>134</v>
      </c>
      <c r="B26" s="94">
        <f>'01'!AD30</f>
        <v>0</v>
      </c>
      <c r="C26" s="94">
        <f>'02'!AD30</f>
        <v>0</v>
      </c>
      <c r="D26" s="77">
        <f>'03'!AD29</f>
        <v>0</v>
      </c>
      <c r="E26" s="77">
        <f>'04'!AD30</f>
        <v>0</v>
      </c>
      <c r="F26" s="77">
        <f>'05'!AD30</f>
        <v>0</v>
      </c>
      <c r="G26" s="77"/>
      <c r="H26" s="77"/>
      <c r="I26" s="77">
        <f>'08'!AD31</f>
        <v>0</v>
      </c>
      <c r="J26" s="77">
        <f>'09'!AD30</f>
        <v>0</v>
      </c>
      <c r="K26" s="77">
        <f>'10'!AD29</f>
        <v>0</v>
      </c>
      <c r="L26" s="77">
        <f>'11'!AD29</f>
        <v>0</v>
      </c>
      <c r="M26" s="77">
        <f>'12'!AD29</f>
        <v>0</v>
      </c>
      <c r="N26" s="77"/>
      <c r="O26" s="77"/>
      <c r="P26" s="77">
        <f>'15'!AD32</f>
        <v>0</v>
      </c>
      <c r="Q26" s="77">
        <f>'16'!AD31</f>
        <v>0</v>
      </c>
      <c r="R26" s="77">
        <f>'17'!AD30</f>
        <v>0</v>
      </c>
      <c r="S26" s="77">
        <f>'18'!AD29</f>
        <v>0</v>
      </c>
      <c r="T26" s="77">
        <f>'19'!AD30</f>
        <v>0</v>
      </c>
      <c r="U26" s="77"/>
      <c r="V26" s="77"/>
      <c r="W26" s="77">
        <f>'22'!AD30</f>
        <v>0</v>
      </c>
      <c r="X26" s="77">
        <f>'23'!AD33</f>
        <v>0</v>
      </c>
      <c r="Y26" s="77">
        <f>'24'!AD30</f>
        <v>0</v>
      </c>
      <c r="Z26" s="77">
        <f>'25'!AD29</f>
        <v>0</v>
      </c>
      <c r="AA26" s="77">
        <f>'26'!AD32</f>
        <v>0</v>
      </c>
      <c r="AB26" s="77"/>
      <c r="AC26" s="77"/>
      <c r="AD26" s="77">
        <f>'29'!AD30</f>
        <v>0</v>
      </c>
      <c r="AE26" s="77">
        <f>'30'!AD30</f>
        <v>0</v>
      </c>
      <c r="AF26" s="78"/>
      <c r="AG26" s="79">
        <f t="shared" si="0"/>
        <v>0</v>
      </c>
    </row>
    <row r="27" spans="1:33" s="80" customFormat="1" ht="21.75" customHeight="1">
      <c r="A27" s="84" t="s">
        <v>104</v>
      </c>
      <c r="B27" s="88">
        <f>'01'!AD31</f>
        <v>0.44793388429752062</v>
      </c>
      <c r="C27" s="88">
        <f>'02'!AD31</f>
        <v>0.53166666666666673</v>
      </c>
      <c r="D27" s="89">
        <f>'03'!AD30</f>
        <v>0.58333333333333337</v>
      </c>
      <c r="E27" s="89">
        <f>'04'!AD31</f>
        <v>0.68278059266083235</v>
      </c>
      <c r="F27" s="89">
        <f>'05'!AD31</f>
        <v>0.495</v>
      </c>
      <c r="G27" s="89"/>
      <c r="H27" s="89"/>
      <c r="I27" s="89">
        <f>'08'!AD32</f>
        <v>0.45833333333333331</v>
      </c>
      <c r="J27" s="89">
        <f>'09'!AD31</f>
        <v>0.55999999999999994</v>
      </c>
      <c r="K27" s="89">
        <f>'10'!AD30</f>
        <v>0.58159722222222221</v>
      </c>
      <c r="L27" s="89">
        <f>'11'!AD30</f>
        <v>0.55034722222222221</v>
      </c>
      <c r="M27" s="89">
        <f>'12'!AD30</f>
        <v>0.47916666666666669</v>
      </c>
      <c r="N27" s="89"/>
      <c r="O27" s="89"/>
      <c r="P27" s="89">
        <f>'15'!AD33</f>
        <v>0.56327160493827155</v>
      </c>
      <c r="Q27" s="89">
        <f>'16'!AD32</f>
        <v>0.58493589743589736</v>
      </c>
      <c r="R27" s="89">
        <f>'17'!AD31</f>
        <v>0.59833333333333327</v>
      </c>
      <c r="S27" s="89">
        <f>'18'!AD30</f>
        <v>0.54166666666666663</v>
      </c>
      <c r="T27" s="89">
        <f>'19'!AD31</f>
        <v>0.56333333333333324</v>
      </c>
      <c r="U27" s="89"/>
      <c r="V27" s="89"/>
      <c r="W27" s="89">
        <f>'22'!AD31</f>
        <v>0.41499999999999998</v>
      </c>
      <c r="X27" s="89">
        <f>'23'!AD34</f>
        <v>0.38988095238095238</v>
      </c>
      <c r="Y27" s="89">
        <f>'24'!AD31</f>
        <v>0.43</v>
      </c>
      <c r="Z27" s="89">
        <f>'25'!AD30</f>
        <v>0.515625</v>
      </c>
      <c r="AA27" s="89">
        <f>'26'!AD33</f>
        <v>0.48061321958992514</v>
      </c>
      <c r="AB27" s="89"/>
      <c r="AC27" s="89"/>
      <c r="AD27" s="89">
        <f>'29'!AD31</f>
        <v>0.41333333333333333</v>
      </c>
      <c r="AE27" s="89">
        <f>'30'!AD31</f>
        <v>0.46500000000000002</v>
      </c>
      <c r="AF27" s="90"/>
      <c r="AG27" s="91">
        <f t="shared" si="0"/>
        <v>0.37770507541381704</v>
      </c>
    </row>
    <row r="28" spans="1:33" ht="21.75" customHeight="1" thickBot="1">
      <c r="A28" s="69" t="s">
        <v>108</v>
      </c>
      <c r="B28" s="70">
        <v>0.62</v>
      </c>
      <c r="C28" s="71">
        <v>0.62</v>
      </c>
      <c r="D28" s="71">
        <v>0.62</v>
      </c>
      <c r="E28" s="71">
        <v>0.62</v>
      </c>
      <c r="F28" s="71">
        <v>0.62</v>
      </c>
      <c r="G28" s="71">
        <v>0.62</v>
      </c>
      <c r="H28" s="71">
        <v>0.62</v>
      </c>
      <c r="I28" s="71">
        <v>0.62</v>
      </c>
      <c r="J28" s="71">
        <v>0.62</v>
      </c>
      <c r="K28" s="71">
        <v>0.62</v>
      </c>
      <c r="L28" s="71">
        <v>0.62</v>
      </c>
      <c r="M28" s="71">
        <v>0.62</v>
      </c>
      <c r="N28" s="71">
        <v>0.62</v>
      </c>
      <c r="O28" s="71">
        <v>0.62</v>
      </c>
      <c r="P28" s="71">
        <v>0.62</v>
      </c>
      <c r="Q28" s="71">
        <v>0.62</v>
      </c>
      <c r="R28" s="71">
        <v>0.62</v>
      </c>
      <c r="S28" s="71">
        <v>0.62</v>
      </c>
      <c r="T28" s="71">
        <v>0.62</v>
      </c>
      <c r="U28" s="71">
        <v>0.62</v>
      </c>
      <c r="V28" s="71">
        <v>0.62</v>
      </c>
      <c r="W28" s="71">
        <v>0.62</v>
      </c>
      <c r="X28" s="71">
        <v>0.62</v>
      </c>
      <c r="Y28" s="71">
        <v>0.62</v>
      </c>
      <c r="Z28" s="71">
        <v>0.62</v>
      </c>
      <c r="AA28" s="71">
        <v>0.62</v>
      </c>
      <c r="AB28" s="71">
        <v>0.62</v>
      </c>
      <c r="AC28" s="71">
        <v>0.62</v>
      </c>
      <c r="AD28" s="71">
        <v>0.62</v>
      </c>
      <c r="AE28" s="71">
        <v>0.62</v>
      </c>
      <c r="AF28" s="72">
        <v>0.62</v>
      </c>
      <c r="AG28" s="73">
        <v>0.62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DD0E-E10F-4BC8-9008-63C1A570C257}">
  <sheetPr codeName="Sheet3">
    <pageSetUpPr fitToPage="1"/>
  </sheetPr>
  <dimension ref="A1:AF95"/>
  <sheetViews>
    <sheetView view="pageBreakPreview" topLeftCell="A73" zoomScale="70" zoomScaleNormal="72" zoomScaleSheetLayoutView="70" workbookViewId="0">
      <selection activeCell="A92" sqref="A92:B9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252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144" t="s">
        <v>17</v>
      </c>
      <c r="L5" s="144" t="s">
        <v>18</v>
      </c>
      <c r="M5" s="144" t="s">
        <v>19</v>
      </c>
      <c r="N5" s="14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115</v>
      </c>
      <c r="E6" s="53" t="s">
        <v>194</v>
      </c>
      <c r="F6" s="30" t="s">
        <v>150</v>
      </c>
      <c r="G6" s="12">
        <v>1</v>
      </c>
      <c r="H6" s="13">
        <v>24</v>
      </c>
      <c r="I6" s="31">
        <v>30000</v>
      </c>
      <c r="J6" s="14">
        <v>2171</v>
      </c>
      <c r="K6" s="15">
        <f>L6+8904+9248</f>
        <v>20323</v>
      </c>
      <c r="L6" s="15">
        <v>2171</v>
      </c>
      <c r="M6" s="15">
        <f t="shared" ref="M6:M29" si="0">L6-N6</f>
        <v>2171</v>
      </c>
      <c r="N6" s="15">
        <v>0</v>
      </c>
      <c r="O6" s="58">
        <f t="shared" ref="O6:O30" si="1">IF(L6=0,"0",N6/L6)</f>
        <v>0</v>
      </c>
      <c r="P6" s="39">
        <f t="shared" ref="P6:P29" si="2">IF(L6=0,"0",(24-Q6))</f>
        <v>10</v>
      </c>
      <c r="Q6" s="40">
        <f t="shared" ref="Q6:Q29" si="3">SUM(R6:AA6)</f>
        <v>14</v>
      </c>
      <c r="R6" s="7"/>
      <c r="S6" s="6">
        <v>14</v>
      </c>
      <c r="T6" s="16"/>
      <c r="U6" s="16"/>
      <c r="V6" s="17"/>
      <c r="W6" s="5"/>
      <c r="X6" s="16"/>
      <c r="Y6" s="16"/>
      <c r="Z6" s="16"/>
      <c r="AA6" s="18"/>
      <c r="AB6" s="8">
        <f t="shared" ref="AB6:AB29" si="4">IF(J6=0,"0",(L6/J6))</f>
        <v>1</v>
      </c>
      <c r="AC6" s="9">
        <f t="shared" ref="AC6:AC29" si="5">IF(P6=0,"0",(P6/24))</f>
        <v>0.41666666666666669</v>
      </c>
      <c r="AD6" s="10">
        <f>AC6*AB6*(1-O6)</f>
        <v>0.41666666666666669</v>
      </c>
      <c r="AE6" s="36">
        <f t="shared" ref="AE6:AE29" si="6">$AD$30</f>
        <v>0.58333333333333337</v>
      </c>
      <c r="AF6" s="81">
        <f t="shared" ref="AF6:AF29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224</v>
      </c>
      <c r="E7" s="53" t="s">
        <v>225</v>
      </c>
      <c r="F7" s="30" t="s">
        <v>136</v>
      </c>
      <c r="G7" s="12">
        <v>1</v>
      </c>
      <c r="H7" s="13">
        <v>24</v>
      </c>
      <c r="I7" s="31">
        <v>15000</v>
      </c>
      <c r="J7" s="14">
        <v>5825</v>
      </c>
      <c r="K7" s="15">
        <f>L7+3671</f>
        <v>9496</v>
      </c>
      <c r="L7" s="15">
        <f>2956+2869</f>
        <v>5825</v>
      </c>
      <c r="M7" s="15">
        <f t="shared" si="0"/>
        <v>5825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9" si="8">AC7*AB7*(1-O7)</f>
        <v>1</v>
      </c>
      <c r="AE7" s="36">
        <f t="shared" si="6"/>
        <v>0.58333333333333337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254</v>
      </c>
      <c r="E8" s="53" t="s">
        <v>255</v>
      </c>
      <c r="F8" s="30" t="s">
        <v>123</v>
      </c>
      <c r="G8" s="12">
        <v>1</v>
      </c>
      <c r="H8" s="13">
        <v>35</v>
      </c>
      <c r="I8" s="31">
        <v>2500</v>
      </c>
      <c r="J8" s="5">
        <v>4333</v>
      </c>
      <c r="K8" s="15">
        <f>L8</f>
        <v>4333</v>
      </c>
      <c r="L8" s="15">
        <f>669+3664</f>
        <v>4333</v>
      </c>
      <c r="M8" s="15">
        <f t="shared" si="0"/>
        <v>4333</v>
      </c>
      <c r="N8" s="15">
        <v>0</v>
      </c>
      <c r="O8" s="58">
        <f t="shared" si="1"/>
        <v>0</v>
      </c>
      <c r="P8" s="39">
        <f t="shared" si="2"/>
        <v>19</v>
      </c>
      <c r="Q8" s="40">
        <f t="shared" si="3"/>
        <v>5</v>
      </c>
      <c r="R8" s="7"/>
      <c r="S8" s="6"/>
      <c r="T8" s="16"/>
      <c r="U8" s="16"/>
      <c r="V8" s="17"/>
      <c r="W8" s="5"/>
      <c r="X8" s="16"/>
      <c r="Y8" s="16"/>
      <c r="Z8" s="16"/>
      <c r="AA8" s="18">
        <v>5</v>
      </c>
      <c r="AB8" s="8">
        <f t="shared" si="4"/>
        <v>1</v>
      </c>
      <c r="AC8" s="9">
        <f t="shared" si="5"/>
        <v>0.79166666666666663</v>
      </c>
      <c r="AD8" s="10">
        <f t="shared" si="8"/>
        <v>0.79166666666666663</v>
      </c>
      <c r="AE8" s="36">
        <f t="shared" si="6"/>
        <v>0.58333333333333337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112</v>
      </c>
      <c r="D9" s="52" t="s">
        <v>115</v>
      </c>
      <c r="E9" s="53" t="s">
        <v>187</v>
      </c>
      <c r="F9" s="30" t="s">
        <v>196</v>
      </c>
      <c r="G9" s="12">
        <v>1</v>
      </c>
      <c r="H9" s="13">
        <v>24</v>
      </c>
      <c r="I9" s="7">
        <v>11000</v>
      </c>
      <c r="J9" s="14">
        <v>5301</v>
      </c>
      <c r="K9" s="15">
        <f>L9+4988+5202</f>
        <v>15491</v>
      </c>
      <c r="L9" s="15">
        <f>2687+2614</f>
        <v>5301</v>
      </c>
      <c r="M9" s="15">
        <f t="shared" si="0"/>
        <v>5301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0.58333333333333337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145</v>
      </c>
      <c r="F10" s="30" t="s">
        <v>123</v>
      </c>
      <c r="G10" s="33">
        <v>1</v>
      </c>
      <c r="H10" s="35">
        <v>24</v>
      </c>
      <c r="I10" s="7">
        <v>115000</v>
      </c>
      <c r="J10" s="14">
        <v>5779</v>
      </c>
      <c r="K10" s="15">
        <f>L10+5338+5669+5744+4980+3619+1932+309+2790+5660+4715+1739+3127+5884+1203+3638+5732+5658+5217+2430+1897+5596+5715+3707+799+2709+2266+5086+3381+4392+5682+5705+5451+2998+2865+4585+5706+4871+3392+5482</f>
        <v>163448</v>
      </c>
      <c r="L10" s="15">
        <f>2847+2932</f>
        <v>5779</v>
      </c>
      <c r="M10" s="15">
        <f t="shared" si="0"/>
        <v>5779</v>
      </c>
      <c r="N10" s="15">
        <v>0</v>
      </c>
      <c r="O10" s="58">
        <f t="shared" si="1"/>
        <v>0</v>
      </c>
      <c r="P10" s="39">
        <f t="shared" si="2"/>
        <v>23</v>
      </c>
      <c r="Q10" s="40">
        <f t="shared" si="3"/>
        <v>1</v>
      </c>
      <c r="R10" s="7"/>
      <c r="S10" s="6">
        <v>1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0.95833333333333337</v>
      </c>
      <c r="AD10" s="10">
        <f t="shared" si="8"/>
        <v>0.95833333333333337</v>
      </c>
      <c r="AE10" s="36">
        <f t="shared" si="6"/>
        <v>0.58333333333333337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126</v>
      </c>
      <c r="D11" s="52" t="s">
        <v>216</v>
      </c>
      <c r="E11" s="53" t="s">
        <v>226</v>
      </c>
      <c r="F11" s="30" t="s">
        <v>123</v>
      </c>
      <c r="G11" s="33">
        <v>4</v>
      </c>
      <c r="H11" s="35">
        <v>24</v>
      </c>
      <c r="I11" s="7">
        <v>15000</v>
      </c>
      <c r="J11" s="14">
        <v>24084</v>
      </c>
      <c r="K11" s="15">
        <f>L11+27912</f>
        <v>51996</v>
      </c>
      <c r="L11" s="15">
        <f>3263*4+2758*4</f>
        <v>24084</v>
      </c>
      <c r="M11" s="15">
        <f t="shared" si="0"/>
        <v>24084</v>
      </c>
      <c r="N11" s="15">
        <v>0</v>
      </c>
      <c r="O11" s="58">
        <f t="shared" si="1"/>
        <v>0</v>
      </c>
      <c r="P11" s="39">
        <f t="shared" si="2"/>
        <v>21</v>
      </c>
      <c r="Q11" s="40">
        <f t="shared" si="3"/>
        <v>3</v>
      </c>
      <c r="R11" s="7"/>
      <c r="S11" s="6">
        <v>3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0.875</v>
      </c>
      <c r="AD11" s="10">
        <f t="shared" si="8"/>
        <v>0.875</v>
      </c>
      <c r="AE11" s="36">
        <f t="shared" si="6"/>
        <v>0.58333333333333337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40000</v>
      </c>
      <c r="J12" s="5">
        <v>5044</v>
      </c>
      <c r="K12" s="15">
        <f>L12+2299+960+4314+5153+4996+5031+573</f>
        <v>28370</v>
      </c>
      <c r="L12" s="15">
        <f>2655+2389</f>
        <v>5044</v>
      </c>
      <c r="M12" s="15">
        <f t="shared" si="0"/>
        <v>5044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0.58333333333333337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126</v>
      </c>
      <c r="D13" s="52" t="s">
        <v>169</v>
      </c>
      <c r="E13" s="53" t="s">
        <v>168</v>
      </c>
      <c r="F13" s="30" t="s">
        <v>167</v>
      </c>
      <c r="G13" s="33" t="s">
        <v>170</v>
      </c>
      <c r="H13" s="35">
        <v>22</v>
      </c>
      <c r="I13" s="7">
        <v>2000</v>
      </c>
      <c r="J13" s="14">
        <v>2807</v>
      </c>
      <c r="K13" s="15">
        <f>L13+1084</f>
        <v>3891</v>
      </c>
      <c r="L13" s="15">
        <f>2180+627</f>
        <v>2807</v>
      </c>
      <c r="M13" s="15">
        <f t="shared" si="0"/>
        <v>2807</v>
      </c>
      <c r="N13" s="15">
        <v>0</v>
      </c>
      <c r="O13" s="58">
        <f t="shared" si="1"/>
        <v>0</v>
      </c>
      <c r="P13" s="39">
        <f t="shared" si="2"/>
        <v>17</v>
      </c>
      <c r="Q13" s="40">
        <f t="shared" si="3"/>
        <v>7</v>
      </c>
      <c r="R13" s="7"/>
      <c r="S13" s="6">
        <v>7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0.70833333333333337</v>
      </c>
      <c r="AD13" s="10">
        <f t="shared" si="8"/>
        <v>0.70833333333333337</v>
      </c>
      <c r="AE13" s="36">
        <f t="shared" si="6"/>
        <v>0.58333333333333337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151</v>
      </c>
      <c r="D14" s="52" t="s">
        <v>115</v>
      </c>
      <c r="E14" s="53" t="s">
        <v>236</v>
      </c>
      <c r="F14" s="30" t="s">
        <v>148</v>
      </c>
      <c r="G14" s="33">
        <v>1</v>
      </c>
      <c r="H14" s="35">
        <v>50</v>
      </c>
      <c r="I14" s="7">
        <v>900</v>
      </c>
      <c r="J14" s="5">
        <v>529</v>
      </c>
      <c r="K14" s="15">
        <f>L14</f>
        <v>529</v>
      </c>
      <c r="L14" s="15">
        <f>529</f>
        <v>529</v>
      </c>
      <c r="M14" s="15">
        <f t="shared" si="0"/>
        <v>529</v>
      </c>
      <c r="N14" s="15">
        <v>0</v>
      </c>
      <c r="O14" s="58">
        <f t="shared" si="1"/>
        <v>0</v>
      </c>
      <c r="P14" s="39">
        <f t="shared" si="2"/>
        <v>8</v>
      </c>
      <c r="Q14" s="40">
        <f t="shared" si="3"/>
        <v>16</v>
      </c>
      <c r="R14" s="7"/>
      <c r="S14" s="6">
        <v>16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0.33333333333333331</v>
      </c>
      <c r="AD14" s="10">
        <f t="shared" si="8"/>
        <v>0.33333333333333331</v>
      </c>
      <c r="AE14" s="36">
        <f t="shared" si="6"/>
        <v>0.58333333333333337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137</v>
      </c>
      <c r="E15" s="53" t="s">
        <v>177</v>
      </c>
      <c r="F15" s="30" t="s">
        <v>138</v>
      </c>
      <c r="G15" s="12">
        <v>2</v>
      </c>
      <c r="H15" s="13">
        <v>24</v>
      </c>
      <c r="I15" s="31">
        <f>74000+25000+40000</f>
        <v>139000</v>
      </c>
      <c r="J15" s="14">
        <v>10408</v>
      </c>
      <c r="K15" s="15">
        <f>L15+8206+11870+12258+12474+11882+10946+12064+12086+11982+11968+11258+11962</f>
        <v>149364</v>
      </c>
      <c r="L15" s="15">
        <f>2844*2+2360*2</f>
        <v>10408</v>
      </c>
      <c r="M15" s="15">
        <f t="shared" si="0"/>
        <v>10408</v>
      </c>
      <c r="N15" s="15">
        <v>0</v>
      </c>
      <c r="O15" s="58">
        <f t="shared" si="1"/>
        <v>0</v>
      </c>
      <c r="P15" s="39">
        <f t="shared" si="2"/>
        <v>22</v>
      </c>
      <c r="Q15" s="40">
        <f t="shared" si="3"/>
        <v>2</v>
      </c>
      <c r="R15" s="7"/>
      <c r="S15" s="6">
        <v>2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0.91666666666666663</v>
      </c>
      <c r="AD15" s="10">
        <f t="shared" si="8"/>
        <v>0.91666666666666663</v>
      </c>
      <c r="AE15" s="36">
        <f t="shared" si="6"/>
        <v>0.58333333333333337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112</v>
      </c>
      <c r="D16" s="52" t="s">
        <v>149</v>
      </c>
      <c r="E16" s="53" t="s">
        <v>164</v>
      </c>
      <c r="F16" s="30" t="s">
        <v>165</v>
      </c>
      <c r="G16" s="12">
        <v>2</v>
      </c>
      <c r="H16" s="13">
        <v>22</v>
      </c>
      <c r="I16" s="31">
        <f>72000+40000</f>
        <v>112000</v>
      </c>
      <c r="J16" s="5">
        <v>10970</v>
      </c>
      <c r="K16" s="15">
        <f>L16+4453+8440+10782+9098+8530+6582+6076+10824+10810+10874+10764+8950+10808</f>
        <v>127961</v>
      </c>
      <c r="L16" s="15">
        <f>2773*2+2712*2</f>
        <v>10970</v>
      </c>
      <c r="M16" s="15">
        <f t="shared" si="0"/>
        <v>10970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0.58333333333333337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126</v>
      </c>
      <c r="D17" s="52" t="s">
        <v>197</v>
      </c>
      <c r="E17" s="53" t="s">
        <v>176</v>
      </c>
      <c r="F17" s="30" t="s">
        <v>183</v>
      </c>
      <c r="G17" s="12">
        <v>4</v>
      </c>
      <c r="H17" s="13">
        <v>24</v>
      </c>
      <c r="I17" s="7">
        <v>20000</v>
      </c>
      <c r="J17" s="14">
        <v>18304</v>
      </c>
      <c r="K17" s="15">
        <f>L17+14416+18304</f>
        <v>32720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/>
      <c r="X17" s="16"/>
      <c r="Y17" s="16"/>
      <c r="Z17" s="16"/>
      <c r="AA17" s="18">
        <v>24</v>
      </c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0.58333333333333337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112</v>
      </c>
      <c r="D18" s="52" t="s">
        <v>198</v>
      </c>
      <c r="E18" s="53" t="s">
        <v>189</v>
      </c>
      <c r="F18" s="30" t="s">
        <v>148</v>
      </c>
      <c r="G18" s="12">
        <v>1</v>
      </c>
      <c r="H18" s="13">
        <v>22</v>
      </c>
      <c r="I18" s="31">
        <v>8000</v>
      </c>
      <c r="J18" s="5">
        <v>5023</v>
      </c>
      <c r="K18" s="15">
        <f>L18+5152+5319</f>
        <v>15494</v>
      </c>
      <c r="L18" s="15">
        <f>2355+2668</f>
        <v>5023</v>
      </c>
      <c r="M18" s="15">
        <f t="shared" si="0"/>
        <v>5023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0.58333333333333337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116</v>
      </c>
      <c r="D19" s="52" t="s">
        <v>256</v>
      </c>
      <c r="E19" s="53" t="s">
        <v>235</v>
      </c>
      <c r="F19" s="30" t="s">
        <v>148</v>
      </c>
      <c r="G19" s="33">
        <v>1</v>
      </c>
      <c r="H19" s="35">
        <v>24</v>
      </c>
      <c r="I19" s="7">
        <v>2600</v>
      </c>
      <c r="J19" s="14">
        <v>4348</v>
      </c>
      <c r="K19" s="15">
        <f>L19</f>
        <v>4348</v>
      </c>
      <c r="L19" s="15">
        <f>1597+2751</f>
        <v>4348</v>
      </c>
      <c r="M19" s="15">
        <f t="shared" si="0"/>
        <v>4348</v>
      </c>
      <c r="N19" s="15">
        <v>0</v>
      </c>
      <c r="O19" s="58">
        <f t="shared" si="1"/>
        <v>0</v>
      </c>
      <c r="P19" s="39">
        <f t="shared" si="2"/>
        <v>21</v>
      </c>
      <c r="Q19" s="40">
        <f t="shared" si="3"/>
        <v>3</v>
      </c>
      <c r="R19" s="7"/>
      <c r="S19" s="6">
        <v>3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0.875</v>
      </c>
      <c r="AD19" s="10">
        <f t="shared" si="8"/>
        <v>0.875</v>
      </c>
      <c r="AE19" s="36">
        <f t="shared" si="6"/>
        <v>0.58333333333333337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115</v>
      </c>
      <c r="E20" s="53" t="s">
        <v>140</v>
      </c>
      <c r="F20" s="30" t="s">
        <v>135</v>
      </c>
      <c r="G20" s="33">
        <v>1</v>
      </c>
      <c r="H20" s="35">
        <v>24</v>
      </c>
      <c r="I20" s="7">
        <v>70000</v>
      </c>
      <c r="J20" s="14">
        <v>11066</v>
      </c>
      <c r="K20" s="15">
        <f>L20+3150+7466+4534+7764+11032+11156+11220+10030+4886+5156+5465+5493+1986+8040+10452</f>
        <v>118896</v>
      </c>
      <c r="L20" s="15">
        <f>2726*2+2807*2</f>
        <v>11066</v>
      </c>
      <c r="M20" s="15">
        <f t="shared" si="0"/>
        <v>11066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0.58333333333333337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257</v>
      </c>
      <c r="F21" s="12" t="s">
        <v>114</v>
      </c>
      <c r="G21" s="12">
        <v>3</v>
      </c>
      <c r="H21" s="35">
        <v>20</v>
      </c>
      <c r="I21" s="7">
        <v>500000</v>
      </c>
      <c r="J21" s="14">
        <v>43719</v>
      </c>
      <c r="K21" s="15">
        <f>L21</f>
        <v>43719</v>
      </c>
      <c r="L21" s="15">
        <f>6314*3+8259*3</f>
        <v>43719</v>
      </c>
      <c r="M21" s="15">
        <f t="shared" si="0"/>
        <v>43719</v>
      </c>
      <c r="N21" s="15">
        <v>0</v>
      </c>
      <c r="O21" s="58">
        <f t="shared" si="1"/>
        <v>0</v>
      </c>
      <c r="P21" s="39">
        <f t="shared" si="2"/>
        <v>22</v>
      </c>
      <c r="Q21" s="40">
        <f t="shared" si="3"/>
        <v>2</v>
      </c>
      <c r="R21" s="7"/>
      <c r="S21" s="6"/>
      <c r="T21" s="16">
        <v>2</v>
      </c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0.91666666666666663</v>
      </c>
      <c r="AD21" s="10">
        <f t="shared" si="8"/>
        <v>0.91666666666666663</v>
      </c>
      <c r="AE21" s="36">
        <f t="shared" si="6"/>
        <v>0.58333333333333337</v>
      </c>
      <c r="AF21" s="81">
        <f t="shared" si="7"/>
        <v>16</v>
      </c>
    </row>
    <row r="22" spans="1:32" ht="26.25" customHeight="1">
      <c r="A22" s="115">
        <v>17</v>
      </c>
      <c r="B22" s="11" t="s">
        <v>57</v>
      </c>
      <c r="C22" s="11"/>
      <c r="D22" s="52"/>
      <c r="E22" s="53"/>
      <c r="F22" s="12"/>
      <c r="G22" s="12"/>
      <c r="H22" s="35"/>
      <c r="I22" s="7">
        <v>0</v>
      </c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0.58333333333333337</v>
      </c>
      <c r="AF22" s="81">
        <f t="shared" si="7"/>
        <v>17</v>
      </c>
    </row>
    <row r="23" spans="1:32" ht="26.25" customHeight="1">
      <c r="A23" s="115">
        <v>18</v>
      </c>
      <c r="B23" s="11" t="s">
        <v>57</v>
      </c>
      <c r="C23" s="11" t="s">
        <v>116</v>
      </c>
      <c r="D23" s="52" t="s">
        <v>178</v>
      </c>
      <c r="E23" s="53" t="s">
        <v>179</v>
      </c>
      <c r="F23" s="12" t="s">
        <v>180</v>
      </c>
      <c r="G23" s="12">
        <v>4</v>
      </c>
      <c r="H23" s="35">
        <v>15</v>
      </c>
      <c r="I23" s="7">
        <v>6000</v>
      </c>
      <c r="J23" s="14">
        <v>7513</v>
      </c>
      <c r="K23" s="15">
        <f>L23+2732+12588+7513</f>
        <v>22833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0.58333333333333337</v>
      </c>
      <c r="AF23" s="81">
        <f t="shared" si="7"/>
        <v>18</v>
      </c>
    </row>
    <row r="24" spans="1:32" ht="21.75" customHeight="1">
      <c r="A24" s="92">
        <v>31</v>
      </c>
      <c r="B24" s="11" t="s">
        <v>57</v>
      </c>
      <c r="C24" s="11" t="s">
        <v>116</v>
      </c>
      <c r="D24" s="52" t="s">
        <v>115</v>
      </c>
      <c r="E24" s="53" t="s">
        <v>143</v>
      </c>
      <c r="F24" s="12" t="s">
        <v>135</v>
      </c>
      <c r="G24" s="12">
        <v>4</v>
      </c>
      <c r="H24" s="35">
        <v>20</v>
      </c>
      <c r="I24" s="7">
        <v>70000</v>
      </c>
      <c r="J24" s="14">
        <v>22300</v>
      </c>
      <c r="K24" s="15">
        <f>L24+22300</f>
        <v>22300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0.58333333333333337</v>
      </c>
      <c r="AF24" s="81">
        <f t="shared" si="7"/>
        <v>31</v>
      </c>
    </row>
    <row r="25" spans="1:32" ht="21.75" customHeight="1">
      <c r="A25" s="92">
        <v>32</v>
      </c>
      <c r="B25" s="11" t="s">
        <v>57</v>
      </c>
      <c r="C25" s="11" t="s">
        <v>172</v>
      </c>
      <c r="D25" s="52"/>
      <c r="E25" s="53" t="s">
        <v>171</v>
      </c>
      <c r="F25" s="12" t="s">
        <v>173</v>
      </c>
      <c r="G25" s="12">
        <v>32</v>
      </c>
      <c r="H25" s="35">
        <v>20</v>
      </c>
      <c r="I25" s="7">
        <v>2000000</v>
      </c>
      <c r="J25" s="14">
        <v>378448</v>
      </c>
      <c r="K25" s="15">
        <f>L25+75400+283575+206080+155736+326312</f>
        <v>1425551</v>
      </c>
      <c r="L25" s="15">
        <f>6379*28+7137*28</f>
        <v>378448</v>
      </c>
      <c r="M25" s="15">
        <f t="shared" si="0"/>
        <v>378448</v>
      </c>
      <c r="N25" s="15">
        <v>0</v>
      </c>
      <c r="O25" s="58">
        <f t="shared" si="1"/>
        <v>0</v>
      </c>
      <c r="P25" s="39">
        <f t="shared" si="2"/>
        <v>24</v>
      </c>
      <c r="Q25" s="40">
        <f t="shared" si="3"/>
        <v>0</v>
      </c>
      <c r="R25" s="7"/>
      <c r="S25" s="6"/>
      <c r="T25" s="16"/>
      <c r="U25" s="16"/>
      <c r="V25" s="17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1</v>
      </c>
      <c r="AD25" s="10">
        <f t="shared" si="8"/>
        <v>1</v>
      </c>
      <c r="AE25" s="36">
        <f t="shared" si="6"/>
        <v>0.58333333333333337</v>
      </c>
      <c r="AF25" s="81">
        <f t="shared" si="7"/>
        <v>32</v>
      </c>
    </row>
    <row r="26" spans="1:32" ht="21.75" customHeight="1">
      <c r="A26" s="92">
        <v>33</v>
      </c>
      <c r="B26" s="11" t="s">
        <v>57</v>
      </c>
      <c r="C26" s="11" t="s">
        <v>116</v>
      </c>
      <c r="D26" s="52" t="s">
        <v>121</v>
      </c>
      <c r="E26" s="53" t="s">
        <v>253</v>
      </c>
      <c r="F26" s="12" t="s">
        <v>135</v>
      </c>
      <c r="G26" s="12">
        <v>1</v>
      </c>
      <c r="H26" s="35">
        <v>20</v>
      </c>
      <c r="I26" s="7">
        <v>300</v>
      </c>
      <c r="J26" s="14">
        <v>963</v>
      </c>
      <c r="K26" s="15">
        <f>L26</f>
        <v>963</v>
      </c>
      <c r="L26" s="15">
        <f>963</f>
        <v>963</v>
      </c>
      <c r="M26" s="15">
        <f t="shared" si="0"/>
        <v>963</v>
      </c>
      <c r="N26" s="15">
        <v>0</v>
      </c>
      <c r="O26" s="58">
        <f t="shared" si="1"/>
        <v>0</v>
      </c>
      <c r="P26" s="39">
        <f t="shared" si="2"/>
        <v>5</v>
      </c>
      <c r="Q26" s="40">
        <f t="shared" si="3"/>
        <v>19</v>
      </c>
      <c r="R26" s="7"/>
      <c r="S26" s="6"/>
      <c r="T26" s="16"/>
      <c r="U26" s="16"/>
      <c r="V26" s="114"/>
      <c r="W26" s="5">
        <v>19</v>
      </c>
      <c r="X26" s="16"/>
      <c r="Y26" s="16"/>
      <c r="Z26" s="16"/>
      <c r="AA26" s="18"/>
      <c r="AB26" s="8">
        <f t="shared" si="4"/>
        <v>1</v>
      </c>
      <c r="AC26" s="9">
        <f t="shared" si="5"/>
        <v>0.20833333333333334</v>
      </c>
      <c r="AD26" s="10">
        <f t="shared" si="8"/>
        <v>0.20833333333333334</v>
      </c>
      <c r="AE26" s="36">
        <f t="shared" si="6"/>
        <v>0.58333333333333337</v>
      </c>
      <c r="AF26" s="81">
        <f t="shared" si="7"/>
        <v>33</v>
      </c>
    </row>
    <row r="27" spans="1:32" ht="21.75" customHeight="1">
      <c r="A27" s="92">
        <v>34</v>
      </c>
      <c r="B27" s="11" t="s">
        <v>57</v>
      </c>
      <c r="C27" s="11" t="s">
        <v>116</v>
      </c>
      <c r="D27" s="52" t="s">
        <v>115</v>
      </c>
      <c r="E27" s="53" t="s">
        <v>185</v>
      </c>
      <c r="F27" s="12" t="s">
        <v>124</v>
      </c>
      <c r="G27" s="12">
        <v>4</v>
      </c>
      <c r="H27" s="35">
        <v>20</v>
      </c>
      <c r="I27" s="7">
        <v>4000</v>
      </c>
      <c r="J27" s="14">
        <v>8984</v>
      </c>
      <c r="K27" s="15">
        <f>L27+8984</f>
        <v>8984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0.58333333333333337</v>
      </c>
      <c r="AF27" s="81">
        <f t="shared" si="7"/>
        <v>34</v>
      </c>
    </row>
    <row r="28" spans="1:32" ht="21.75" customHeight="1">
      <c r="A28" s="92">
        <v>35</v>
      </c>
      <c r="B28" s="11" t="s">
        <v>57</v>
      </c>
      <c r="C28" s="11" t="s">
        <v>116</v>
      </c>
      <c r="D28" s="52" t="s">
        <v>121</v>
      </c>
      <c r="E28" s="53" t="s">
        <v>125</v>
      </c>
      <c r="F28" s="12" t="s">
        <v>124</v>
      </c>
      <c r="G28" s="12">
        <v>4</v>
      </c>
      <c r="H28" s="35">
        <v>20</v>
      </c>
      <c r="I28" s="7">
        <v>50000</v>
      </c>
      <c r="J28" s="14">
        <v>26944</v>
      </c>
      <c r="K28" s="15">
        <f>L28+24592+26944+21716</f>
        <v>73252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0.58333333333333337</v>
      </c>
      <c r="AF28" s="81">
        <f t="shared" si="7"/>
        <v>35</v>
      </c>
    </row>
    <row r="29" spans="1:32" ht="21.75" customHeight="1" thickBot="1">
      <c r="A29" s="92">
        <v>36</v>
      </c>
      <c r="B29" s="11" t="s">
        <v>57</v>
      </c>
      <c r="C29" s="11" t="s">
        <v>113</v>
      </c>
      <c r="D29" s="52"/>
      <c r="E29" s="53" t="s">
        <v>144</v>
      </c>
      <c r="F29" s="12" t="s">
        <v>114</v>
      </c>
      <c r="G29" s="12">
        <v>4</v>
      </c>
      <c r="H29" s="35">
        <v>20</v>
      </c>
      <c r="I29" s="7">
        <v>1000000</v>
      </c>
      <c r="J29" s="14">
        <v>79328</v>
      </c>
      <c r="K29" s="15">
        <f>L29+28388+70816+76368+81764+83428+47688+53180+83092+82192+79328</f>
        <v>686244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>
        <v>24</v>
      </c>
      <c r="W29" s="5"/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0.58333333333333337</v>
      </c>
      <c r="AF29" s="81">
        <f t="shared" si="7"/>
        <v>36</v>
      </c>
    </row>
    <row r="30" spans="1:32" ht="19.5" thickBot="1">
      <c r="A30" s="452" t="s">
        <v>34</v>
      </c>
      <c r="B30" s="453"/>
      <c r="C30" s="453"/>
      <c r="D30" s="453"/>
      <c r="E30" s="453"/>
      <c r="F30" s="453"/>
      <c r="G30" s="453"/>
      <c r="H30" s="454"/>
      <c r="I30" s="22">
        <f t="shared" ref="I30:N30" si="9">SUM(I6:I29)</f>
        <v>4213300</v>
      </c>
      <c r="J30" s="19">
        <f t="shared" si="9"/>
        <v>684191</v>
      </c>
      <c r="K30" s="20">
        <f t="shared" si="9"/>
        <v>3030506</v>
      </c>
      <c r="L30" s="21">
        <f t="shared" si="9"/>
        <v>520818</v>
      </c>
      <c r="M30" s="20">
        <f t="shared" si="9"/>
        <v>520818</v>
      </c>
      <c r="N30" s="21">
        <f t="shared" si="9"/>
        <v>0</v>
      </c>
      <c r="O30" s="41">
        <f t="shared" si="1"/>
        <v>0</v>
      </c>
      <c r="P30" s="42">
        <f t="shared" ref="P30:AA30" si="10">SUM(P6:P29)</f>
        <v>336</v>
      </c>
      <c r="Q30" s="43">
        <f t="shared" si="10"/>
        <v>240</v>
      </c>
      <c r="R30" s="23">
        <f t="shared" si="10"/>
        <v>0</v>
      </c>
      <c r="S30" s="24">
        <f t="shared" si="10"/>
        <v>46</v>
      </c>
      <c r="T30" s="24">
        <f t="shared" si="10"/>
        <v>2</v>
      </c>
      <c r="U30" s="24">
        <f t="shared" si="10"/>
        <v>0</v>
      </c>
      <c r="V30" s="25">
        <f t="shared" si="10"/>
        <v>48</v>
      </c>
      <c r="W30" s="26">
        <f t="shared" si="10"/>
        <v>115</v>
      </c>
      <c r="X30" s="27">
        <f t="shared" si="10"/>
        <v>0</v>
      </c>
      <c r="Y30" s="27">
        <f t="shared" si="10"/>
        <v>0</v>
      </c>
      <c r="Z30" s="27">
        <f t="shared" si="10"/>
        <v>0</v>
      </c>
      <c r="AA30" s="27">
        <f t="shared" si="10"/>
        <v>29</v>
      </c>
      <c r="AB30" s="28">
        <f>AVERAGE(AB6:AB29)</f>
        <v>0.73913043478260865</v>
      </c>
      <c r="AC30" s="4">
        <f>AVERAGE(AC6:AC29)</f>
        <v>0.58333333333333337</v>
      </c>
      <c r="AD30" s="4">
        <f>AVERAGE(AD6:AD29)</f>
        <v>0.58333333333333337</v>
      </c>
      <c r="AE30" s="29"/>
    </row>
    <row r="31" spans="1:32">
      <c r="T31" s="50" t="s">
        <v>127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128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2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455" t="s">
        <v>45</v>
      </c>
      <c r="B57" s="455"/>
      <c r="C57" s="455"/>
      <c r="D57" s="455"/>
      <c r="E57" s="455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456" t="s">
        <v>258</v>
      </c>
      <c r="B58" s="457"/>
      <c r="C58" s="457"/>
      <c r="D58" s="457"/>
      <c r="E58" s="457"/>
      <c r="F58" s="457"/>
      <c r="G58" s="457"/>
      <c r="H58" s="457"/>
      <c r="I58" s="457"/>
      <c r="J58" s="457"/>
      <c r="K58" s="457"/>
      <c r="L58" s="457"/>
      <c r="M58" s="458"/>
      <c r="N58" s="459" t="s">
        <v>265</v>
      </c>
      <c r="O58" s="460"/>
      <c r="P58" s="460"/>
      <c r="Q58" s="460"/>
      <c r="R58" s="460"/>
      <c r="S58" s="460"/>
      <c r="T58" s="460"/>
      <c r="U58" s="460"/>
      <c r="V58" s="460"/>
      <c r="W58" s="460"/>
      <c r="X58" s="460"/>
      <c r="Y58" s="460"/>
      <c r="Z58" s="460"/>
      <c r="AA58" s="460"/>
      <c r="AB58" s="460"/>
      <c r="AC58" s="460"/>
      <c r="AD58" s="461"/>
    </row>
    <row r="59" spans="1:32" ht="27" customHeight="1">
      <c r="A59" s="462" t="s">
        <v>2</v>
      </c>
      <c r="B59" s="463"/>
      <c r="C59" s="145" t="s">
        <v>46</v>
      </c>
      <c r="D59" s="145" t="s">
        <v>47</v>
      </c>
      <c r="E59" s="145" t="s">
        <v>107</v>
      </c>
      <c r="F59" s="464" t="s">
        <v>106</v>
      </c>
      <c r="G59" s="465"/>
      <c r="H59" s="465"/>
      <c r="I59" s="465"/>
      <c r="J59" s="465"/>
      <c r="K59" s="465"/>
      <c r="L59" s="465"/>
      <c r="M59" s="466"/>
      <c r="N59" s="67" t="s">
        <v>110</v>
      </c>
      <c r="O59" s="145" t="s">
        <v>46</v>
      </c>
      <c r="P59" s="464" t="s">
        <v>47</v>
      </c>
      <c r="Q59" s="467"/>
      <c r="R59" s="464" t="s">
        <v>38</v>
      </c>
      <c r="S59" s="465"/>
      <c r="T59" s="465"/>
      <c r="U59" s="467"/>
      <c r="V59" s="464" t="s">
        <v>48</v>
      </c>
      <c r="W59" s="465"/>
      <c r="X59" s="465"/>
      <c r="Y59" s="465"/>
      <c r="Z59" s="465"/>
      <c r="AA59" s="465"/>
      <c r="AB59" s="465"/>
      <c r="AC59" s="465"/>
      <c r="AD59" s="466"/>
    </row>
    <row r="60" spans="1:32" ht="27" customHeight="1">
      <c r="A60" s="430" t="s">
        <v>126</v>
      </c>
      <c r="B60" s="431"/>
      <c r="C60" s="146" t="s">
        <v>139</v>
      </c>
      <c r="D60" s="146" t="s">
        <v>115</v>
      </c>
      <c r="E60" s="147" t="s">
        <v>194</v>
      </c>
      <c r="F60" s="432" t="s">
        <v>259</v>
      </c>
      <c r="G60" s="433"/>
      <c r="H60" s="433"/>
      <c r="I60" s="433"/>
      <c r="J60" s="433"/>
      <c r="K60" s="433"/>
      <c r="L60" s="433"/>
      <c r="M60" s="434"/>
      <c r="N60" s="141" t="s">
        <v>151</v>
      </c>
      <c r="O60" s="160" t="s">
        <v>219</v>
      </c>
      <c r="P60" s="447" t="s">
        <v>115</v>
      </c>
      <c r="Q60" s="448"/>
      <c r="R60" s="447" t="s">
        <v>236</v>
      </c>
      <c r="S60" s="449"/>
      <c r="T60" s="449"/>
      <c r="U60" s="448"/>
      <c r="V60" s="436" t="s">
        <v>141</v>
      </c>
      <c r="W60" s="437"/>
      <c r="X60" s="437"/>
      <c r="Y60" s="437"/>
      <c r="Z60" s="437"/>
      <c r="AA60" s="437"/>
      <c r="AB60" s="437"/>
      <c r="AC60" s="437"/>
      <c r="AD60" s="438"/>
    </row>
    <row r="61" spans="1:32" ht="27" customHeight="1">
      <c r="A61" s="430" t="s">
        <v>116</v>
      </c>
      <c r="B61" s="431"/>
      <c r="C61" s="146" t="s">
        <v>146</v>
      </c>
      <c r="D61" s="146" t="s">
        <v>254</v>
      </c>
      <c r="E61" s="147" t="s">
        <v>255</v>
      </c>
      <c r="F61" s="432" t="s">
        <v>154</v>
      </c>
      <c r="G61" s="433"/>
      <c r="H61" s="433"/>
      <c r="I61" s="433"/>
      <c r="J61" s="433"/>
      <c r="K61" s="433"/>
      <c r="L61" s="433"/>
      <c r="M61" s="434"/>
      <c r="N61" s="141" t="s">
        <v>274</v>
      </c>
      <c r="O61" s="152" t="s">
        <v>261</v>
      </c>
      <c r="P61" s="447" t="s">
        <v>275</v>
      </c>
      <c r="Q61" s="448"/>
      <c r="R61" s="447" t="s">
        <v>272</v>
      </c>
      <c r="S61" s="449"/>
      <c r="T61" s="449"/>
      <c r="U61" s="448"/>
      <c r="V61" s="436" t="s">
        <v>273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126</v>
      </c>
      <c r="B62" s="431"/>
      <c r="C62" s="162" t="s">
        <v>166</v>
      </c>
      <c r="D62" s="162" t="s">
        <v>216</v>
      </c>
      <c r="E62" s="163" t="s">
        <v>214</v>
      </c>
      <c r="F62" s="432" t="s">
        <v>231</v>
      </c>
      <c r="G62" s="433"/>
      <c r="H62" s="433"/>
      <c r="I62" s="433"/>
      <c r="J62" s="433"/>
      <c r="K62" s="433"/>
      <c r="L62" s="433"/>
      <c r="M62" s="434"/>
      <c r="N62" s="141" t="s">
        <v>277</v>
      </c>
      <c r="O62" s="152" t="s">
        <v>278</v>
      </c>
      <c r="P62" s="447" t="s">
        <v>279</v>
      </c>
      <c r="Q62" s="448"/>
      <c r="R62" s="447" t="s">
        <v>276</v>
      </c>
      <c r="S62" s="449"/>
      <c r="T62" s="449"/>
      <c r="U62" s="448"/>
      <c r="V62" s="436" t="s">
        <v>273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151</v>
      </c>
      <c r="B63" s="431"/>
      <c r="C63" s="162" t="s">
        <v>219</v>
      </c>
      <c r="D63" s="162" t="s">
        <v>115</v>
      </c>
      <c r="E63" s="163" t="s">
        <v>236</v>
      </c>
      <c r="F63" s="432" t="s">
        <v>260</v>
      </c>
      <c r="G63" s="433"/>
      <c r="H63" s="433"/>
      <c r="I63" s="433"/>
      <c r="J63" s="433"/>
      <c r="K63" s="433"/>
      <c r="L63" s="433"/>
      <c r="M63" s="434"/>
      <c r="N63" s="141" t="s">
        <v>281</v>
      </c>
      <c r="O63" s="152" t="s">
        <v>282</v>
      </c>
      <c r="P63" s="447" t="s">
        <v>283</v>
      </c>
      <c r="Q63" s="448"/>
      <c r="R63" s="447" t="s">
        <v>280</v>
      </c>
      <c r="S63" s="449"/>
      <c r="T63" s="449"/>
      <c r="U63" s="448"/>
      <c r="V63" s="436" t="s">
        <v>273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116</v>
      </c>
      <c r="B64" s="431"/>
      <c r="C64" s="162" t="s">
        <v>208</v>
      </c>
      <c r="D64" s="162" t="s">
        <v>256</v>
      </c>
      <c r="E64" s="163" t="s">
        <v>235</v>
      </c>
      <c r="F64" s="432" t="s">
        <v>200</v>
      </c>
      <c r="G64" s="433"/>
      <c r="H64" s="433"/>
      <c r="I64" s="433"/>
      <c r="J64" s="433"/>
      <c r="K64" s="433"/>
      <c r="L64" s="433"/>
      <c r="M64" s="434"/>
      <c r="N64" s="141"/>
      <c r="O64" s="152"/>
      <c r="P64" s="447"/>
      <c r="Q64" s="448"/>
      <c r="R64" s="447"/>
      <c r="S64" s="449"/>
      <c r="T64" s="449"/>
      <c r="U64" s="448"/>
      <c r="V64" s="436"/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126</v>
      </c>
      <c r="B65" s="431"/>
      <c r="C65" s="146" t="s">
        <v>261</v>
      </c>
      <c r="D65" s="146" t="s">
        <v>262</v>
      </c>
      <c r="E65" s="147" t="s">
        <v>263</v>
      </c>
      <c r="F65" s="432" t="s">
        <v>264</v>
      </c>
      <c r="G65" s="433"/>
      <c r="H65" s="433"/>
      <c r="I65" s="433"/>
      <c r="J65" s="433"/>
      <c r="K65" s="433"/>
      <c r="L65" s="433"/>
      <c r="M65" s="434"/>
      <c r="N65" s="141"/>
      <c r="O65" s="152"/>
      <c r="P65" s="447"/>
      <c r="Q65" s="448"/>
      <c r="R65" s="447"/>
      <c r="S65" s="449"/>
      <c r="T65" s="449"/>
      <c r="U65" s="448"/>
      <c r="V65" s="436"/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266</v>
      </c>
      <c r="B66" s="431"/>
      <c r="C66" s="146" t="s">
        <v>267</v>
      </c>
      <c r="D66" s="146"/>
      <c r="E66" s="147" t="s">
        <v>268</v>
      </c>
      <c r="F66" s="432" t="s">
        <v>154</v>
      </c>
      <c r="G66" s="433"/>
      <c r="H66" s="433"/>
      <c r="I66" s="433"/>
      <c r="J66" s="433"/>
      <c r="K66" s="433"/>
      <c r="L66" s="433"/>
      <c r="M66" s="434"/>
      <c r="N66" s="141"/>
      <c r="O66" s="152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116</v>
      </c>
      <c r="B67" s="431"/>
      <c r="C67" s="146" t="s">
        <v>269</v>
      </c>
      <c r="D67" s="146" t="s">
        <v>270</v>
      </c>
      <c r="E67" s="147" t="s">
        <v>271</v>
      </c>
      <c r="F67" s="432" t="s">
        <v>264</v>
      </c>
      <c r="G67" s="433"/>
      <c r="H67" s="433"/>
      <c r="I67" s="433"/>
      <c r="J67" s="433"/>
      <c r="K67" s="433"/>
      <c r="L67" s="433"/>
      <c r="M67" s="434"/>
      <c r="N67" s="141"/>
      <c r="O67" s="152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146"/>
      <c r="D68" s="146"/>
      <c r="E68" s="147"/>
      <c r="F68" s="432"/>
      <c r="G68" s="433"/>
      <c r="H68" s="433"/>
      <c r="I68" s="433"/>
      <c r="J68" s="433"/>
      <c r="K68" s="433"/>
      <c r="L68" s="433"/>
      <c r="M68" s="434"/>
      <c r="N68" s="141"/>
      <c r="O68" s="152"/>
      <c r="P68" s="435"/>
      <c r="Q68" s="435"/>
      <c r="R68" s="435"/>
      <c r="S68" s="435"/>
      <c r="T68" s="435"/>
      <c r="U68" s="435"/>
      <c r="V68" s="436"/>
      <c r="W68" s="437"/>
      <c r="X68" s="437"/>
      <c r="Y68" s="437"/>
      <c r="Z68" s="437"/>
      <c r="AA68" s="437"/>
      <c r="AB68" s="437"/>
      <c r="AC68" s="437"/>
      <c r="AD68" s="438"/>
      <c r="AF68" s="81">
        <f>8*3000</f>
        <v>24000</v>
      </c>
    </row>
    <row r="69" spans="1:32" ht="27" customHeight="1" thickBot="1">
      <c r="A69" s="439"/>
      <c r="B69" s="440"/>
      <c r="C69" s="148"/>
      <c r="D69" s="149"/>
      <c r="E69" s="148"/>
      <c r="F69" s="441"/>
      <c r="G69" s="442"/>
      <c r="H69" s="442"/>
      <c r="I69" s="442"/>
      <c r="J69" s="442"/>
      <c r="K69" s="442"/>
      <c r="L69" s="442"/>
      <c r="M69" s="443"/>
      <c r="N69" s="105"/>
      <c r="O69" s="97"/>
      <c r="P69" s="444"/>
      <c r="Q69" s="444"/>
      <c r="R69" s="444"/>
      <c r="S69" s="444"/>
      <c r="T69" s="444"/>
      <c r="U69" s="444"/>
      <c r="V69" s="445"/>
      <c r="W69" s="445"/>
      <c r="X69" s="445"/>
      <c r="Y69" s="445"/>
      <c r="Z69" s="445"/>
      <c r="AA69" s="445"/>
      <c r="AB69" s="445"/>
      <c r="AC69" s="445"/>
      <c r="AD69" s="446"/>
      <c r="AF69" s="81">
        <f>16*3000</f>
        <v>48000</v>
      </c>
    </row>
    <row r="70" spans="1:32" ht="27.75" thickBot="1">
      <c r="A70" s="428" t="s">
        <v>284</v>
      </c>
      <c r="B70" s="428"/>
      <c r="C70" s="428"/>
      <c r="D70" s="428"/>
      <c r="E70" s="428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1">
        <v>24000</v>
      </c>
    </row>
    <row r="71" spans="1:32" ht="29.25" customHeight="1" thickBot="1">
      <c r="A71" s="429" t="s">
        <v>111</v>
      </c>
      <c r="B71" s="426"/>
      <c r="C71" s="150" t="s">
        <v>2</v>
      </c>
      <c r="D71" s="150" t="s">
        <v>37</v>
      </c>
      <c r="E71" s="150" t="s">
        <v>3</v>
      </c>
      <c r="F71" s="426" t="s">
        <v>109</v>
      </c>
      <c r="G71" s="426"/>
      <c r="H71" s="426"/>
      <c r="I71" s="426"/>
      <c r="J71" s="426"/>
      <c r="K71" s="426" t="s">
        <v>39</v>
      </c>
      <c r="L71" s="426"/>
      <c r="M71" s="150" t="s">
        <v>40</v>
      </c>
      <c r="N71" s="426" t="s">
        <v>41</v>
      </c>
      <c r="O71" s="426"/>
      <c r="P71" s="423" t="s">
        <v>42</v>
      </c>
      <c r="Q71" s="425"/>
      <c r="R71" s="423" t="s">
        <v>43</v>
      </c>
      <c r="S71" s="424"/>
      <c r="T71" s="424"/>
      <c r="U71" s="424"/>
      <c r="V71" s="424"/>
      <c r="W71" s="424"/>
      <c r="X71" s="424"/>
      <c r="Y71" s="424"/>
      <c r="Z71" s="424"/>
      <c r="AA71" s="425"/>
      <c r="AB71" s="426" t="s">
        <v>44</v>
      </c>
      <c r="AC71" s="426"/>
      <c r="AD71" s="427"/>
      <c r="AF71" s="81">
        <f>SUM(AF68:AF70)</f>
        <v>96000</v>
      </c>
    </row>
    <row r="72" spans="1:32" ht="25.5" customHeight="1">
      <c r="A72" s="414">
        <v>1</v>
      </c>
      <c r="B72" s="415"/>
      <c r="C72" s="98" t="s">
        <v>277</v>
      </c>
      <c r="D72" s="154"/>
      <c r="E72" s="151" t="s">
        <v>290</v>
      </c>
      <c r="F72" s="416" t="s">
        <v>285</v>
      </c>
      <c r="G72" s="406"/>
      <c r="H72" s="406"/>
      <c r="I72" s="406"/>
      <c r="J72" s="406"/>
      <c r="K72" s="406" t="s">
        <v>291</v>
      </c>
      <c r="L72" s="406"/>
      <c r="M72" s="51" t="s">
        <v>292</v>
      </c>
      <c r="N72" s="417" t="s">
        <v>293</v>
      </c>
      <c r="O72" s="417"/>
      <c r="P72" s="418">
        <v>50</v>
      </c>
      <c r="Q72" s="418"/>
      <c r="R72" s="419"/>
      <c r="S72" s="419"/>
      <c r="T72" s="419"/>
      <c r="U72" s="419"/>
      <c r="V72" s="419"/>
      <c r="W72" s="419"/>
      <c r="X72" s="419"/>
      <c r="Y72" s="419"/>
      <c r="Z72" s="419"/>
      <c r="AA72" s="419"/>
      <c r="AB72" s="406"/>
      <c r="AC72" s="406"/>
      <c r="AD72" s="407"/>
      <c r="AF72" s="50"/>
    </row>
    <row r="73" spans="1:32" ht="25.5" customHeight="1">
      <c r="A73" s="414">
        <v>2</v>
      </c>
      <c r="B73" s="415"/>
      <c r="C73" s="98" t="s">
        <v>274</v>
      </c>
      <c r="D73" s="154"/>
      <c r="E73" s="151" t="s">
        <v>296</v>
      </c>
      <c r="F73" s="420" t="s">
        <v>286</v>
      </c>
      <c r="G73" s="421"/>
      <c r="H73" s="421"/>
      <c r="I73" s="421"/>
      <c r="J73" s="422"/>
      <c r="K73" s="406" t="s">
        <v>294</v>
      </c>
      <c r="L73" s="406"/>
      <c r="M73" s="51" t="s">
        <v>295</v>
      </c>
      <c r="N73" s="417" t="s">
        <v>293</v>
      </c>
      <c r="O73" s="417"/>
      <c r="P73" s="418">
        <v>100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3</v>
      </c>
      <c r="B74" s="415"/>
      <c r="C74" s="98" t="s">
        <v>277</v>
      </c>
      <c r="D74" s="154"/>
      <c r="E74" s="151" t="s">
        <v>283</v>
      </c>
      <c r="F74" s="416" t="s">
        <v>287</v>
      </c>
      <c r="G74" s="406"/>
      <c r="H74" s="406"/>
      <c r="I74" s="406"/>
      <c r="J74" s="406"/>
      <c r="K74" s="406" t="s">
        <v>298</v>
      </c>
      <c r="L74" s="406"/>
      <c r="M74" s="51" t="s">
        <v>295</v>
      </c>
      <c r="N74" s="417" t="s">
        <v>278</v>
      </c>
      <c r="O74" s="417"/>
      <c r="P74" s="418">
        <v>200</v>
      </c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4</v>
      </c>
      <c r="B75" s="415"/>
      <c r="C75" s="98" t="s">
        <v>277</v>
      </c>
      <c r="D75" s="154"/>
      <c r="E75" s="151" t="s">
        <v>283</v>
      </c>
      <c r="F75" s="420" t="s">
        <v>288</v>
      </c>
      <c r="G75" s="421"/>
      <c r="H75" s="421"/>
      <c r="I75" s="421"/>
      <c r="J75" s="422"/>
      <c r="K75" s="406" t="s">
        <v>298</v>
      </c>
      <c r="L75" s="406"/>
      <c r="M75" s="51" t="s">
        <v>295</v>
      </c>
      <c r="N75" s="417" t="s">
        <v>278</v>
      </c>
      <c r="O75" s="417"/>
      <c r="P75" s="418">
        <v>200</v>
      </c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5</v>
      </c>
      <c r="B76" s="415"/>
      <c r="C76" s="98" t="s">
        <v>281</v>
      </c>
      <c r="D76" s="154"/>
      <c r="E76" s="151" t="s">
        <v>297</v>
      </c>
      <c r="F76" s="420" t="s">
        <v>289</v>
      </c>
      <c r="G76" s="421"/>
      <c r="H76" s="421"/>
      <c r="I76" s="421"/>
      <c r="J76" s="422"/>
      <c r="K76" s="406" t="s">
        <v>291</v>
      </c>
      <c r="L76" s="406"/>
      <c r="M76" s="51" t="s">
        <v>295</v>
      </c>
      <c r="N76" s="417" t="s">
        <v>299</v>
      </c>
      <c r="O76" s="417"/>
      <c r="P76" s="418">
        <v>500</v>
      </c>
      <c r="Q76" s="418"/>
      <c r="R76" s="419" t="s">
        <v>300</v>
      </c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6</v>
      </c>
      <c r="B77" s="415"/>
      <c r="C77" s="98"/>
      <c r="D77" s="154"/>
      <c r="E77" s="151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7</v>
      </c>
      <c r="B78" s="415"/>
      <c r="C78" s="98"/>
      <c r="D78" s="154"/>
      <c r="E78" s="151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8</v>
      </c>
      <c r="B79" s="415"/>
      <c r="C79" s="98"/>
      <c r="D79" s="154"/>
      <c r="E79" s="151"/>
      <c r="F79" s="416"/>
      <c r="G79" s="406"/>
      <c r="H79" s="406"/>
      <c r="I79" s="406"/>
      <c r="J79" s="406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9</v>
      </c>
      <c r="B80" s="415"/>
      <c r="C80" s="98"/>
      <c r="D80" s="154"/>
      <c r="E80" s="151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10</v>
      </c>
      <c r="B81" s="415"/>
      <c r="C81" s="98"/>
      <c r="D81" s="154"/>
      <c r="E81" s="151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6.25" customHeight="1" thickBot="1">
      <c r="A82" s="386" t="s">
        <v>301</v>
      </c>
      <c r="B82" s="386"/>
      <c r="C82" s="386"/>
      <c r="D82" s="386"/>
      <c r="E82" s="386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408" t="s">
        <v>111</v>
      </c>
      <c r="B83" s="409"/>
      <c r="C83" s="153" t="s">
        <v>2</v>
      </c>
      <c r="D83" s="153" t="s">
        <v>37</v>
      </c>
      <c r="E83" s="153" t="s">
        <v>120</v>
      </c>
      <c r="F83" s="388" t="s">
        <v>38</v>
      </c>
      <c r="G83" s="388"/>
      <c r="H83" s="388"/>
      <c r="I83" s="388"/>
      <c r="J83" s="388"/>
      <c r="K83" s="410" t="s">
        <v>58</v>
      </c>
      <c r="L83" s="411"/>
      <c r="M83" s="411"/>
      <c r="N83" s="411"/>
      <c r="O83" s="411"/>
      <c r="P83" s="411"/>
      <c r="Q83" s="411"/>
      <c r="R83" s="411"/>
      <c r="S83" s="412"/>
      <c r="T83" s="388" t="s">
        <v>49</v>
      </c>
      <c r="U83" s="388"/>
      <c r="V83" s="410" t="s">
        <v>50</v>
      </c>
      <c r="W83" s="412"/>
      <c r="X83" s="411" t="s">
        <v>51</v>
      </c>
      <c r="Y83" s="411"/>
      <c r="Z83" s="411"/>
      <c r="AA83" s="411"/>
      <c r="AB83" s="411"/>
      <c r="AC83" s="411"/>
      <c r="AD83" s="413"/>
      <c r="AF83" s="50"/>
    </row>
    <row r="84" spans="1:32" ht="33.75" customHeight="1">
      <c r="A84" s="380">
        <v>1</v>
      </c>
      <c r="B84" s="381"/>
      <c r="C84" s="155"/>
      <c r="D84" s="155"/>
      <c r="E84" s="65"/>
      <c r="F84" s="395"/>
      <c r="G84" s="396"/>
      <c r="H84" s="396"/>
      <c r="I84" s="396"/>
      <c r="J84" s="397"/>
      <c r="K84" s="398"/>
      <c r="L84" s="399"/>
      <c r="M84" s="399"/>
      <c r="N84" s="399"/>
      <c r="O84" s="399"/>
      <c r="P84" s="399"/>
      <c r="Q84" s="399"/>
      <c r="R84" s="399"/>
      <c r="S84" s="400"/>
      <c r="T84" s="401"/>
      <c r="U84" s="402"/>
      <c r="V84" s="403"/>
      <c r="W84" s="403"/>
      <c r="X84" s="404"/>
      <c r="Y84" s="404"/>
      <c r="Z84" s="404"/>
      <c r="AA84" s="404"/>
      <c r="AB84" s="404"/>
      <c r="AC84" s="404"/>
      <c r="AD84" s="405"/>
      <c r="AF84" s="50"/>
    </row>
    <row r="85" spans="1:32" ht="30" customHeight="1">
      <c r="A85" s="373">
        <f>A84+1</f>
        <v>2</v>
      </c>
      <c r="B85" s="374"/>
      <c r="C85" s="154"/>
      <c r="D85" s="154"/>
      <c r="E85" s="32"/>
      <c r="F85" s="374"/>
      <c r="G85" s="374"/>
      <c r="H85" s="374"/>
      <c r="I85" s="374"/>
      <c r="J85" s="374"/>
      <c r="K85" s="389"/>
      <c r="L85" s="390"/>
      <c r="M85" s="390"/>
      <c r="N85" s="390"/>
      <c r="O85" s="390"/>
      <c r="P85" s="390"/>
      <c r="Q85" s="390"/>
      <c r="R85" s="390"/>
      <c r="S85" s="391"/>
      <c r="T85" s="392"/>
      <c r="U85" s="392"/>
      <c r="V85" s="392"/>
      <c r="W85" s="392"/>
      <c r="X85" s="393"/>
      <c r="Y85" s="393"/>
      <c r="Z85" s="393"/>
      <c r="AA85" s="393"/>
      <c r="AB85" s="393"/>
      <c r="AC85" s="393"/>
      <c r="AD85" s="394"/>
      <c r="AF85" s="50"/>
    </row>
    <row r="86" spans="1:32" ht="30" customHeight="1">
      <c r="A86" s="373">
        <f t="shared" ref="A86:A90" si="11">A85+1</f>
        <v>3</v>
      </c>
      <c r="B86" s="374"/>
      <c r="C86" s="154"/>
      <c r="D86" s="154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si="11"/>
        <v>4</v>
      </c>
      <c r="B87" s="374"/>
      <c r="C87" s="154"/>
      <c r="D87" s="154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1"/>
        <v>5</v>
      </c>
      <c r="B88" s="374"/>
      <c r="C88" s="154"/>
      <c r="D88" s="154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1"/>
        <v>6</v>
      </c>
      <c r="B89" s="374"/>
      <c r="C89" s="154"/>
      <c r="D89" s="154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1"/>
        <v>7</v>
      </c>
      <c r="B90" s="374"/>
      <c r="C90" s="154"/>
      <c r="D90" s="154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6" thickBot="1">
      <c r="A91" s="386" t="s">
        <v>302</v>
      </c>
      <c r="B91" s="386"/>
      <c r="C91" s="386"/>
      <c r="D91" s="386"/>
      <c r="E91" s="386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387" t="s">
        <v>111</v>
      </c>
      <c r="B92" s="388"/>
      <c r="C92" s="378" t="s">
        <v>52</v>
      </c>
      <c r="D92" s="378"/>
      <c r="E92" s="378" t="s">
        <v>53</v>
      </c>
      <c r="F92" s="378"/>
      <c r="G92" s="378"/>
      <c r="H92" s="378"/>
      <c r="I92" s="378"/>
      <c r="J92" s="378"/>
      <c r="K92" s="378" t="s">
        <v>54</v>
      </c>
      <c r="L92" s="378"/>
      <c r="M92" s="378"/>
      <c r="N92" s="378"/>
      <c r="O92" s="378"/>
      <c r="P92" s="378"/>
      <c r="Q92" s="378"/>
      <c r="R92" s="378"/>
      <c r="S92" s="378"/>
      <c r="T92" s="378" t="s">
        <v>55</v>
      </c>
      <c r="U92" s="378"/>
      <c r="V92" s="378" t="s">
        <v>56</v>
      </c>
      <c r="W92" s="378"/>
      <c r="X92" s="378"/>
      <c r="Y92" s="378" t="s">
        <v>51</v>
      </c>
      <c r="Z92" s="378"/>
      <c r="AA92" s="378"/>
      <c r="AB92" s="378"/>
      <c r="AC92" s="378"/>
      <c r="AD92" s="379"/>
      <c r="AF92" s="50"/>
    </row>
    <row r="93" spans="1:32" ht="30.75" customHeight="1">
      <c r="A93" s="380">
        <v>1</v>
      </c>
      <c r="B93" s="381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3"/>
      <c r="W93" s="383"/>
      <c r="X93" s="383"/>
      <c r="Y93" s="384"/>
      <c r="Z93" s="384"/>
      <c r="AA93" s="384"/>
      <c r="AB93" s="384"/>
      <c r="AC93" s="384"/>
      <c r="AD93" s="385"/>
      <c r="AF93" s="50"/>
    </row>
    <row r="94" spans="1:32" ht="30.75" customHeight="1">
      <c r="A94" s="373">
        <v>2</v>
      </c>
      <c r="B94" s="374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6"/>
      <c r="U94" s="376"/>
      <c r="V94" s="377"/>
      <c r="W94" s="377"/>
      <c r="X94" s="377"/>
      <c r="Y94" s="365"/>
      <c r="Z94" s="365"/>
      <c r="AA94" s="365"/>
      <c r="AB94" s="365"/>
      <c r="AC94" s="365"/>
      <c r="AD94" s="366"/>
      <c r="AF94" s="50"/>
    </row>
    <row r="95" spans="1:32" ht="30.75" customHeight="1" thickBot="1">
      <c r="A95" s="367">
        <v>3</v>
      </c>
      <c r="B95" s="368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70"/>
      <c r="W95" s="370"/>
      <c r="X95" s="370"/>
      <c r="Y95" s="371"/>
      <c r="Z95" s="371"/>
      <c r="AA95" s="371"/>
      <c r="AB95" s="371"/>
      <c r="AC95" s="371"/>
      <c r="AD95" s="372"/>
      <c r="AF95" s="50"/>
    </row>
  </sheetData>
  <mergeCells count="232"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E4E7-DA5E-4A43-8287-A6929B0AFE88}">
  <sheetPr codeName="Sheet4">
    <pageSetUpPr fitToPage="1"/>
  </sheetPr>
  <dimension ref="A1:AF96"/>
  <sheetViews>
    <sheetView view="pageBreakPreview" zoomScale="70" zoomScaleNormal="72" zoomScaleSheetLayoutView="70" workbookViewId="0">
      <selection activeCell="A93" sqref="A93:B9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303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167" t="s">
        <v>17</v>
      </c>
      <c r="L5" s="167" t="s">
        <v>18</v>
      </c>
      <c r="M5" s="167" t="s">
        <v>19</v>
      </c>
      <c r="N5" s="16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115</v>
      </c>
      <c r="E6" s="53" t="s">
        <v>194</v>
      </c>
      <c r="F6" s="30" t="s">
        <v>150</v>
      </c>
      <c r="G6" s="12">
        <v>1</v>
      </c>
      <c r="H6" s="13">
        <v>24</v>
      </c>
      <c r="I6" s="31">
        <v>30000</v>
      </c>
      <c r="J6" s="14">
        <v>2171</v>
      </c>
      <c r="K6" s="15">
        <f>L6+8904+9248+2171</f>
        <v>29593</v>
      </c>
      <c r="L6" s="15">
        <f>2215*2+2420*2</f>
        <v>9270</v>
      </c>
      <c r="M6" s="15">
        <f t="shared" ref="M6:M30" si="0">L6-N6</f>
        <v>9270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21</v>
      </c>
      <c r="Q6" s="40">
        <f t="shared" ref="Q6:Q30" si="3">SUM(R6:AA6)</f>
        <v>3</v>
      </c>
      <c r="R6" s="7"/>
      <c r="S6" s="6">
        <v>3</v>
      </c>
      <c r="T6" s="16"/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4.2699216950713961</v>
      </c>
      <c r="AC6" s="9">
        <f t="shared" ref="AC6:AC30" si="5">IF(P6=0,"0",(P6/24))</f>
        <v>0.875</v>
      </c>
      <c r="AD6" s="10">
        <f>AC6*AB6*(1-O6)</f>
        <v>3.7361814831874716</v>
      </c>
      <c r="AE6" s="36">
        <f t="shared" ref="AE6:AE30" si="6">$AD$31</f>
        <v>0.68278059266083235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224</v>
      </c>
      <c r="E7" s="53" t="s">
        <v>225</v>
      </c>
      <c r="F7" s="30" t="s">
        <v>136</v>
      </c>
      <c r="G7" s="12">
        <v>1</v>
      </c>
      <c r="H7" s="13">
        <v>24</v>
      </c>
      <c r="I7" s="31">
        <v>15000</v>
      </c>
      <c r="J7" s="14">
        <v>5743</v>
      </c>
      <c r="K7" s="15">
        <f>L7+3671+5825</f>
        <v>15239</v>
      </c>
      <c r="L7" s="15">
        <f>2916+2827</f>
        <v>5743</v>
      </c>
      <c r="M7" s="15">
        <f t="shared" si="0"/>
        <v>5743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0" si="8">AC7*AB7*(1-O7)</f>
        <v>1</v>
      </c>
      <c r="AE7" s="36">
        <f t="shared" si="6"/>
        <v>0.68278059266083235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304</v>
      </c>
      <c r="F8" s="30" t="s">
        <v>122</v>
      </c>
      <c r="G8" s="12">
        <v>1</v>
      </c>
      <c r="H8" s="13">
        <v>35</v>
      </c>
      <c r="I8" s="31">
        <v>300</v>
      </c>
      <c r="J8" s="5">
        <v>437</v>
      </c>
      <c r="K8" s="15">
        <f>L8</f>
        <v>437</v>
      </c>
      <c r="L8" s="15">
        <v>437</v>
      </c>
      <c r="M8" s="15">
        <f t="shared" si="0"/>
        <v>437</v>
      </c>
      <c r="N8" s="15">
        <v>0</v>
      </c>
      <c r="O8" s="58">
        <f t="shared" si="1"/>
        <v>0</v>
      </c>
      <c r="P8" s="39">
        <f t="shared" si="2"/>
        <v>4</v>
      </c>
      <c r="Q8" s="40">
        <f t="shared" si="3"/>
        <v>20</v>
      </c>
      <c r="R8" s="7"/>
      <c r="S8" s="6"/>
      <c r="T8" s="16"/>
      <c r="U8" s="16"/>
      <c r="V8" s="17"/>
      <c r="W8" s="5">
        <v>20</v>
      </c>
      <c r="X8" s="16"/>
      <c r="Y8" s="16"/>
      <c r="Z8" s="16"/>
      <c r="AA8" s="18"/>
      <c r="AB8" s="8">
        <f t="shared" si="4"/>
        <v>1</v>
      </c>
      <c r="AC8" s="9">
        <f t="shared" si="5"/>
        <v>0.16666666666666666</v>
      </c>
      <c r="AD8" s="10">
        <f t="shared" si="8"/>
        <v>0.16666666666666666</v>
      </c>
      <c r="AE8" s="36">
        <f t="shared" si="6"/>
        <v>0.68278059266083235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112</v>
      </c>
      <c r="D9" s="52" t="s">
        <v>115</v>
      </c>
      <c r="E9" s="53" t="s">
        <v>187</v>
      </c>
      <c r="F9" s="30" t="s">
        <v>196</v>
      </c>
      <c r="G9" s="12">
        <v>1</v>
      </c>
      <c r="H9" s="13">
        <v>24</v>
      </c>
      <c r="I9" s="7">
        <v>11000</v>
      </c>
      <c r="J9" s="14">
        <v>4969</v>
      </c>
      <c r="K9" s="15">
        <f>L9+4988+5202+5301</f>
        <v>20460</v>
      </c>
      <c r="L9" s="15">
        <f>2420+2549</f>
        <v>4969</v>
      </c>
      <c r="M9" s="15">
        <f t="shared" si="0"/>
        <v>4969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0.68278059266083235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145</v>
      </c>
      <c r="F10" s="30" t="s">
        <v>123</v>
      </c>
      <c r="G10" s="33">
        <v>1</v>
      </c>
      <c r="H10" s="35">
        <v>24</v>
      </c>
      <c r="I10" s="7">
        <v>115000</v>
      </c>
      <c r="J10" s="14">
        <v>5358</v>
      </c>
      <c r="K10" s="15">
        <f>L10+5338+5669+5744+4980+3619+1932+309+2790+5660+4715+1739+3127+5884+1203+3638+5732+5658+5217+2430+1897+5596+5715+3707+799+2709+2266+5086+3381+4392+5682+5705+5451+2998+2865+4585+5706+4871+3392+5482+5779</f>
        <v>168806</v>
      </c>
      <c r="L10" s="15">
        <f>2813+2545</f>
        <v>5358</v>
      </c>
      <c r="M10" s="15">
        <f t="shared" si="0"/>
        <v>5358</v>
      </c>
      <c r="N10" s="15">
        <v>0</v>
      </c>
      <c r="O10" s="58">
        <f t="shared" si="1"/>
        <v>0</v>
      </c>
      <c r="P10" s="39">
        <f t="shared" si="2"/>
        <v>23</v>
      </c>
      <c r="Q10" s="40">
        <f t="shared" si="3"/>
        <v>1</v>
      </c>
      <c r="R10" s="7"/>
      <c r="S10" s="6">
        <v>1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0.95833333333333337</v>
      </c>
      <c r="AD10" s="10">
        <f t="shared" si="8"/>
        <v>0.95833333333333337</v>
      </c>
      <c r="AE10" s="36">
        <f t="shared" si="6"/>
        <v>0.68278059266083235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126</v>
      </c>
      <c r="D11" s="52" t="s">
        <v>216</v>
      </c>
      <c r="E11" s="53" t="s">
        <v>214</v>
      </c>
      <c r="F11" s="30" t="s">
        <v>123</v>
      </c>
      <c r="G11" s="33">
        <v>4</v>
      </c>
      <c r="H11" s="35">
        <v>24</v>
      </c>
      <c r="I11" s="7">
        <v>15000</v>
      </c>
      <c r="J11" s="14">
        <v>26172</v>
      </c>
      <c r="K11" s="15">
        <f>L11+27912+24084</f>
        <v>78168</v>
      </c>
      <c r="L11" s="15">
        <f>2887*4+3656*4</f>
        <v>26172</v>
      </c>
      <c r="M11" s="15">
        <f t="shared" si="0"/>
        <v>26172</v>
      </c>
      <c r="N11" s="15">
        <v>0</v>
      </c>
      <c r="O11" s="58">
        <f t="shared" si="1"/>
        <v>0</v>
      </c>
      <c r="P11" s="39">
        <f t="shared" si="2"/>
        <v>21</v>
      </c>
      <c r="Q11" s="40">
        <f t="shared" si="3"/>
        <v>3</v>
      </c>
      <c r="R11" s="7"/>
      <c r="S11" s="6">
        <v>3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0.875</v>
      </c>
      <c r="AD11" s="10">
        <f t="shared" si="8"/>
        <v>0.875</v>
      </c>
      <c r="AE11" s="36">
        <f t="shared" si="6"/>
        <v>0.68278059266083235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40000</v>
      </c>
      <c r="J12" s="5">
        <v>5157</v>
      </c>
      <c r="K12" s="15">
        <f>L12+2299+960+4314+5153+4996+5031+573+5044</f>
        <v>33527</v>
      </c>
      <c r="L12" s="15">
        <f>2615+2542</f>
        <v>5157</v>
      </c>
      <c r="M12" s="15">
        <f t="shared" si="0"/>
        <v>5157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0.68278059266083235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112</v>
      </c>
      <c r="D13" s="52" t="s">
        <v>147</v>
      </c>
      <c r="E13" s="53" t="s">
        <v>272</v>
      </c>
      <c r="F13" s="30" t="s">
        <v>148</v>
      </c>
      <c r="G13" s="33">
        <v>1</v>
      </c>
      <c r="H13" s="35">
        <v>22</v>
      </c>
      <c r="I13" s="7">
        <v>15000</v>
      </c>
      <c r="J13" s="14">
        <v>4941</v>
      </c>
      <c r="K13" s="15">
        <f>L13</f>
        <v>4941</v>
      </c>
      <c r="L13" s="15">
        <f>1922+3019</f>
        <v>4941</v>
      </c>
      <c r="M13" s="15">
        <f t="shared" si="0"/>
        <v>4941</v>
      </c>
      <c r="N13" s="15">
        <v>0</v>
      </c>
      <c r="O13" s="58">
        <f t="shared" si="1"/>
        <v>0</v>
      </c>
      <c r="P13" s="39">
        <f t="shared" si="2"/>
        <v>20</v>
      </c>
      <c r="Q13" s="40">
        <f t="shared" si="3"/>
        <v>4</v>
      </c>
      <c r="R13" s="7"/>
      <c r="S13" s="6">
        <v>4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0.83333333333333337</v>
      </c>
      <c r="AD13" s="10">
        <f t="shared" si="8"/>
        <v>0.83333333333333337</v>
      </c>
      <c r="AE13" s="36">
        <f t="shared" si="6"/>
        <v>0.68278059266083235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151</v>
      </c>
      <c r="D14" s="52" t="s">
        <v>115</v>
      </c>
      <c r="E14" s="53" t="s">
        <v>236</v>
      </c>
      <c r="F14" s="30" t="s">
        <v>148</v>
      </c>
      <c r="G14" s="33">
        <v>1</v>
      </c>
      <c r="H14" s="35">
        <v>50</v>
      </c>
      <c r="I14" s="7">
        <v>900</v>
      </c>
      <c r="J14" s="5">
        <v>223</v>
      </c>
      <c r="K14" s="15">
        <f>L14+529</f>
        <v>752</v>
      </c>
      <c r="L14" s="15">
        <f>128+95</f>
        <v>223</v>
      </c>
      <c r="M14" s="15">
        <f t="shared" si="0"/>
        <v>223</v>
      </c>
      <c r="N14" s="15">
        <v>0</v>
      </c>
      <c r="O14" s="58">
        <f t="shared" si="1"/>
        <v>0</v>
      </c>
      <c r="P14" s="39">
        <f t="shared" si="2"/>
        <v>8</v>
      </c>
      <c r="Q14" s="40">
        <f t="shared" si="3"/>
        <v>16</v>
      </c>
      <c r="R14" s="7"/>
      <c r="S14" s="6">
        <v>16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0.33333333333333331</v>
      </c>
      <c r="AD14" s="10">
        <f t="shared" si="8"/>
        <v>0.33333333333333331</v>
      </c>
      <c r="AE14" s="36">
        <f t="shared" si="6"/>
        <v>0.68278059266083235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137</v>
      </c>
      <c r="E15" s="53" t="s">
        <v>177</v>
      </c>
      <c r="F15" s="30" t="s">
        <v>138</v>
      </c>
      <c r="G15" s="12">
        <v>2</v>
      </c>
      <c r="H15" s="13">
        <v>24</v>
      </c>
      <c r="I15" s="31">
        <f>74000+25000+40000</f>
        <v>139000</v>
      </c>
      <c r="J15" s="14">
        <v>11812</v>
      </c>
      <c r="K15" s="15">
        <f>L15+8206+11870+12258+12474+11882+10946+12064+12086+11982+11968+11258+11962+10408</f>
        <v>161176</v>
      </c>
      <c r="L15" s="15">
        <f>2996*2+2910*2</f>
        <v>11812</v>
      </c>
      <c r="M15" s="15">
        <f t="shared" si="0"/>
        <v>11812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0.68278059266083235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112</v>
      </c>
      <c r="D16" s="52" t="s">
        <v>149</v>
      </c>
      <c r="E16" s="53" t="s">
        <v>164</v>
      </c>
      <c r="F16" s="30" t="s">
        <v>165</v>
      </c>
      <c r="G16" s="12">
        <v>2</v>
      </c>
      <c r="H16" s="13">
        <v>22</v>
      </c>
      <c r="I16" s="31">
        <f>72000+40000</f>
        <v>112000</v>
      </c>
      <c r="J16" s="5">
        <v>10826</v>
      </c>
      <c r="K16" s="15">
        <f>L16+4453+8440+10782+9098+8530+6582+6076+10824+10810+10874+10764+8950+10808+10970</f>
        <v>138787</v>
      </c>
      <c r="L16" s="15">
        <f>2736*2+2677*2</f>
        <v>10826</v>
      </c>
      <c r="M16" s="15">
        <f t="shared" si="0"/>
        <v>10826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0.68278059266083235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126</v>
      </c>
      <c r="D17" s="52" t="s">
        <v>121</v>
      </c>
      <c r="E17" s="53" t="s">
        <v>305</v>
      </c>
      <c r="F17" s="30" t="s">
        <v>183</v>
      </c>
      <c r="G17" s="12">
        <v>1</v>
      </c>
      <c r="H17" s="13">
        <v>24</v>
      </c>
      <c r="I17" s="7">
        <v>3000</v>
      </c>
      <c r="J17" s="14">
        <v>3216</v>
      </c>
      <c r="K17" s="15">
        <f>L17</f>
        <v>3216</v>
      </c>
      <c r="L17" s="15">
        <f>2171+1045</f>
        <v>3216</v>
      </c>
      <c r="M17" s="15">
        <f t="shared" si="0"/>
        <v>3216</v>
      </c>
      <c r="N17" s="15">
        <v>0</v>
      </c>
      <c r="O17" s="58">
        <f t="shared" si="1"/>
        <v>0</v>
      </c>
      <c r="P17" s="39">
        <f t="shared" si="2"/>
        <v>19</v>
      </c>
      <c r="Q17" s="40">
        <f t="shared" si="3"/>
        <v>5</v>
      </c>
      <c r="R17" s="7"/>
      <c r="S17" s="6"/>
      <c r="T17" s="16"/>
      <c r="U17" s="16"/>
      <c r="V17" s="17"/>
      <c r="W17" s="5">
        <v>5</v>
      </c>
      <c r="X17" s="16"/>
      <c r="Y17" s="16"/>
      <c r="Z17" s="16"/>
      <c r="AA17" s="18"/>
      <c r="AB17" s="8">
        <f t="shared" si="4"/>
        <v>1</v>
      </c>
      <c r="AC17" s="9">
        <f t="shared" si="5"/>
        <v>0.79166666666666663</v>
      </c>
      <c r="AD17" s="10">
        <f t="shared" si="8"/>
        <v>0.79166666666666663</v>
      </c>
      <c r="AE17" s="36">
        <f t="shared" si="6"/>
        <v>0.68278059266083235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197</v>
      </c>
      <c r="E18" s="53" t="s">
        <v>280</v>
      </c>
      <c r="F18" s="30" t="s">
        <v>306</v>
      </c>
      <c r="G18" s="12">
        <v>1</v>
      </c>
      <c r="H18" s="13">
        <v>22</v>
      </c>
      <c r="I18" s="31">
        <v>3000</v>
      </c>
      <c r="J18" s="5">
        <v>2073</v>
      </c>
      <c r="K18" s="15">
        <f>L18</f>
        <v>2073</v>
      </c>
      <c r="L18" s="15">
        <v>2073</v>
      </c>
      <c r="M18" s="15">
        <f t="shared" si="0"/>
        <v>2073</v>
      </c>
      <c r="N18" s="15">
        <v>0</v>
      </c>
      <c r="O18" s="58">
        <f t="shared" si="1"/>
        <v>0</v>
      </c>
      <c r="P18" s="39">
        <f t="shared" si="2"/>
        <v>10</v>
      </c>
      <c r="Q18" s="40">
        <f t="shared" si="3"/>
        <v>14</v>
      </c>
      <c r="R18" s="7"/>
      <c r="S18" s="6">
        <v>14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0.41666666666666669</v>
      </c>
      <c r="AD18" s="10">
        <f t="shared" si="8"/>
        <v>0.41666666666666669</v>
      </c>
      <c r="AE18" s="36">
        <f t="shared" si="6"/>
        <v>0.68278059266083235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116</v>
      </c>
      <c r="D19" s="52" t="s">
        <v>256</v>
      </c>
      <c r="E19" s="53" t="s">
        <v>235</v>
      </c>
      <c r="F19" s="30" t="s">
        <v>148</v>
      </c>
      <c r="G19" s="33">
        <v>1</v>
      </c>
      <c r="H19" s="35">
        <v>24</v>
      </c>
      <c r="I19" s="7">
        <v>2600</v>
      </c>
      <c r="J19" s="14">
        <v>2038</v>
      </c>
      <c r="K19" s="15">
        <f>L19+4348</f>
        <v>6386</v>
      </c>
      <c r="L19" s="15">
        <v>2038</v>
      </c>
      <c r="M19" s="15">
        <f t="shared" si="0"/>
        <v>2038</v>
      </c>
      <c r="N19" s="15">
        <v>0</v>
      </c>
      <c r="O19" s="58">
        <f t="shared" si="1"/>
        <v>0</v>
      </c>
      <c r="P19" s="39">
        <f t="shared" si="2"/>
        <v>9</v>
      </c>
      <c r="Q19" s="40">
        <f t="shared" si="3"/>
        <v>15</v>
      </c>
      <c r="R19" s="7"/>
      <c r="S19" s="6"/>
      <c r="T19" s="16"/>
      <c r="U19" s="16"/>
      <c r="V19" s="17"/>
      <c r="W19" s="5">
        <v>15</v>
      </c>
      <c r="X19" s="16"/>
      <c r="Y19" s="16"/>
      <c r="Z19" s="16"/>
      <c r="AA19" s="18"/>
      <c r="AB19" s="8">
        <f t="shared" si="4"/>
        <v>1</v>
      </c>
      <c r="AC19" s="9">
        <f t="shared" si="5"/>
        <v>0.375</v>
      </c>
      <c r="AD19" s="10">
        <f t="shared" si="8"/>
        <v>0.375</v>
      </c>
      <c r="AE19" s="36">
        <f t="shared" si="6"/>
        <v>0.68278059266083235</v>
      </c>
      <c r="AF19" s="81">
        <f t="shared" si="7"/>
        <v>14</v>
      </c>
    </row>
    <row r="20" spans="1:32" ht="27" customHeight="1">
      <c r="A20" s="92">
        <v>14</v>
      </c>
      <c r="B20" s="11" t="s">
        <v>57</v>
      </c>
      <c r="C20" s="11" t="s">
        <v>126</v>
      </c>
      <c r="D20" s="52" t="s">
        <v>307</v>
      </c>
      <c r="E20" s="53" t="s">
        <v>308</v>
      </c>
      <c r="F20" s="30" t="s">
        <v>165</v>
      </c>
      <c r="G20" s="33">
        <v>2</v>
      </c>
      <c r="H20" s="35">
        <v>24</v>
      </c>
      <c r="I20" s="7">
        <v>2400</v>
      </c>
      <c r="J20" s="14">
        <v>4168</v>
      </c>
      <c r="K20" s="15">
        <f>L20</f>
        <v>4168</v>
      </c>
      <c r="L20" s="15">
        <f>1887*2+197*2</f>
        <v>4168</v>
      </c>
      <c r="M20" s="15">
        <f t="shared" ref="M20" si="9">L20-N20</f>
        <v>4168</v>
      </c>
      <c r="N20" s="15">
        <v>0</v>
      </c>
      <c r="O20" s="58">
        <f t="shared" ref="O20" si="10">IF(L20=0,"0",N20/L20)</f>
        <v>0</v>
      </c>
      <c r="P20" s="39">
        <f t="shared" ref="P20" si="11">IF(L20=0,"0",(24-Q20))</f>
        <v>14</v>
      </c>
      <c r="Q20" s="40">
        <f t="shared" ref="Q20" si="12">SUM(R20:AA20)</f>
        <v>10</v>
      </c>
      <c r="R20" s="7"/>
      <c r="S20" s="6"/>
      <c r="T20" s="16">
        <v>10</v>
      </c>
      <c r="U20" s="16"/>
      <c r="V20" s="17"/>
      <c r="W20" s="5"/>
      <c r="X20" s="16"/>
      <c r="Y20" s="16"/>
      <c r="Z20" s="16"/>
      <c r="AA20" s="18"/>
      <c r="AB20" s="8">
        <f t="shared" ref="AB20" si="13">IF(J20=0,"0",(L20/J20))</f>
        <v>1</v>
      </c>
      <c r="AC20" s="9">
        <f t="shared" ref="AC20" si="14">IF(P20=0,"0",(P20/24))</f>
        <v>0.58333333333333337</v>
      </c>
      <c r="AD20" s="10">
        <f t="shared" ref="AD20" si="15">AC20*AB20*(1-O20)</f>
        <v>0.58333333333333337</v>
      </c>
      <c r="AE20" s="36">
        <f t="shared" si="6"/>
        <v>0.68278059266083235</v>
      </c>
      <c r="AF20" s="81">
        <f t="shared" ref="AF20" si="16">A20</f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140</v>
      </c>
      <c r="F21" s="30" t="s">
        <v>135</v>
      </c>
      <c r="G21" s="33">
        <v>1</v>
      </c>
      <c r="H21" s="35">
        <v>24</v>
      </c>
      <c r="I21" s="7">
        <v>70000</v>
      </c>
      <c r="J21" s="14">
        <v>10928</v>
      </c>
      <c r="K21" s="15">
        <f>L21+3150+7466+4534+7764+11032+11156+11220+10030+4886+5156+5465+5493+1986+8040+10452+11066</f>
        <v>129824</v>
      </c>
      <c r="L21" s="15">
        <f>2685*2+2779*2</f>
        <v>10928</v>
      </c>
      <c r="M21" s="15">
        <f t="shared" si="0"/>
        <v>10928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0.68278059266083235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257</v>
      </c>
      <c r="F22" s="12" t="s">
        <v>114</v>
      </c>
      <c r="G22" s="12">
        <v>3</v>
      </c>
      <c r="H22" s="35">
        <v>20</v>
      </c>
      <c r="I22" s="7">
        <v>500000</v>
      </c>
      <c r="J22" s="14">
        <v>48186</v>
      </c>
      <c r="K22" s="15">
        <f>L22+43719</f>
        <v>91905</v>
      </c>
      <c r="L22" s="15">
        <f>8167*3+7895*3</f>
        <v>48186</v>
      </c>
      <c r="M22" s="15">
        <f t="shared" si="0"/>
        <v>48186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0.68278059266083235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0.68278059266083235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179</v>
      </c>
      <c r="F24" s="12" t="s">
        <v>180</v>
      </c>
      <c r="G24" s="12">
        <v>4</v>
      </c>
      <c r="H24" s="35">
        <v>15</v>
      </c>
      <c r="I24" s="7">
        <v>6000</v>
      </c>
      <c r="J24" s="14">
        <v>7513</v>
      </c>
      <c r="K24" s="15">
        <f>L24+2732+12588+7513</f>
        <v>22833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0.68278059266083235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0.68278059266083235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32</v>
      </c>
      <c r="H26" s="35">
        <v>20</v>
      </c>
      <c r="I26" s="7">
        <v>2000000</v>
      </c>
      <c r="J26" s="14">
        <v>329924</v>
      </c>
      <c r="K26" s="15">
        <f>L26+75400+283575+206080+155736+326312+378448</f>
        <v>1755475</v>
      </c>
      <c r="L26" s="15">
        <f>6535*28+5248*28</f>
        <v>329924</v>
      </c>
      <c r="M26" s="15">
        <f t="shared" si="0"/>
        <v>329924</v>
      </c>
      <c r="N26" s="15">
        <v>0</v>
      </c>
      <c r="O26" s="58">
        <f t="shared" si="1"/>
        <v>0</v>
      </c>
      <c r="P26" s="39">
        <f t="shared" si="2"/>
        <v>24</v>
      </c>
      <c r="Q26" s="40">
        <f t="shared" si="3"/>
        <v>0</v>
      </c>
      <c r="R26" s="7"/>
      <c r="S26" s="6"/>
      <c r="T26" s="16"/>
      <c r="U26" s="16"/>
      <c r="V26" s="17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1</v>
      </c>
      <c r="AD26" s="10">
        <f t="shared" si="8"/>
        <v>1</v>
      </c>
      <c r="AE26" s="36">
        <f t="shared" si="6"/>
        <v>0.68278059266083235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121</v>
      </c>
      <c r="E27" s="53" t="s">
        <v>253</v>
      </c>
      <c r="F27" s="12" t="s">
        <v>135</v>
      </c>
      <c r="G27" s="12">
        <v>1</v>
      </c>
      <c r="H27" s="35">
        <v>20</v>
      </c>
      <c r="I27" s="7">
        <v>300</v>
      </c>
      <c r="J27" s="14">
        <v>963</v>
      </c>
      <c r="K27" s="15">
        <f>L27+963</f>
        <v>963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0.68278059266083235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115</v>
      </c>
      <c r="E28" s="53" t="s">
        <v>185</v>
      </c>
      <c r="F28" s="12" t="s">
        <v>124</v>
      </c>
      <c r="G28" s="12">
        <v>4</v>
      </c>
      <c r="H28" s="35">
        <v>20</v>
      </c>
      <c r="I28" s="7">
        <v>4000</v>
      </c>
      <c r="J28" s="14">
        <v>8984</v>
      </c>
      <c r="K28" s="15">
        <f>L28+8984</f>
        <v>8984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0.68278059266083235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125</v>
      </c>
      <c r="F29" s="12" t="s">
        <v>124</v>
      </c>
      <c r="G29" s="12">
        <v>4</v>
      </c>
      <c r="H29" s="35">
        <v>20</v>
      </c>
      <c r="I29" s="7">
        <v>50000</v>
      </c>
      <c r="J29" s="14">
        <v>26944</v>
      </c>
      <c r="K29" s="15">
        <f>L29+24592+26944+21716</f>
        <v>73252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0.68278059266083235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0.68278059266083235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17">SUM(I6:I30)</f>
        <v>4204500</v>
      </c>
      <c r="J31" s="19">
        <f t="shared" si="17"/>
        <v>624374</v>
      </c>
      <c r="K31" s="20">
        <f t="shared" si="17"/>
        <v>3459509</v>
      </c>
      <c r="L31" s="21">
        <f t="shared" si="17"/>
        <v>485441</v>
      </c>
      <c r="M31" s="20">
        <f t="shared" si="17"/>
        <v>485441</v>
      </c>
      <c r="N31" s="21">
        <f t="shared" si="17"/>
        <v>0</v>
      </c>
      <c r="O31" s="41">
        <f t="shared" si="1"/>
        <v>0</v>
      </c>
      <c r="P31" s="42">
        <f t="shared" ref="P31:AA31" si="18">SUM(P6:P30)</f>
        <v>341</v>
      </c>
      <c r="Q31" s="43">
        <f t="shared" si="18"/>
        <v>259</v>
      </c>
      <c r="R31" s="23">
        <f t="shared" si="18"/>
        <v>0</v>
      </c>
      <c r="S31" s="24">
        <f t="shared" si="18"/>
        <v>41</v>
      </c>
      <c r="T31" s="24">
        <f t="shared" si="18"/>
        <v>10</v>
      </c>
      <c r="U31" s="24">
        <f t="shared" si="18"/>
        <v>0</v>
      </c>
      <c r="V31" s="25">
        <f t="shared" si="18"/>
        <v>48</v>
      </c>
      <c r="W31" s="26">
        <f t="shared" si="18"/>
        <v>160</v>
      </c>
      <c r="X31" s="27">
        <f t="shared" si="18"/>
        <v>0</v>
      </c>
      <c r="Y31" s="27">
        <f t="shared" si="18"/>
        <v>0</v>
      </c>
      <c r="Z31" s="27">
        <f t="shared" si="18"/>
        <v>0</v>
      </c>
      <c r="AA31" s="27">
        <f t="shared" si="18"/>
        <v>0</v>
      </c>
      <c r="AB31" s="28">
        <f>AVERAGE(AB6:AB30)</f>
        <v>0.88624673729464154</v>
      </c>
      <c r="AC31" s="4">
        <f>AVERAGE(AC6:AC30)</f>
        <v>0.56833333333333325</v>
      </c>
      <c r="AD31" s="4">
        <f>AVERAGE(AD6:AD30)</f>
        <v>0.68278059266083235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309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316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166" t="s">
        <v>46</v>
      </c>
      <c r="D60" s="166" t="s">
        <v>47</v>
      </c>
      <c r="E60" s="166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166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126</v>
      </c>
      <c r="B61" s="431"/>
      <c r="C61" s="162" t="s">
        <v>139</v>
      </c>
      <c r="D61" s="162" t="s">
        <v>115</v>
      </c>
      <c r="E61" s="163" t="s">
        <v>194</v>
      </c>
      <c r="F61" s="432" t="s">
        <v>310</v>
      </c>
      <c r="G61" s="433"/>
      <c r="H61" s="433"/>
      <c r="I61" s="433"/>
      <c r="J61" s="433"/>
      <c r="K61" s="433"/>
      <c r="L61" s="433"/>
      <c r="M61" s="434"/>
      <c r="N61" s="141" t="s">
        <v>151</v>
      </c>
      <c r="O61" s="160" t="s">
        <v>219</v>
      </c>
      <c r="P61" s="447" t="s">
        <v>115</v>
      </c>
      <c r="Q61" s="448"/>
      <c r="R61" s="447" t="s">
        <v>236</v>
      </c>
      <c r="S61" s="449"/>
      <c r="T61" s="449"/>
      <c r="U61" s="448"/>
      <c r="V61" s="436" t="s">
        <v>141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112</v>
      </c>
      <c r="B62" s="431"/>
      <c r="C62" s="162" t="s">
        <v>146</v>
      </c>
      <c r="D62" s="162" t="s">
        <v>115</v>
      </c>
      <c r="E62" s="163" t="s">
        <v>304</v>
      </c>
      <c r="F62" s="432" t="s">
        <v>311</v>
      </c>
      <c r="G62" s="433"/>
      <c r="H62" s="433"/>
      <c r="I62" s="433"/>
      <c r="J62" s="433"/>
      <c r="K62" s="433"/>
      <c r="L62" s="433"/>
      <c r="M62" s="434"/>
      <c r="N62" s="141" t="s">
        <v>126</v>
      </c>
      <c r="O62" s="176" t="s">
        <v>204</v>
      </c>
      <c r="P62" s="447" t="s">
        <v>322</v>
      </c>
      <c r="Q62" s="448"/>
      <c r="R62" s="447" t="s">
        <v>323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126</v>
      </c>
      <c r="B63" s="431"/>
      <c r="C63" s="162" t="s">
        <v>166</v>
      </c>
      <c r="D63" s="162" t="s">
        <v>216</v>
      </c>
      <c r="E63" s="163" t="s">
        <v>214</v>
      </c>
      <c r="F63" s="432" t="s">
        <v>312</v>
      </c>
      <c r="G63" s="433"/>
      <c r="H63" s="433"/>
      <c r="I63" s="433"/>
      <c r="J63" s="433"/>
      <c r="K63" s="433"/>
      <c r="L63" s="433"/>
      <c r="M63" s="434"/>
      <c r="N63" s="141" t="s">
        <v>116</v>
      </c>
      <c r="O63" s="176" t="s">
        <v>205</v>
      </c>
      <c r="P63" s="447" t="s">
        <v>197</v>
      </c>
      <c r="Q63" s="448"/>
      <c r="R63" s="447" t="s">
        <v>280</v>
      </c>
      <c r="S63" s="449"/>
      <c r="T63" s="449"/>
      <c r="U63" s="448"/>
      <c r="V63" s="436" t="s">
        <v>141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151</v>
      </c>
      <c r="B64" s="431"/>
      <c r="C64" s="162" t="s">
        <v>219</v>
      </c>
      <c r="D64" s="162" t="s">
        <v>115</v>
      </c>
      <c r="E64" s="163" t="s">
        <v>236</v>
      </c>
      <c r="F64" s="432" t="s">
        <v>313</v>
      </c>
      <c r="G64" s="433"/>
      <c r="H64" s="433"/>
      <c r="I64" s="433"/>
      <c r="J64" s="433"/>
      <c r="K64" s="433"/>
      <c r="L64" s="433"/>
      <c r="M64" s="434"/>
      <c r="N64" s="141" t="s">
        <v>116</v>
      </c>
      <c r="O64" s="160" t="s">
        <v>325</v>
      </c>
      <c r="P64" s="447" t="s">
        <v>326</v>
      </c>
      <c r="Q64" s="448"/>
      <c r="R64" s="447" t="s">
        <v>324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126</v>
      </c>
      <c r="B65" s="431"/>
      <c r="C65" s="162" t="s">
        <v>208</v>
      </c>
      <c r="D65" s="162" t="s">
        <v>307</v>
      </c>
      <c r="E65" s="163" t="s">
        <v>308</v>
      </c>
      <c r="F65" s="432" t="s">
        <v>154</v>
      </c>
      <c r="G65" s="433"/>
      <c r="H65" s="433"/>
      <c r="I65" s="433"/>
      <c r="J65" s="433"/>
      <c r="K65" s="433"/>
      <c r="L65" s="433"/>
      <c r="M65" s="434"/>
      <c r="N65" s="141" t="s">
        <v>116</v>
      </c>
      <c r="O65" s="160" t="s">
        <v>328</v>
      </c>
      <c r="P65" s="447" t="s">
        <v>326</v>
      </c>
      <c r="Q65" s="448"/>
      <c r="R65" s="447" t="s">
        <v>327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112</v>
      </c>
      <c r="B66" s="431"/>
      <c r="C66" s="162" t="s">
        <v>261</v>
      </c>
      <c r="D66" s="162" t="s">
        <v>147</v>
      </c>
      <c r="E66" s="163" t="s">
        <v>272</v>
      </c>
      <c r="F66" s="432" t="s">
        <v>200</v>
      </c>
      <c r="G66" s="433"/>
      <c r="H66" s="433"/>
      <c r="I66" s="433"/>
      <c r="J66" s="433"/>
      <c r="K66" s="433"/>
      <c r="L66" s="433"/>
      <c r="M66" s="434"/>
      <c r="N66" s="141"/>
      <c r="O66" s="160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126</v>
      </c>
      <c r="B67" s="431"/>
      <c r="C67" s="162" t="s">
        <v>314</v>
      </c>
      <c r="D67" s="162" t="s">
        <v>315</v>
      </c>
      <c r="E67" s="163" t="s">
        <v>305</v>
      </c>
      <c r="F67" s="432" t="s">
        <v>154</v>
      </c>
      <c r="G67" s="433"/>
      <c r="H67" s="433"/>
      <c r="I67" s="433"/>
      <c r="J67" s="433"/>
      <c r="K67" s="433"/>
      <c r="L67" s="433"/>
      <c r="M67" s="434"/>
      <c r="N67" s="141"/>
      <c r="O67" s="160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319</v>
      </c>
      <c r="B68" s="431"/>
      <c r="C68" s="162" t="s">
        <v>320</v>
      </c>
      <c r="D68" s="162" t="s">
        <v>321</v>
      </c>
      <c r="E68" s="163" t="s">
        <v>317</v>
      </c>
      <c r="F68" s="432" t="s">
        <v>318</v>
      </c>
      <c r="G68" s="433"/>
      <c r="H68" s="433"/>
      <c r="I68" s="433"/>
      <c r="J68" s="433"/>
      <c r="K68" s="433"/>
      <c r="L68" s="433"/>
      <c r="M68" s="434"/>
      <c r="N68" s="141"/>
      <c r="O68" s="160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/>
      <c r="B69" s="431"/>
      <c r="C69" s="162"/>
      <c r="D69" s="162"/>
      <c r="E69" s="163"/>
      <c r="F69" s="432"/>
      <c r="G69" s="433"/>
      <c r="H69" s="433"/>
      <c r="I69" s="433"/>
      <c r="J69" s="433"/>
      <c r="K69" s="433"/>
      <c r="L69" s="433"/>
      <c r="M69" s="434"/>
      <c r="N69" s="141"/>
      <c r="O69" s="160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164"/>
      <c r="D70" s="165"/>
      <c r="E70" s="164"/>
      <c r="F70" s="441"/>
      <c r="G70" s="442"/>
      <c r="H70" s="442"/>
      <c r="I70" s="442"/>
      <c r="J70" s="442"/>
      <c r="K70" s="442"/>
      <c r="L70" s="442"/>
      <c r="M70" s="443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329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161" t="s">
        <v>2</v>
      </c>
      <c r="D72" s="161" t="s">
        <v>37</v>
      </c>
      <c r="E72" s="161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161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112</v>
      </c>
      <c r="D73" s="156"/>
      <c r="E73" s="159" t="s">
        <v>297</v>
      </c>
      <c r="F73" s="416" t="s">
        <v>330</v>
      </c>
      <c r="G73" s="406"/>
      <c r="H73" s="406"/>
      <c r="I73" s="406"/>
      <c r="J73" s="406"/>
      <c r="K73" s="406" t="s">
        <v>180</v>
      </c>
      <c r="L73" s="406"/>
      <c r="M73" s="51" t="s">
        <v>248</v>
      </c>
      <c r="N73" s="417" t="s">
        <v>299</v>
      </c>
      <c r="O73" s="417"/>
      <c r="P73" s="418">
        <v>500</v>
      </c>
      <c r="Q73" s="418"/>
      <c r="R73" s="419" t="s">
        <v>300</v>
      </c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 t="s">
        <v>116</v>
      </c>
      <c r="D74" s="178"/>
      <c r="E74" s="175" t="s">
        <v>297</v>
      </c>
      <c r="F74" s="420" t="s">
        <v>289</v>
      </c>
      <c r="G74" s="421"/>
      <c r="H74" s="421"/>
      <c r="I74" s="421"/>
      <c r="J74" s="422"/>
      <c r="K74" s="406" t="s">
        <v>291</v>
      </c>
      <c r="L74" s="406"/>
      <c r="M74" s="51" t="s">
        <v>248</v>
      </c>
      <c r="N74" s="417" t="s">
        <v>299</v>
      </c>
      <c r="O74" s="417"/>
      <c r="P74" s="418">
        <v>500</v>
      </c>
      <c r="Q74" s="418"/>
      <c r="R74" s="419" t="s">
        <v>300</v>
      </c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 t="s">
        <v>334</v>
      </c>
      <c r="D75" s="156"/>
      <c r="E75" s="159"/>
      <c r="F75" s="416" t="s">
        <v>331</v>
      </c>
      <c r="G75" s="406"/>
      <c r="H75" s="406"/>
      <c r="I75" s="406"/>
      <c r="J75" s="406"/>
      <c r="K75" s="406" t="s">
        <v>332</v>
      </c>
      <c r="L75" s="406"/>
      <c r="M75" s="51" t="s">
        <v>333</v>
      </c>
      <c r="N75" s="417" t="s">
        <v>314</v>
      </c>
      <c r="O75" s="417"/>
      <c r="P75" s="418">
        <v>50</v>
      </c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 t="s">
        <v>334</v>
      </c>
      <c r="D76" s="156"/>
      <c r="E76" s="159"/>
      <c r="F76" s="420" t="s">
        <v>335</v>
      </c>
      <c r="G76" s="421"/>
      <c r="H76" s="421"/>
      <c r="I76" s="421"/>
      <c r="J76" s="422"/>
      <c r="K76" s="406" t="s">
        <v>339</v>
      </c>
      <c r="L76" s="406"/>
      <c r="M76" s="51" t="s">
        <v>333</v>
      </c>
      <c r="N76" s="417" t="s">
        <v>341</v>
      </c>
      <c r="O76" s="417"/>
      <c r="P76" s="418">
        <v>50</v>
      </c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 t="s">
        <v>334</v>
      </c>
      <c r="D77" s="156"/>
      <c r="E77" s="159"/>
      <c r="F77" s="420" t="s">
        <v>336</v>
      </c>
      <c r="G77" s="421"/>
      <c r="H77" s="421"/>
      <c r="I77" s="421"/>
      <c r="J77" s="422"/>
      <c r="K77" s="406" t="s">
        <v>340</v>
      </c>
      <c r="L77" s="406"/>
      <c r="M77" s="51" t="s">
        <v>333</v>
      </c>
      <c r="N77" s="417" t="s">
        <v>341</v>
      </c>
      <c r="O77" s="417"/>
      <c r="P77" s="418">
        <v>50</v>
      </c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 t="s">
        <v>112</v>
      </c>
      <c r="D78" s="156"/>
      <c r="E78" s="159" t="s">
        <v>338</v>
      </c>
      <c r="F78" s="420" t="s">
        <v>337</v>
      </c>
      <c r="G78" s="421"/>
      <c r="H78" s="421"/>
      <c r="I78" s="421"/>
      <c r="J78" s="422"/>
      <c r="K78" s="406" t="s">
        <v>342</v>
      </c>
      <c r="L78" s="406"/>
      <c r="M78" s="51" t="s">
        <v>343</v>
      </c>
      <c r="N78" s="417" t="s">
        <v>341</v>
      </c>
      <c r="O78" s="417"/>
      <c r="P78" s="418">
        <v>50</v>
      </c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156"/>
      <c r="E79" s="159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156"/>
      <c r="E80" s="159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156"/>
      <c r="E81" s="159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156"/>
      <c r="E82" s="159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344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158" t="s">
        <v>2</v>
      </c>
      <c r="D84" s="158" t="s">
        <v>37</v>
      </c>
      <c r="E84" s="158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157"/>
      <c r="D85" s="157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156"/>
      <c r="D86" s="156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9">A86+1</f>
        <v>3</v>
      </c>
      <c r="B87" s="374"/>
      <c r="C87" s="156"/>
      <c r="D87" s="156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9"/>
        <v>4</v>
      </c>
      <c r="B88" s="374"/>
      <c r="C88" s="156"/>
      <c r="D88" s="156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5</v>
      </c>
      <c r="B89" s="374"/>
      <c r="C89" s="156"/>
      <c r="D89" s="156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6</v>
      </c>
      <c r="B90" s="374"/>
      <c r="C90" s="156"/>
      <c r="D90" s="156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7</v>
      </c>
      <c r="B91" s="374"/>
      <c r="C91" s="156"/>
      <c r="D91" s="156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345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D505-7D9B-4B23-9346-71DF69A1D874}">
  <sheetPr codeName="Sheet5">
    <pageSetUpPr fitToPage="1"/>
  </sheetPr>
  <dimension ref="A1:AF96"/>
  <sheetViews>
    <sheetView view="pageBreakPreview" zoomScale="70" zoomScaleNormal="72" zoomScaleSheetLayoutView="70" workbookViewId="0">
      <selection activeCell="A93" sqref="A93:B9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346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168" t="s">
        <v>17</v>
      </c>
      <c r="L5" s="168" t="s">
        <v>18</v>
      </c>
      <c r="M5" s="168" t="s">
        <v>19</v>
      </c>
      <c r="N5" s="16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115</v>
      </c>
      <c r="E6" s="53" t="s">
        <v>194</v>
      </c>
      <c r="F6" s="30" t="s">
        <v>150</v>
      </c>
      <c r="G6" s="12">
        <v>1</v>
      </c>
      <c r="H6" s="13">
        <v>24</v>
      </c>
      <c r="I6" s="31">
        <v>30000</v>
      </c>
      <c r="J6" s="14">
        <v>3974</v>
      </c>
      <c r="K6" s="15">
        <f>L6+8904+9248+2171+9270</f>
        <v>33567</v>
      </c>
      <c r="L6" s="15">
        <f>1987*2</f>
        <v>3974</v>
      </c>
      <c r="M6" s="15">
        <f t="shared" ref="M6:M30" si="0">L6-N6</f>
        <v>3974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10</v>
      </c>
      <c r="Q6" s="40">
        <f t="shared" ref="Q6:Q30" si="3">SUM(R6:AA6)</f>
        <v>14</v>
      </c>
      <c r="R6" s="7"/>
      <c r="S6" s="6">
        <v>14</v>
      </c>
      <c r="T6" s="16"/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0.41666666666666669</v>
      </c>
      <c r="AD6" s="10">
        <f>AC6*AB6*(1-O6)</f>
        <v>0.41666666666666669</v>
      </c>
      <c r="AE6" s="36">
        <f t="shared" ref="AE6:AE30" si="6">$AD$31</f>
        <v>0.495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224</v>
      </c>
      <c r="E7" s="53" t="s">
        <v>225</v>
      </c>
      <c r="F7" s="30" t="s">
        <v>136</v>
      </c>
      <c r="G7" s="12">
        <v>1</v>
      </c>
      <c r="H7" s="13">
        <v>24</v>
      </c>
      <c r="I7" s="31">
        <v>15000</v>
      </c>
      <c r="J7" s="14">
        <v>5027</v>
      </c>
      <c r="K7" s="15">
        <f>L7+3671+5825+5743</f>
        <v>20266</v>
      </c>
      <c r="L7" s="15">
        <f>2686+2341</f>
        <v>5027</v>
      </c>
      <c r="M7" s="15">
        <f t="shared" si="0"/>
        <v>5027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0" si="8">AC7*AB7*(1-O7)</f>
        <v>1</v>
      </c>
      <c r="AE7" s="36">
        <f t="shared" si="6"/>
        <v>0.495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304</v>
      </c>
      <c r="F8" s="30" t="s">
        <v>122</v>
      </c>
      <c r="G8" s="12">
        <v>1</v>
      </c>
      <c r="H8" s="13">
        <v>35</v>
      </c>
      <c r="I8" s="31">
        <v>300</v>
      </c>
      <c r="J8" s="5">
        <v>437</v>
      </c>
      <c r="K8" s="15">
        <f>L8+437</f>
        <v>437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/>
      <c r="X8" s="16"/>
      <c r="Y8" s="16"/>
      <c r="Z8" s="16"/>
      <c r="AA8" s="18">
        <v>24</v>
      </c>
      <c r="AB8" s="8">
        <f t="shared" si="4"/>
        <v>0</v>
      </c>
      <c r="AC8" s="9">
        <f t="shared" si="5"/>
        <v>0</v>
      </c>
      <c r="AD8" s="10">
        <f t="shared" si="8"/>
        <v>0</v>
      </c>
      <c r="AE8" s="36">
        <f t="shared" si="6"/>
        <v>0.495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347</v>
      </c>
      <c r="F9" s="30" t="s">
        <v>348</v>
      </c>
      <c r="G9" s="12">
        <v>1</v>
      </c>
      <c r="H9" s="13">
        <v>24</v>
      </c>
      <c r="I9" s="7">
        <v>260000</v>
      </c>
      <c r="J9" s="14">
        <v>4269</v>
      </c>
      <c r="K9" s="15">
        <f>L9</f>
        <v>4269</v>
      </c>
      <c r="L9" s="15">
        <f>1652+2617</f>
        <v>4269</v>
      </c>
      <c r="M9" s="15">
        <f t="shared" si="0"/>
        <v>4269</v>
      </c>
      <c r="N9" s="15">
        <v>0</v>
      </c>
      <c r="O9" s="58">
        <f t="shared" si="1"/>
        <v>0</v>
      </c>
      <c r="P9" s="39">
        <f t="shared" si="2"/>
        <v>21</v>
      </c>
      <c r="Q9" s="40">
        <f t="shared" si="3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0.875</v>
      </c>
      <c r="AD9" s="10">
        <f t="shared" si="8"/>
        <v>0.875</v>
      </c>
      <c r="AE9" s="36">
        <f t="shared" si="6"/>
        <v>0.495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145</v>
      </c>
      <c r="F10" s="30" t="s">
        <v>123</v>
      </c>
      <c r="G10" s="33">
        <v>1</v>
      </c>
      <c r="H10" s="35">
        <v>24</v>
      </c>
      <c r="I10" s="7">
        <v>115000</v>
      </c>
      <c r="J10" s="14">
        <v>4818</v>
      </c>
      <c r="K10" s="15">
        <f>L10+5338+5669+5744+4980+3619+1932+309+2790+5660+4715+1739+3127+5884+1203+3638+5732+5658+5217+2430+1897+5596+5715+3707+799+2709+2266+5086+3381+4392+5682+5705+5451+2998+2865+4585+5706+4871+3392+5482+5779+5358</f>
        <v>173624</v>
      </c>
      <c r="L10" s="15">
        <f>2759+2059</f>
        <v>4818</v>
      </c>
      <c r="M10" s="15">
        <f t="shared" si="0"/>
        <v>4818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0.495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121</v>
      </c>
      <c r="E11" s="53" t="s">
        <v>349</v>
      </c>
      <c r="F11" s="30" t="s">
        <v>165</v>
      </c>
      <c r="G11" s="33">
        <v>2</v>
      </c>
      <c r="H11" s="35">
        <v>24</v>
      </c>
      <c r="I11" s="7">
        <v>20000</v>
      </c>
      <c r="J11" s="14">
        <v>11038</v>
      </c>
      <c r="K11" s="15">
        <f>L11</f>
        <v>11038</v>
      </c>
      <c r="L11" s="15">
        <f>1967*2+3552*2</f>
        <v>11038</v>
      </c>
      <c r="M11" s="15">
        <f t="shared" si="0"/>
        <v>11038</v>
      </c>
      <c r="N11" s="15">
        <v>0</v>
      </c>
      <c r="O11" s="58">
        <f t="shared" si="1"/>
        <v>0</v>
      </c>
      <c r="P11" s="39">
        <f t="shared" si="2"/>
        <v>22</v>
      </c>
      <c r="Q11" s="40">
        <f t="shared" si="3"/>
        <v>2</v>
      </c>
      <c r="R11" s="7"/>
      <c r="S11" s="6">
        <v>2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0.91666666666666663</v>
      </c>
      <c r="AD11" s="10">
        <f t="shared" si="8"/>
        <v>0.91666666666666663</v>
      </c>
      <c r="AE11" s="36">
        <f t="shared" si="6"/>
        <v>0.495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40000</v>
      </c>
      <c r="J12" s="5">
        <v>4963</v>
      </c>
      <c r="K12" s="15">
        <f>L12+2299+960+4314+5153+4996+5031+573+5044+5157</f>
        <v>38490</v>
      </c>
      <c r="L12" s="15">
        <f>2584+2379</f>
        <v>4963</v>
      </c>
      <c r="M12" s="15">
        <f t="shared" si="0"/>
        <v>4963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0.495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112</v>
      </c>
      <c r="D13" s="52" t="s">
        <v>147</v>
      </c>
      <c r="E13" s="53" t="s">
        <v>272</v>
      </c>
      <c r="F13" s="30" t="s">
        <v>148</v>
      </c>
      <c r="G13" s="33">
        <v>1</v>
      </c>
      <c r="H13" s="35">
        <v>22</v>
      </c>
      <c r="I13" s="7">
        <v>15000</v>
      </c>
      <c r="J13" s="14">
        <v>5660</v>
      </c>
      <c r="K13" s="15">
        <f>L13+4941</f>
        <v>10601</v>
      </c>
      <c r="L13" s="15">
        <f>2691+2969</f>
        <v>5660</v>
      </c>
      <c r="M13" s="15">
        <f t="shared" si="0"/>
        <v>5660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0.495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151</v>
      </c>
      <c r="D14" s="52" t="s">
        <v>115</v>
      </c>
      <c r="E14" s="53" t="s">
        <v>236</v>
      </c>
      <c r="F14" s="30" t="s">
        <v>148</v>
      </c>
      <c r="G14" s="33">
        <v>1</v>
      </c>
      <c r="H14" s="35">
        <v>50</v>
      </c>
      <c r="I14" s="7">
        <v>900</v>
      </c>
      <c r="J14" s="5">
        <v>398</v>
      </c>
      <c r="K14" s="15">
        <f>L14+529+223</f>
        <v>1150</v>
      </c>
      <c r="L14" s="15">
        <v>398</v>
      </c>
      <c r="M14" s="15">
        <f t="shared" si="0"/>
        <v>398</v>
      </c>
      <c r="N14" s="15">
        <v>0</v>
      </c>
      <c r="O14" s="58">
        <f t="shared" si="1"/>
        <v>0</v>
      </c>
      <c r="P14" s="39">
        <f t="shared" si="2"/>
        <v>8</v>
      </c>
      <c r="Q14" s="40">
        <f t="shared" si="3"/>
        <v>16</v>
      </c>
      <c r="R14" s="7"/>
      <c r="S14" s="6">
        <v>16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0.33333333333333331</v>
      </c>
      <c r="AD14" s="10">
        <f t="shared" si="8"/>
        <v>0.33333333333333331</v>
      </c>
      <c r="AE14" s="36">
        <f t="shared" si="6"/>
        <v>0.495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137</v>
      </c>
      <c r="E15" s="53" t="s">
        <v>177</v>
      </c>
      <c r="F15" s="30" t="s">
        <v>138</v>
      </c>
      <c r="G15" s="12">
        <v>2</v>
      </c>
      <c r="H15" s="13">
        <v>24</v>
      </c>
      <c r="I15" s="31">
        <f>74000+25000+40000</f>
        <v>139000</v>
      </c>
      <c r="J15" s="14">
        <v>4322</v>
      </c>
      <c r="K15" s="15">
        <f>L15+8206+11870+12258+12474+11882+10946+12064+12086+11982+11968+11258+11962+10408+11812</f>
        <v>165498</v>
      </c>
      <c r="L15" s="15">
        <f>2161*2</f>
        <v>4322</v>
      </c>
      <c r="M15" s="15">
        <f t="shared" si="0"/>
        <v>4322</v>
      </c>
      <c r="N15" s="15">
        <v>0</v>
      </c>
      <c r="O15" s="58">
        <f t="shared" si="1"/>
        <v>0</v>
      </c>
      <c r="P15" s="39">
        <f t="shared" si="2"/>
        <v>8</v>
      </c>
      <c r="Q15" s="40">
        <f t="shared" si="3"/>
        <v>16</v>
      </c>
      <c r="R15" s="7"/>
      <c r="S15" s="6"/>
      <c r="T15" s="16"/>
      <c r="U15" s="16"/>
      <c r="V15" s="17"/>
      <c r="W15" s="5">
        <v>16</v>
      </c>
      <c r="X15" s="16"/>
      <c r="Y15" s="16"/>
      <c r="Z15" s="16"/>
      <c r="AA15" s="18"/>
      <c r="AB15" s="8">
        <f t="shared" si="4"/>
        <v>1</v>
      </c>
      <c r="AC15" s="9">
        <f t="shared" si="5"/>
        <v>0.33333333333333331</v>
      </c>
      <c r="AD15" s="10">
        <f t="shared" si="8"/>
        <v>0.33333333333333331</v>
      </c>
      <c r="AE15" s="36">
        <f t="shared" si="6"/>
        <v>0.495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112</v>
      </c>
      <c r="D16" s="52" t="s">
        <v>149</v>
      </c>
      <c r="E16" s="53" t="s">
        <v>164</v>
      </c>
      <c r="F16" s="30" t="s">
        <v>165</v>
      </c>
      <c r="G16" s="12">
        <v>2</v>
      </c>
      <c r="H16" s="13">
        <v>22</v>
      </c>
      <c r="I16" s="31">
        <f>72000+40000</f>
        <v>112000</v>
      </c>
      <c r="J16" s="5">
        <v>9006</v>
      </c>
      <c r="K16" s="15">
        <f>L16+4453+8440+10782+9098+8530+6582+6076+10824+10810+10874+10764+8950+10808+10970+10826</f>
        <v>147793</v>
      </c>
      <c r="L16" s="15">
        <f>1794*2+2709*2</f>
        <v>9006</v>
      </c>
      <c r="M16" s="15">
        <f t="shared" si="0"/>
        <v>9006</v>
      </c>
      <c r="N16" s="15">
        <v>0</v>
      </c>
      <c r="O16" s="58">
        <f t="shared" si="1"/>
        <v>0</v>
      </c>
      <c r="P16" s="39">
        <f t="shared" si="2"/>
        <v>21</v>
      </c>
      <c r="Q16" s="40">
        <f t="shared" si="3"/>
        <v>3</v>
      </c>
      <c r="R16" s="7"/>
      <c r="S16" s="6">
        <v>3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0.875</v>
      </c>
      <c r="AD16" s="10">
        <f t="shared" si="8"/>
        <v>0.875</v>
      </c>
      <c r="AE16" s="36">
        <f t="shared" si="6"/>
        <v>0.495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126</v>
      </c>
      <c r="D17" s="52" t="s">
        <v>322</v>
      </c>
      <c r="E17" s="53" t="s">
        <v>350</v>
      </c>
      <c r="F17" s="30" t="s">
        <v>138</v>
      </c>
      <c r="G17" s="12">
        <v>1</v>
      </c>
      <c r="H17" s="13">
        <v>24</v>
      </c>
      <c r="I17" s="7">
        <v>1200</v>
      </c>
      <c r="J17" s="14">
        <v>1630</v>
      </c>
      <c r="K17" s="15">
        <f>L17</f>
        <v>1630</v>
      </c>
      <c r="L17" s="15">
        <f>1630</f>
        <v>1630</v>
      </c>
      <c r="M17" s="15">
        <f t="shared" si="0"/>
        <v>1630</v>
      </c>
      <c r="N17" s="15">
        <v>0</v>
      </c>
      <c r="O17" s="58">
        <f t="shared" si="1"/>
        <v>0</v>
      </c>
      <c r="P17" s="39">
        <f t="shared" si="2"/>
        <v>9</v>
      </c>
      <c r="Q17" s="40">
        <f t="shared" si="3"/>
        <v>15</v>
      </c>
      <c r="R17" s="7"/>
      <c r="S17" s="6"/>
      <c r="T17" s="16"/>
      <c r="U17" s="16"/>
      <c r="V17" s="17"/>
      <c r="W17" s="5">
        <v>15</v>
      </c>
      <c r="X17" s="16"/>
      <c r="Y17" s="16"/>
      <c r="Z17" s="16"/>
      <c r="AA17" s="18"/>
      <c r="AB17" s="8">
        <f t="shared" si="4"/>
        <v>1</v>
      </c>
      <c r="AC17" s="9">
        <f t="shared" si="5"/>
        <v>0.375</v>
      </c>
      <c r="AD17" s="10">
        <f t="shared" si="8"/>
        <v>0.375</v>
      </c>
      <c r="AE17" s="36">
        <f t="shared" si="6"/>
        <v>0.495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197</v>
      </c>
      <c r="E18" s="53" t="s">
        <v>280</v>
      </c>
      <c r="F18" s="30" t="s">
        <v>306</v>
      </c>
      <c r="G18" s="12">
        <v>1</v>
      </c>
      <c r="H18" s="13">
        <v>22</v>
      </c>
      <c r="I18" s="31">
        <v>3000</v>
      </c>
      <c r="J18" s="5">
        <v>2036</v>
      </c>
      <c r="K18" s="15">
        <f>L18+2073</f>
        <v>4109</v>
      </c>
      <c r="L18" s="15">
        <f>64+1972</f>
        <v>2036</v>
      </c>
      <c r="M18" s="15">
        <f t="shared" si="0"/>
        <v>2036</v>
      </c>
      <c r="N18" s="15">
        <v>0</v>
      </c>
      <c r="O18" s="58">
        <f t="shared" si="1"/>
        <v>0</v>
      </c>
      <c r="P18" s="39">
        <f t="shared" si="2"/>
        <v>10</v>
      </c>
      <c r="Q18" s="40">
        <f t="shared" si="3"/>
        <v>14</v>
      </c>
      <c r="R18" s="7"/>
      <c r="S18" s="6">
        <v>14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0.41666666666666669</v>
      </c>
      <c r="AD18" s="10">
        <f t="shared" si="8"/>
        <v>0.41666666666666669</v>
      </c>
      <c r="AE18" s="36">
        <f t="shared" si="6"/>
        <v>0.495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116</v>
      </c>
      <c r="D19" s="52" t="s">
        <v>147</v>
      </c>
      <c r="E19" s="53" t="s">
        <v>351</v>
      </c>
      <c r="F19" s="30" t="s">
        <v>123</v>
      </c>
      <c r="G19" s="33">
        <v>1</v>
      </c>
      <c r="H19" s="35">
        <v>24</v>
      </c>
      <c r="I19" s="7">
        <v>2000</v>
      </c>
      <c r="J19" s="14">
        <v>3055</v>
      </c>
      <c r="K19" s="15">
        <f>L19</f>
        <v>3055</v>
      </c>
      <c r="L19" s="15">
        <f>2499+556</f>
        <v>3055</v>
      </c>
      <c r="M19" s="15">
        <f t="shared" si="0"/>
        <v>3055</v>
      </c>
      <c r="N19" s="15">
        <v>0</v>
      </c>
      <c r="O19" s="58">
        <f t="shared" si="1"/>
        <v>0</v>
      </c>
      <c r="P19" s="39">
        <f t="shared" si="2"/>
        <v>15</v>
      </c>
      <c r="Q19" s="40">
        <f t="shared" si="3"/>
        <v>9</v>
      </c>
      <c r="R19" s="7"/>
      <c r="S19" s="6"/>
      <c r="T19" s="16"/>
      <c r="U19" s="16"/>
      <c r="V19" s="17"/>
      <c r="W19" s="5">
        <v>9</v>
      </c>
      <c r="X19" s="16"/>
      <c r="Y19" s="16"/>
      <c r="Z19" s="16"/>
      <c r="AA19" s="18"/>
      <c r="AB19" s="8">
        <f t="shared" si="4"/>
        <v>1</v>
      </c>
      <c r="AC19" s="9">
        <f t="shared" si="5"/>
        <v>0.625</v>
      </c>
      <c r="AD19" s="10">
        <f t="shared" si="8"/>
        <v>0.625</v>
      </c>
      <c r="AE19" s="36">
        <f t="shared" si="6"/>
        <v>0.495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115</v>
      </c>
      <c r="E20" s="53" t="s">
        <v>140</v>
      </c>
      <c r="F20" s="30" t="s">
        <v>135</v>
      </c>
      <c r="G20" s="33">
        <v>1</v>
      </c>
      <c r="H20" s="35">
        <v>24</v>
      </c>
      <c r="I20" s="7">
        <v>70000</v>
      </c>
      <c r="J20" s="14">
        <v>10356</v>
      </c>
      <c r="K20" s="15">
        <f>L20+3150+7466+4534+7764+11032+11156+11220+10030+4886+5156+5465+5493+1986+8040+10452+11066+10928</f>
        <v>140180</v>
      </c>
      <c r="L20" s="15">
        <f>2719*2+2459*2</f>
        <v>10356</v>
      </c>
      <c r="M20" s="15">
        <f t="shared" si="0"/>
        <v>10356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0.495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257</v>
      </c>
      <c r="F21" s="12" t="s">
        <v>114</v>
      </c>
      <c r="G21" s="12">
        <v>3</v>
      </c>
      <c r="H21" s="35">
        <v>20</v>
      </c>
      <c r="I21" s="7">
        <v>500000</v>
      </c>
      <c r="J21" s="14">
        <v>10740</v>
      </c>
      <c r="K21" s="15">
        <f>L21+43719+48186</f>
        <v>102645</v>
      </c>
      <c r="L21" s="15">
        <f>3580*3</f>
        <v>10740</v>
      </c>
      <c r="M21" s="15">
        <f t="shared" ref="M21" si="9">L21-N21</f>
        <v>10740</v>
      </c>
      <c r="N21" s="15">
        <v>0</v>
      </c>
      <c r="O21" s="58">
        <f t="shared" ref="O21" si="10">IF(L21=0,"0",N21/L21)</f>
        <v>0</v>
      </c>
      <c r="P21" s="39">
        <f t="shared" ref="P21" si="11">IF(L21=0,"0",(24-Q21))</f>
        <v>5</v>
      </c>
      <c r="Q21" s="40">
        <f t="shared" ref="Q21" si="12">SUM(R21:AA21)</f>
        <v>19</v>
      </c>
      <c r="R21" s="7"/>
      <c r="S21" s="6"/>
      <c r="T21" s="16"/>
      <c r="U21" s="16"/>
      <c r="V21" s="17"/>
      <c r="W21" s="5">
        <v>19</v>
      </c>
      <c r="X21" s="16"/>
      <c r="Y21" s="16"/>
      <c r="Z21" s="16"/>
      <c r="AA21" s="18"/>
      <c r="AB21" s="8">
        <f t="shared" ref="AB21" si="13">IF(J21=0,"0",(L21/J21))</f>
        <v>1</v>
      </c>
      <c r="AC21" s="9">
        <f t="shared" ref="AC21" si="14">IF(P21=0,"0",(P21/24))</f>
        <v>0.20833333333333334</v>
      </c>
      <c r="AD21" s="10">
        <f t="shared" ref="AD21" si="15">AC21*AB21*(1-O21)</f>
        <v>0.20833333333333334</v>
      </c>
      <c r="AE21" s="36">
        <f t="shared" si="6"/>
        <v>0.495</v>
      </c>
      <c r="AF21" s="81">
        <f t="shared" ref="AF21" si="16">A21</f>
        <v>16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352</v>
      </c>
      <c r="F22" s="12" t="s">
        <v>114</v>
      </c>
      <c r="G22" s="12">
        <v>4</v>
      </c>
      <c r="H22" s="35">
        <v>20</v>
      </c>
      <c r="I22" s="7">
        <v>1000000</v>
      </c>
      <c r="J22" s="14">
        <v>43956</v>
      </c>
      <c r="K22" s="15">
        <f>L22</f>
        <v>43956</v>
      </c>
      <c r="L22" s="15">
        <f>3697*4+7292*4</f>
        <v>43956</v>
      </c>
      <c r="M22" s="15">
        <f t="shared" si="0"/>
        <v>43956</v>
      </c>
      <c r="N22" s="15">
        <v>0</v>
      </c>
      <c r="O22" s="58">
        <f t="shared" si="1"/>
        <v>0</v>
      </c>
      <c r="P22" s="39">
        <f t="shared" si="2"/>
        <v>18</v>
      </c>
      <c r="Q22" s="40">
        <f t="shared" si="3"/>
        <v>6</v>
      </c>
      <c r="R22" s="7"/>
      <c r="S22" s="6"/>
      <c r="T22" s="16">
        <v>6</v>
      </c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0.75</v>
      </c>
      <c r="AD22" s="10">
        <f t="shared" si="8"/>
        <v>0.75</v>
      </c>
      <c r="AE22" s="36">
        <f t="shared" si="6"/>
        <v>0.495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0.495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353</v>
      </c>
      <c r="F24" s="12" t="s">
        <v>180</v>
      </c>
      <c r="G24" s="12">
        <v>4</v>
      </c>
      <c r="H24" s="35">
        <v>15</v>
      </c>
      <c r="I24" s="7">
        <v>20000</v>
      </c>
      <c r="J24" s="14">
        <v>14040</v>
      </c>
      <c r="K24" s="15">
        <f>L24</f>
        <v>14040</v>
      </c>
      <c r="L24" s="15">
        <f>3510*4</f>
        <v>14040</v>
      </c>
      <c r="M24" s="15">
        <f t="shared" si="0"/>
        <v>14040</v>
      </c>
      <c r="N24" s="15">
        <v>0</v>
      </c>
      <c r="O24" s="58">
        <f t="shared" si="1"/>
        <v>0</v>
      </c>
      <c r="P24" s="39">
        <f t="shared" si="2"/>
        <v>12</v>
      </c>
      <c r="Q24" s="40">
        <f t="shared" si="3"/>
        <v>12</v>
      </c>
      <c r="R24" s="7"/>
      <c r="S24" s="6">
        <v>12</v>
      </c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0.5</v>
      </c>
      <c r="AD24" s="10">
        <f t="shared" si="8"/>
        <v>0.5</v>
      </c>
      <c r="AE24" s="36">
        <f t="shared" si="6"/>
        <v>0.495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0.495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171</v>
      </c>
      <c r="F26" s="12" t="s">
        <v>173</v>
      </c>
      <c r="G26" s="12">
        <v>32</v>
      </c>
      <c r="H26" s="35">
        <v>20</v>
      </c>
      <c r="I26" s="7">
        <v>2000000</v>
      </c>
      <c r="J26" s="14">
        <v>248192</v>
      </c>
      <c r="K26" s="15">
        <f>L26+75400+283575+206080+155736+326312+378448+329924</f>
        <v>2003667</v>
      </c>
      <c r="L26" s="15">
        <f>6000*28+2864*28</f>
        <v>248192</v>
      </c>
      <c r="M26" s="15">
        <f t="shared" si="0"/>
        <v>248192</v>
      </c>
      <c r="N26" s="15">
        <v>0</v>
      </c>
      <c r="O26" s="58">
        <f t="shared" si="1"/>
        <v>0</v>
      </c>
      <c r="P26" s="39">
        <f t="shared" si="2"/>
        <v>18</v>
      </c>
      <c r="Q26" s="40">
        <f t="shared" si="3"/>
        <v>6</v>
      </c>
      <c r="R26" s="7"/>
      <c r="S26" s="6"/>
      <c r="T26" s="16"/>
      <c r="U26" s="16"/>
      <c r="V26" s="17"/>
      <c r="W26" s="5">
        <v>6</v>
      </c>
      <c r="X26" s="16"/>
      <c r="Y26" s="16"/>
      <c r="Z26" s="16"/>
      <c r="AA26" s="18"/>
      <c r="AB26" s="8">
        <f t="shared" si="4"/>
        <v>1</v>
      </c>
      <c r="AC26" s="9">
        <f t="shared" si="5"/>
        <v>0.75</v>
      </c>
      <c r="AD26" s="10">
        <f t="shared" si="8"/>
        <v>0.75</v>
      </c>
      <c r="AE26" s="36">
        <f t="shared" si="6"/>
        <v>0.495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121</v>
      </c>
      <c r="E27" s="53" t="s">
        <v>253</v>
      </c>
      <c r="F27" s="12" t="s">
        <v>135</v>
      </c>
      <c r="G27" s="12">
        <v>1</v>
      </c>
      <c r="H27" s="35">
        <v>20</v>
      </c>
      <c r="I27" s="7">
        <v>300</v>
      </c>
      <c r="J27" s="14">
        <v>963</v>
      </c>
      <c r="K27" s="15">
        <f>L27+963</f>
        <v>963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0.495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115</v>
      </c>
      <c r="E28" s="53" t="s">
        <v>185</v>
      </c>
      <c r="F28" s="12" t="s">
        <v>124</v>
      </c>
      <c r="G28" s="12">
        <v>4</v>
      </c>
      <c r="H28" s="35">
        <v>20</v>
      </c>
      <c r="I28" s="7">
        <v>4000</v>
      </c>
      <c r="J28" s="14">
        <v>8984</v>
      </c>
      <c r="K28" s="15">
        <f>L28+8984</f>
        <v>8984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0.495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125</v>
      </c>
      <c r="F29" s="12" t="s">
        <v>124</v>
      </c>
      <c r="G29" s="12">
        <v>4</v>
      </c>
      <c r="H29" s="35">
        <v>20</v>
      </c>
      <c r="I29" s="7">
        <v>50000</v>
      </c>
      <c r="J29" s="14">
        <v>26944</v>
      </c>
      <c r="K29" s="15">
        <f>L29+24592+26944+21716</f>
        <v>73252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0.495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0.495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17">SUM(I6:I30)</f>
        <v>5467700</v>
      </c>
      <c r="J31" s="19">
        <f t="shared" si="17"/>
        <v>526436</v>
      </c>
      <c r="K31" s="20">
        <f t="shared" si="17"/>
        <v>3711758</v>
      </c>
      <c r="L31" s="21">
        <f t="shared" si="17"/>
        <v>387480</v>
      </c>
      <c r="M31" s="20">
        <f t="shared" si="17"/>
        <v>387480</v>
      </c>
      <c r="N31" s="21">
        <f t="shared" si="17"/>
        <v>0</v>
      </c>
      <c r="O31" s="41">
        <f t="shared" si="1"/>
        <v>0</v>
      </c>
      <c r="P31" s="42">
        <f t="shared" ref="P31:AA31" si="18">SUM(P6:P30)</f>
        <v>297</v>
      </c>
      <c r="Q31" s="43">
        <f t="shared" si="18"/>
        <v>303</v>
      </c>
      <c r="R31" s="23">
        <f t="shared" si="18"/>
        <v>0</v>
      </c>
      <c r="S31" s="24">
        <f t="shared" si="18"/>
        <v>64</v>
      </c>
      <c r="T31" s="24">
        <f t="shared" si="18"/>
        <v>6</v>
      </c>
      <c r="U31" s="24">
        <f t="shared" si="18"/>
        <v>0</v>
      </c>
      <c r="V31" s="25">
        <f t="shared" si="18"/>
        <v>48</v>
      </c>
      <c r="W31" s="26">
        <f t="shared" si="18"/>
        <v>161</v>
      </c>
      <c r="X31" s="27">
        <f t="shared" si="18"/>
        <v>0</v>
      </c>
      <c r="Y31" s="27">
        <f t="shared" si="18"/>
        <v>0</v>
      </c>
      <c r="Z31" s="27">
        <f t="shared" si="18"/>
        <v>0</v>
      </c>
      <c r="AA31" s="27">
        <f t="shared" si="18"/>
        <v>24</v>
      </c>
      <c r="AB31" s="28">
        <f>AVERAGE(AB6:AB30)</f>
        <v>0.75</v>
      </c>
      <c r="AC31" s="4">
        <f>AVERAGE(AC6:AC30)</f>
        <v>0.495</v>
      </c>
      <c r="AD31" s="4">
        <f>AVERAGE(AD6:AD30)</f>
        <v>0.495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354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359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169" t="s">
        <v>46</v>
      </c>
      <c r="D60" s="169" t="s">
        <v>47</v>
      </c>
      <c r="E60" s="169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169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126</v>
      </c>
      <c r="B61" s="431"/>
      <c r="C61" s="170" t="s">
        <v>139</v>
      </c>
      <c r="D61" s="170" t="s">
        <v>115</v>
      </c>
      <c r="E61" s="171" t="s">
        <v>194</v>
      </c>
      <c r="F61" s="432" t="s">
        <v>355</v>
      </c>
      <c r="G61" s="433"/>
      <c r="H61" s="433"/>
      <c r="I61" s="433"/>
      <c r="J61" s="433"/>
      <c r="K61" s="433"/>
      <c r="L61" s="433"/>
      <c r="M61" s="434"/>
      <c r="N61" s="141" t="s">
        <v>126</v>
      </c>
      <c r="O61" s="176" t="s">
        <v>139</v>
      </c>
      <c r="P61" s="447" t="s">
        <v>115</v>
      </c>
      <c r="Q61" s="448"/>
      <c r="R61" s="447" t="s">
        <v>360</v>
      </c>
      <c r="S61" s="449"/>
      <c r="T61" s="449"/>
      <c r="U61" s="448"/>
      <c r="V61" s="436" t="s">
        <v>141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116</v>
      </c>
      <c r="B62" s="431"/>
      <c r="C62" s="170" t="s">
        <v>142</v>
      </c>
      <c r="D62" s="170" t="s">
        <v>147</v>
      </c>
      <c r="E62" s="171" t="s">
        <v>324</v>
      </c>
      <c r="F62" s="432" t="s">
        <v>356</v>
      </c>
      <c r="G62" s="433"/>
      <c r="H62" s="433"/>
      <c r="I62" s="433"/>
      <c r="J62" s="433"/>
      <c r="K62" s="433"/>
      <c r="L62" s="433"/>
      <c r="M62" s="434"/>
      <c r="N62" s="141" t="s">
        <v>126</v>
      </c>
      <c r="O62" s="176" t="s">
        <v>204</v>
      </c>
      <c r="P62" s="447" t="s">
        <v>322</v>
      </c>
      <c r="Q62" s="448"/>
      <c r="R62" s="447" t="s">
        <v>361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112</v>
      </c>
      <c r="B63" s="431"/>
      <c r="C63" s="170" t="s">
        <v>166</v>
      </c>
      <c r="D63" s="170" t="s">
        <v>121</v>
      </c>
      <c r="E63" s="171" t="s">
        <v>349</v>
      </c>
      <c r="F63" s="432" t="s">
        <v>200</v>
      </c>
      <c r="G63" s="433"/>
      <c r="H63" s="433"/>
      <c r="I63" s="433"/>
      <c r="J63" s="433"/>
      <c r="K63" s="433"/>
      <c r="L63" s="433"/>
      <c r="M63" s="434"/>
      <c r="N63" s="141" t="s">
        <v>112</v>
      </c>
      <c r="O63" s="176" t="s">
        <v>160</v>
      </c>
      <c r="P63" s="447" t="s">
        <v>137</v>
      </c>
      <c r="Q63" s="448"/>
      <c r="R63" s="447" t="s">
        <v>362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151</v>
      </c>
      <c r="B64" s="431"/>
      <c r="C64" s="170" t="s">
        <v>219</v>
      </c>
      <c r="D64" s="170" t="s">
        <v>115</v>
      </c>
      <c r="E64" s="171" t="s">
        <v>236</v>
      </c>
      <c r="F64" s="432" t="s">
        <v>357</v>
      </c>
      <c r="G64" s="433"/>
      <c r="H64" s="433"/>
      <c r="I64" s="433"/>
      <c r="J64" s="433"/>
      <c r="K64" s="433"/>
      <c r="L64" s="433"/>
      <c r="M64" s="434"/>
      <c r="N64" s="141" t="s">
        <v>151</v>
      </c>
      <c r="O64" s="176" t="s">
        <v>146</v>
      </c>
      <c r="P64" s="447" t="s">
        <v>115</v>
      </c>
      <c r="Q64" s="448"/>
      <c r="R64" s="447" t="s">
        <v>363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116</v>
      </c>
      <c r="B65" s="431"/>
      <c r="C65" s="170" t="s">
        <v>208</v>
      </c>
      <c r="D65" s="170" t="s">
        <v>147</v>
      </c>
      <c r="E65" s="171" t="s">
        <v>351</v>
      </c>
      <c r="F65" s="432" t="s">
        <v>154</v>
      </c>
      <c r="G65" s="433"/>
      <c r="H65" s="433"/>
      <c r="I65" s="433"/>
      <c r="J65" s="433"/>
      <c r="K65" s="433"/>
      <c r="L65" s="433"/>
      <c r="M65" s="434"/>
      <c r="N65" s="141" t="s">
        <v>151</v>
      </c>
      <c r="O65" s="176" t="s">
        <v>365</v>
      </c>
      <c r="P65" s="447" t="s">
        <v>115</v>
      </c>
      <c r="Q65" s="448"/>
      <c r="R65" s="447" t="s">
        <v>364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126</v>
      </c>
      <c r="B66" s="431"/>
      <c r="C66" s="170" t="s">
        <v>204</v>
      </c>
      <c r="D66" s="170" t="s">
        <v>322</v>
      </c>
      <c r="E66" s="171" t="s">
        <v>323</v>
      </c>
      <c r="F66" s="432" t="s">
        <v>154</v>
      </c>
      <c r="G66" s="433"/>
      <c r="H66" s="433"/>
      <c r="I66" s="433"/>
      <c r="J66" s="433"/>
      <c r="K66" s="433"/>
      <c r="L66" s="433"/>
      <c r="M66" s="434"/>
      <c r="N66" s="141" t="s">
        <v>367</v>
      </c>
      <c r="O66" s="176" t="s">
        <v>368</v>
      </c>
      <c r="P66" s="447" t="s">
        <v>369</v>
      </c>
      <c r="Q66" s="448"/>
      <c r="R66" s="447" t="s">
        <v>366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113</v>
      </c>
      <c r="B67" s="431"/>
      <c r="C67" s="170" t="s">
        <v>238</v>
      </c>
      <c r="D67" s="170"/>
      <c r="E67" s="171" t="s">
        <v>216</v>
      </c>
      <c r="F67" s="432" t="s">
        <v>154</v>
      </c>
      <c r="G67" s="433"/>
      <c r="H67" s="433"/>
      <c r="I67" s="433"/>
      <c r="J67" s="433"/>
      <c r="K67" s="433"/>
      <c r="L67" s="433"/>
      <c r="M67" s="434"/>
      <c r="N67" s="141" t="s">
        <v>367</v>
      </c>
      <c r="O67" s="176" t="s">
        <v>370</v>
      </c>
      <c r="P67" s="447" t="s">
        <v>115</v>
      </c>
      <c r="Q67" s="448"/>
      <c r="R67" s="447" t="s">
        <v>371</v>
      </c>
      <c r="S67" s="449"/>
      <c r="T67" s="449"/>
      <c r="U67" s="448"/>
      <c r="V67" s="436" t="s">
        <v>154</v>
      </c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319</v>
      </c>
      <c r="B68" s="431"/>
      <c r="C68" s="170" t="s">
        <v>320</v>
      </c>
      <c r="D68" s="170" t="s">
        <v>321</v>
      </c>
      <c r="E68" s="171" t="s">
        <v>317</v>
      </c>
      <c r="F68" s="432" t="s">
        <v>358</v>
      </c>
      <c r="G68" s="433"/>
      <c r="H68" s="433"/>
      <c r="I68" s="433"/>
      <c r="J68" s="433"/>
      <c r="K68" s="433"/>
      <c r="L68" s="433"/>
      <c r="M68" s="434"/>
      <c r="N68" s="141"/>
      <c r="O68" s="176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 t="s">
        <v>112</v>
      </c>
      <c r="B69" s="431"/>
      <c r="C69" s="170" t="s">
        <v>373</v>
      </c>
      <c r="D69" s="170" t="s">
        <v>374</v>
      </c>
      <c r="E69" s="171" t="s">
        <v>353</v>
      </c>
      <c r="F69" s="432" t="s">
        <v>372</v>
      </c>
      <c r="G69" s="433"/>
      <c r="H69" s="433"/>
      <c r="I69" s="433"/>
      <c r="J69" s="433"/>
      <c r="K69" s="433"/>
      <c r="L69" s="433"/>
      <c r="M69" s="434"/>
      <c r="N69" s="141"/>
      <c r="O69" s="176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172"/>
      <c r="D70" s="173"/>
      <c r="E70" s="172"/>
      <c r="F70" s="441"/>
      <c r="G70" s="442"/>
      <c r="H70" s="442"/>
      <c r="I70" s="442"/>
      <c r="J70" s="442"/>
      <c r="K70" s="442"/>
      <c r="L70" s="442"/>
      <c r="M70" s="443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375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174" t="s">
        <v>2</v>
      </c>
      <c r="D72" s="174" t="s">
        <v>37</v>
      </c>
      <c r="E72" s="174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174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112</v>
      </c>
      <c r="D73" s="178"/>
      <c r="E73" s="175" t="s">
        <v>297</v>
      </c>
      <c r="F73" s="416" t="s">
        <v>330</v>
      </c>
      <c r="G73" s="406"/>
      <c r="H73" s="406"/>
      <c r="I73" s="406"/>
      <c r="J73" s="406"/>
      <c r="K73" s="406" t="s">
        <v>180</v>
      </c>
      <c r="L73" s="406"/>
      <c r="M73" s="51" t="s">
        <v>248</v>
      </c>
      <c r="N73" s="417" t="s">
        <v>299</v>
      </c>
      <c r="O73" s="417"/>
      <c r="P73" s="418">
        <v>200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 t="s">
        <v>367</v>
      </c>
      <c r="D74" s="178"/>
      <c r="E74" s="175" t="s">
        <v>381</v>
      </c>
      <c r="F74" s="420" t="s">
        <v>376</v>
      </c>
      <c r="G74" s="421"/>
      <c r="H74" s="421"/>
      <c r="I74" s="421"/>
      <c r="J74" s="422"/>
      <c r="K74" s="406">
        <v>7301</v>
      </c>
      <c r="L74" s="406"/>
      <c r="M74" s="51" t="s">
        <v>248</v>
      </c>
      <c r="N74" s="417" t="s">
        <v>387</v>
      </c>
      <c r="O74" s="417"/>
      <c r="P74" s="418">
        <v>50</v>
      </c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 t="s">
        <v>367</v>
      </c>
      <c r="D75" s="178"/>
      <c r="E75" s="175" t="s">
        <v>382</v>
      </c>
      <c r="F75" s="416" t="s">
        <v>377</v>
      </c>
      <c r="G75" s="406"/>
      <c r="H75" s="406"/>
      <c r="I75" s="406"/>
      <c r="J75" s="406"/>
      <c r="K75" s="406" t="s">
        <v>384</v>
      </c>
      <c r="L75" s="406"/>
      <c r="M75" s="51" t="s">
        <v>248</v>
      </c>
      <c r="N75" s="417" t="s">
        <v>387</v>
      </c>
      <c r="O75" s="417"/>
      <c r="P75" s="418">
        <v>50</v>
      </c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 t="s">
        <v>380</v>
      </c>
      <c r="D76" s="178"/>
      <c r="E76" s="175"/>
      <c r="F76" s="420" t="s">
        <v>378</v>
      </c>
      <c r="G76" s="421"/>
      <c r="H76" s="421"/>
      <c r="I76" s="421"/>
      <c r="J76" s="422"/>
      <c r="K76" s="406" t="s">
        <v>386</v>
      </c>
      <c r="L76" s="406"/>
      <c r="M76" s="51" t="s">
        <v>248</v>
      </c>
      <c r="N76" s="417" t="s">
        <v>365</v>
      </c>
      <c r="O76" s="417"/>
      <c r="P76" s="418">
        <v>50</v>
      </c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 t="s">
        <v>367</v>
      </c>
      <c r="D77" s="178"/>
      <c r="E77" s="175" t="s">
        <v>383</v>
      </c>
      <c r="F77" s="420" t="s">
        <v>379</v>
      </c>
      <c r="G77" s="421"/>
      <c r="H77" s="421"/>
      <c r="I77" s="421"/>
      <c r="J77" s="422"/>
      <c r="K77" s="406" t="s">
        <v>385</v>
      </c>
      <c r="L77" s="406"/>
      <c r="M77" s="51" t="s">
        <v>248</v>
      </c>
      <c r="N77" s="417" t="s">
        <v>365</v>
      </c>
      <c r="O77" s="417"/>
      <c r="P77" s="418">
        <v>100</v>
      </c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178"/>
      <c r="E78" s="175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178"/>
      <c r="E79" s="175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178"/>
      <c r="E80" s="175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178"/>
      <c r="E81" s="175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178"/>
      <c r="E82" s="175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388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177" t="s">
        <v>2</v>
      </c>
      <c r="D84" s="177" t="s">
        <v>37</v>
      </c>
      <c r="E84" s="177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179"/>
      <c r="D85" s="179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178"/>
      <c r="D86" s="178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9">A86+1</f>
        <v>3</v>
      </c>
      <c r="B87" s="374"/>
      <c r="C87" s="178"/>
      <c r="D87" s="178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9"/>
        <v>4</v>
      </c>
      <c r="B88" s="374"/>
      <c r="C88" s="178"/>
      <c r="D88" s="178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5</v>
      </c>
      <c r="B89" s="374"/>
      <c r="C89" s="178"/>
      <c r="D89" s="178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6</v>
      </c>
      <c r="B90" s="374"/>
      <c r="C90" s="178"/>
      <c r="D90" s="178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7</v>
      </c>
      <c r="B91" s="374"/>
      <c r="C91" s="178"/>
      <c r="D91" s="178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389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BC62-D7B2-49F7-A19B-441F66DADC57}">
  <sheetPr codeName="Sheet6">
    <pageSetUpPr fitToPage="1"/>
  </sheetPr>
  <dimension ref="A1:AF97"/>
  <sheetViews>
    <sheetView view="pageBreakPreview" topLeftCell="A46" zoomScale="70" zoomScaleNormal="72" zoomScaleSheetLayoutView="70" workbookViewId="0">
      <selection activeCell="F76" sqref="F76:J7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390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180" t="s">
        <v>17</v>
      </c>
      <c r="L5" s="180" t="s">
        <v>18</v>
      </c>
      <c r="M5" s="180" t="s">
        <v>19</v>
      </c>
      <c r="N5" s="18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115</v>
      </c>
      <c r="E6" s="53" t="s">
        <v>194</v>
      </c>
      <c r="F6" s="30" t="s">
        <v>150</v>
      </c>
      <c r="G6" s="12">
        <v>1</v>
      </c>
      <c r="H6" s="13">
        <v>24</v>
      </c>
      <c r="I6" s="31">
        <v>30000</v>
      </c>
      <c r="J6" s="14">
        <v>9476</v>
      </c>
      <c r="K6" s="15">
        <f>L6+8904+9248+2171+9270+3974</f>
        <v>43043</v>
      </c>
      <c r="L6" s="15">
        <f>2275*2+2463*2</f>
        <v>9476</v>
      </c>
      <c r="M6" s="15">
        <f t="shared" ref="M6:M31" si="0">L6-N6</f>
        <v>9476</v>
      </c>
      <c r="N6" s="15">
        <v>0</v>
      </c>
      <c r="O6" s="58">
        <f t="shared" ref="O6:O32" si="1">IF(L6=0,"0",N6/L6)</f>
        <v>0</v>
      </c>
      <c r="P6" s="39">
        <f t="shared" ref="P6:P31" si="2">IF(L6=0,"0",(24-Q6))</f>
        <v>24</v>
      </c>
      <c r="Q6" s="40">
        <f t="shared" ref="Q6:Q31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31" si="4">IF(J6=0,"0",(L6/J6))</f>
        <v>1</v>
      </c>
      <c r="AC6" s="9">
        <f t="shared" ref="AC6:AC31" si="5">IF(P6=0,"0",(P6/24))</f>
        <v>1</v>
      </c>
      <c r="AD6" s="10">
        <f>AC6*AB6*(1-O6)</f>
        <v>1</v>
      </c>
      <c r="AE6" s="36">
        <f t="shared" ref="AE6:AE31" si="6">$AD$32</f>
        <v>0.45833333333333331</v>
      </c>
      <c r="AF6" s="81">
        <f t="shared" ref="AF6:AF31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137</v>
      </c>
      <c r="E7" s="53" t="s">
        <v>362</v>
      </c>
      <c r="F7" s="30" t="s">
        <v>136</v>
      </c>
      <c r="G7" s="12">
        <v>1</v>
      </c>
      <c r="H7" s="13">
        <v>24</v>
      </c>
      <c r="I7" s="31">
        <v>6000</v>
      </c>
      <c r="J7" s="14">
        <v>5417</v>
      </c>
      <c r="K7" s="15">
        <f>L7</f>
        <v>5417</v>
      </c>
      <c r="L7" s="15">
        <f>2325+3092</f>
        <v>5417</v>
      </c>
      <c r="M7" s="15">
        <f t="shared" si="0"/>
        <v>5417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1" si="8">AC7*AB7*(1-O7)</f>
        <v>1</v>
      </c>
      <c r="AE7" s="36">
        <f t="shared" si="6"/>
        <v>0.45833333333333331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151</v>
      </c>
      <c r="D8" s="52" t="s">
        <v>115</v>
      </c>
      <c r="E8" s="53" t="s">
        <v>363</v>
      </c>
      <c r="F8" s="30" t="s">
        <v>152</v>
      </c>
      <c r="G8" s="12">
        <v>1</v>
      </c>
      <c r="H8" s="13">
        <v>35</v>
      </c>
      <c r="I8" s="31">
        <v>100</v>
      </c>
      <c r="J8" s="5">
        <v>150</v>
      </c>
      <c r="K8" s="15">
        <f>L8</f>
        <v>150</v>
      </c>
      <c r="L8" s="15">
        <v>150</v>
      </c>
      <c r="M8" s="15">
        <f t="shared" si="0"/>
        <v>150</v>
      </c>
      <c r="N8" s="15">
        <v>0</v>
      </c>
      <c r="O8" s="58">
        <f t="shared" si="1"/>
        <v>0</v>
      </c>
      <c r="P8" s="39">
        <f t="shared" si="2"/>
        <v>4</v>
      </c>
      <c r="Q8" s="40">
        <f t="shared" si="3"/>
        <v>20</v>
      </c>
      <c r="R8" s="7"/>
      <c r="S8" s="6"/>
      <c r="T8" s="16"/>
      <c r="U8" s="16"/>
      <c r="V8" s="17"/>
      <c r="W8" s="5">
        <v>20</v>
      </c>
      <c r="X8" s="16"/>
      <c r="Y8" s="16"/>
      <c r="Z8" s="16"/>
      <c r="AA8" s="18"/>
      <c r="AB8" s="8">
        <f t="shared" si="4"/>
        <v>1</v>
      </c>
      <c r="AC8" s="9">
        <f t="shared" si="5"/>
        <v>0.16666666666666666</v>
      </c>
      <c r="AD8" s="10">
        <f t="shared" si="8"/>
        <v>0.16666666666666666</v>
      </c>
      <c r="AE8" s="36">
        <f t="shared" si="6"/>
        <v>0.45833333333333331</v>
      </c>
      <c r="AF8" s="81">
        <f t="shared" si="7"/>
        <v>3</v>
      </c>
    </row>
    <row r="9" spans="1:32" ht="27" customHeight="1">
      <c r="A9" s="92">
        <v>3</v>
      </c>
      <c r="B9" s="11" t="s">
        <v>57</v>
      </c>
      <c r="C9" s="34" t="s">
        <v>151</v>
      </c>
      <c r="D9" s="52" t="s">
        <v>115</v>
      </c>
      <c r="E9" s="53" t="s">
        <v>391</v>
      </c>
      <c r="F9" s="30" t="s">
        <v>152</v>
      </c>
      <c r="G9" s="12">
        <v>1</v>
      </c>
      <c r="H9" s="13">
        <v>35</v>
      </c>
      <c r="I9" s="31">
        <v>100</v>
      </c>
      <c r="J9" s="5">
        <v>150</v>
      </c>
      <c r="K9" s="15">
        <f>L9</f>
        <v>150</v>
      </c>
      <c r="L9" s="15">
        <v>150</v>
      </c>
      <c r="M9" s="15">
        <f t="shared" ref="M9:M10" si="9">L9-N9</f>
        <v>150</v>
      </c>
      <c r="N9" s="15">
        <v>0</v>
      </c>
      <c r="O9" s="58">
        <f t="shared" ref="O9:O10" si="10">IF(L9=0,"0",N9/L9)</f>
        <v>0</v>
      </c>
      <c r="P9" s="39">
        <f t="shared" ref="P9:P10" si="11">IF(L9=0,"0",(24-Q9))</f>
        <v>4</v>
      </c>
      <c r="Q9" s="40">
        <f t="shared" ref="Q9:Q10" si="12">SUM(R9:AA9)</f>
        <v>20</v>
      </c>
      <c r="R9" s="7"/>
      <c r="S9" s="6"/>
      <c r="T9" s="16"/>
      <c r="U9" s="16"/>
      <c r="V9" s="17"/>
      <c r="W9" s="5">
        <v>20</v>
      </c>
      <c r="X9" s="16"/>
      <c r="Y9" s="16"/>
      <c r="Z9" s="16"/>
      <c r="AA9" s="18"/>
      <c r="AB9" s="8">
        <f t="shared" ref="AB9:AB10" si="13">IF(J9=0,"0",(L9/J9))</f>
        <v>1</v>
      </c>
      <c r="AC9" s="9">
        <f t="shared" ref="AC9:AC10" si="14">IF(P9=0,"0",(P9/24))</f>
        <v>0.16666666666666666</v>
      </c>
      <c r="AD9" s="10">
        <f t="shared" ref="AD9:AD10" si="15">AC9*AB9*(1-O9)</f>
        <v>0.16666666666666666</v>
      </c>
      <c r="AE9" s="36">
        <f t="shared" si="6"/>
        <v>0.45833333333333331</v>
      </c>
      <c r="AF9" s="81">
        <f t="shared" ref="AF9:AF10" si="16">A9</f>
        <v>3</v>
      </c>
    </row>
    <row r="10" spans="1:32" ht="27" customHeight="1">
      <c r="A10" s="92">
        <v>3</v>
      </c>
      <c r="B10" s="11" t="s">
        <v>57</v>
      </c>
      <c r="C10" s="34" t="s">
        <v>112</v>
      </c>
      <c r="D10" s="52" t="s">
        <v>115</v>
      </c>
      <c r="E10" s="53" t="s">
        <v>392</v>
      </c>
      <c r="F10" s="30" t="s">
        <v>152</v>
      </c>
      <c r="G10" s="12">
        <v>1</v>
      </c>
      <c r="H10" s="13">
        <v>35</v>
      </c>
      <c r="I10" s="31">
        <v>3000</v>
      </c>
      <c r="J10" s="5">
        <v>587</v>
      </c>
      <c r="K10" s="15">
        <f>L10</f>
        <v>587</v>
      </c>
      <c r="L10" s="15">
        <f>227+360</f>
        <v>587</v>
      </c>
      <c r="M10" s="15">
        <f t="shared" si="9"/>
        <v>587</v>
      </c>
      <c r="N10" s="15">
        <v>0</v>
      </c>
      <c r="O10" s="58">
        <f t="shared" si="10"/>
        <v>0</v>
      </c>
      <c r="P10" s="39">
        <f t="shared" si="11"/>
        <v>7</v>
      </c>
      <c r="Q10" s="40">
        <f t="shared" si="12"/>
        <v>17</v>
      </c>
      <c r="R10" s="7"/>
      <c r="S10" s="6">
        <v>8</v>
      </c>
      <c r="T10" s="16">
        <v>9</v>
      </c>
      <c r="U10" s="16"/>
      <c r="V10" s="17"/>
      <c r="W10" s="5"/>
      <c r="X10" s="16"/>
      <c r="Y10" s="16"/>
      <c r="Z10" s="16"/>
      <c r="AA10" s="18"/>
      <c r="AB10" s="8">
        <f t="shared" si="13"/>
        <v>1</v>
      </c>
      <c r="AC10" s="9">
        <f t="shared" si="14"/>
        <v>0.29166666666666669</v>
      </c>
      <c r="AD10" s="10">
        <f t="shared" si="15"/>
        <v>0.29166666666666669</v>
      </c>
      <c r="AE10" s="36">
        <f t="shared" si="6"/>
        <v>0.45833333333333331</v>
      </c>
      <c r="AF10" s="81">
        <f t="shared" si="16"/>
        <v>3</v>
      </c>
    </row>
    <row r="11" spans="1:32" ht="27" customHeight="1">
      <c r="A11" s="92">
        <v>4</v>
      </c>
      <c r="B11" s="11" t="s">
        <v>57</v>
      </c>
      <c r="C11" s="34" t="s">
        <v>116</v>
      </c>
      <c r="D11" s="52" t="s">
        <v>147</v>
      </c>
      <c r="E11" s="53" t="s">
        <v>324</v>
      </c>
      <c r="F11" s="30" t="s">
        <v>348</v>
      </c>
      <c r="G11" s="12">
        <v>1</v>
      </c>
      <c r="H11" s="13">
        <v>24</v>
      </c>
      <c r="I11" s="7">
        <v>260000</v>
      </c>
      <c r="J11" s="14">
        <v>5331</v>
      </c>
      <c r="K11" s="15">
        <f>L11+4269</f>
        <v>9600</v>
      </c>
      <c r="L11" s="15">
        <f>2506+2825</f>
        <v>5331</v>
      </c>
      <c r="M11" s="15">
        <f t="shared" si="0"/>
        <v>5331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8"/>
        <v>1</v>
      </c>
      <c r="AE11" s="36">
        <f t="shared" si="6"/>
        <v>0.45833333333333331</v>
      </c>
      <c r="AF11" s="81">
        <f t="shared" si="7"/>
        <v>4</v>
      </c>
    </row>
    <row r="12" spans="1:32" ht="27" customHeight="1">
      <c r="A12" s="92">
        <v>5</v>
      </c>
      <c r="B12" s="11" t="s">
        <v>57</v>
      </c>
      <c r="C12" s="11" t="s">
        <v>112</v>
      </c>
      <c r="D12" s="52" t="s">
        <v>121</v>
      </c>
      <c r="E12" s="53" t="s">
        <v>145</v>
      </c>
      <c r="F12" s="30" t="s">
        <v>123</v>
      </c>
      <c r="G12" s="33">
        <v>1</v>
      </c>
      <c r="H12" s="35">
        <v>24</v>
      </c>
      <c r="I12" s="7">
        <v>115000</v>
      </c>
      <c r="J12" s="14">
        <v>4818</v>
      </c>
      <c r="K12" s="15">
        <f>L12+5338+5669+5744+4980+3619+1932+309+2790+5660+4715+1739+3127+5884+1203+3638+5732+5658+5217+2430+1897+5596+5715+3707+799+2709+2266+5086+3381+4392+5682+5705+5451+2998+2865+4585+5706+4871+3392+5482+5779+5358+4818</f>
        <v>173624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si="8"/>
        <v>0</v>
      </c>
      <c r="AE12" s="36">
        <f t="shared" si="6"/>
        <v>0.45833333333333331</v>
      </c>
      <c r="AF12" s="81">
        <f t="shared" si="7"/>
        <v>5</v>
      </c>
    </row>
    <row r="13" spans="1:32" ht="27" customHeight="1">
      <c r="A13" s="92">
        <v>6</v>
      </c>
      <c r="B13" s="11" t="s">
        <v>57</v>
      </c>
      <c r="C13" s="11" t="s">
        <v>112</v>
      </c>
      <c r="D13" s="52" t="s">
        <v>121</v>
      </c>
      <c r="E13" s="53" t="s">
        <v>349</v>
      </c>
      <c r="F13" s="30" t="s">
        <v>165</v>
      </c>
      <c r="G13" s="33">
        <v>2</v>
      </c>
      <c r="H13" s="35">
        <v>24</v>
      </c>
      <c r="I13" s="7">
        <v>20000</v>
      </c>
      <c r="J13" s="14">
        <v>9906</v>
      </c>
      <c r="K13" s="15">
        <f>L13+11308</f>
        <v>21214</v>
      </c>
      <c r="L13" s="15">
        <f>2534*2+2419*2</f>
        <v>9906</v>
      </c>
      <c r="M13" s="15">
        <f t="shared" si="0"/>
        <v>9906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0.45833333333333331</v>
      </c>
      <c r="AF13" s="81">
        <f t="shared" si="7"/>
        <v>6</v>
      </c>
    </row>
    <row r="14" spans="1:32" ht="27" customHeight="1">
      <c r="A14" s="92">
        <v>7</v>
      </c>
      <c r="B14" s="11" t="s">
        <v>57</v>
      </c>
      <c r="C14" s="34" t="s">
        <v>116</v>
      </c>
      <c r="D14" s="52" t="s">
        <v>115</v>
      </c>
      <c r="E14" s="53" t="s">
        <v>163</v>
      </c>
      <c r="F14" s="30" t="s">
        <v>159</v>
      </c>
      <c r="G14" s="12">
        <v>1</v>
      </c>
      <c r="H14" s="13">
        <v>22</v>
      </c>
      <c r="I14" s="31">
        <v>40000</v>
      </c>
      <c r="J14" s="5">
        <v>4296</v>
      </c>
      <c r="K14" s="15">
        <f>L14+2299+960+4314+5153+4996+5031+573+5044+5157+4963</f>
        <v>42786</v>
      </c>
      <c r="L14" s="15">
        <f>2619+1677</f>
        <v>4296</v>
      </c>
      <c r="M14" s="15">
        <f t="shared" si="0"/>
        <v>4296</v>
      </c>
      <c r="N14" s="15">
        <v>0</v>
      </c>
      <c r="O14" s="58">
        <f t="shared" si="1"/>
        <v>0</v>
      </c>
      <c r="P14" s="39">
        <f t="shared" si="2"/>
        <v>21</v>
      </c>
      <c r="Q14" s="40">
        <f t="shared" si="3"/>
        <v>3</v>
      </c>
      <c r="R14" s="7">
        <v>3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0.875</v>
      </c>
      <c r="AD14" s="10">
        <f t="shared" si="8"/>
        <v>0.875</v>
      </c>
      <c r="AE14" s="36">
        <f t="shared" si="6"/>
        <v>0.45833333333333331</v>
      </c>
      <c r="AF14" s="81">
        <f t="shared" si="7"/>
        <v>7</v>
      </c>
    </row>
    <row r="15" spans="1:32" ht="27" customHeight="1">
      <c r="A15" s="92">
        <v>8</v>
      </c>
      <c r="B15" s="11" t="s">
        <v>57</v>
      </c>
      <c r="C15" s="11" t="s">
        <v>112</v>
      </c>
      <c r="D15" s="52" t="s">
        <v>147</v>
      </c>
      <c r="E15" s="53" t="s">
        <v>272</v>
      </c>
      <c r="F15" s="30" t="s">
        <v>148</v>
      </c>
      <c r="G15" s="33">
        <v>1</v>
      </c>
      <c r="H15" s="35">
        <v>22</v>
      </c>
      <c r="I15" s="7">
        <v>15000</v>
      </c>
      <c r="J15" s="14">
        <v>5559</v>
      </c>
      <c r="K15" s="15">
        <f>L15+4941+5660</f>
        <v>16160</v>
      </c>
      <c r="L15" s="15">
        <f>2996+2563</f>
        <v>5559</v>
      </c>
      <c r="M15" s="15">
        <f t="shared" si="0"/>
        <v>5559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0.45833333333333331</v>
      </c>
      <c r="AF15" s="81">
        <f t="shared" si="7"/>
        <v>8</v>
      </c>
    </row>
    <row r="16" spans="1:32" ht="27" customHeight="1">
      <c r="A16" s="99">
        <v>9</v>
      </c>
      <c r="B16" s="11" t="s">
        <v>57</v>
      </c>
      <c r="C16" s="34" t="s">
        <v>151</v>
      </c>
      <c r="D16" s="52" t="s">
        <v>115</v>
      </c>
      <c r="E16" s="53" t="s">
        <v>236</v>
      </c>
      <c r="F16" s="30" t="s">
        <v>148</v>
      </c>
      <c r="G16" s="33">
        <v>1</v>
      </c>
      <c r="H16" s="35">
        <v>50</v>
      </c>
      <c r="I16" s="7">
        <v>900</v>
      </c>
      <c r="J16" s="5">
        <v>398</v>
      </c>
      <c r="K16" s="15">
        <f>L16+529+223+398</f>
        <v>1150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0.45833333333333331</v>
      </c>
      <c r="AF16" s="81">
        <f t="shared" si="7"/>
        <v>9</v>
      </c>
    </row>
    <row r="17" spans="1:32" ht="27" customHeight="1">
      <c r="A17" s="106">
        <v>10</v>
      </c>
      <c r="B17" s="11" t="s">
        <v>57</v>
      </c>
      <c r="C17" s="34" t="s">
        <v>151</v>
      </c>
      <c r="D17" s="52" t="s">
        <v>115</v>
      </c>
      <c r="E17" s="53" t="s">
        <v>158</v>
      </c>
      <c r="F17" s="30" t="s">
        <v>136</v>
      </c>
      <c r="G17" s="12">
        <v>1</v>
      </c>
      <c r="H17" s="13">
        <v>24</v>
      </c>
      <c r="I17" s="31">
        <v>100</v>
      </c>
      <c r="J17" s="14">
        <v>138</v>
      </c>
      <c r="K17" s="15">
        <f>L17</f>
        <v>138</v>
      </c>
      <c r="L17" s="15">
        <f>71+67</f>
        <v>138</v>
      </c>
      <c r="M17" s="15">
        <f t="shared" si="0"/>
        <v>138</v>
      </c>
      <c r="N17" s="15">
        <v>0</v>
      </c>
      <c r="O17" s="58">
        <f t="shared" si="1"/>
        <v>0</v>
      </c>
      <c r="P17" s="39">
        <f t="shared" si="2"/>
        <v>4</v>
      </c>
      <c r="Q17" s="40">
        <f t="shared" si="3"/>
        <v>20</v>
      </c>
      <c r="R17" s="7"/>
      <c r="S17" s="6">
        <v>20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0.16666666666666666</v>
      </c>
      <c r="AD17" s="10">
        <f t="shared" si="8"/>
        <v>0.16666666666666666</v>
      </c>
      <c r="AE17" s="36">
        <f t="shared" si="6"/>
        <v>0.45833333333333331</v>
      </c>
      <c r="AF17" s="81">
        <f t="shared" si="7"/>
        <v>10</v>
      </c>
    </row>
    <row r="18" spans="1:32" ht="27" customHeight="1">
      <c r="A18" s="92">
        <v>11</v>
      </c>
      <c r="B18" s="11" t="s">
        <v>57</v>
      </c>
      <c r="C18" s="34" t="s">
        <v>116</v>
      </c>
      <c r="D18" s="52" t="s">
        <v>197</v>
      </c>
      <c r="E18" s="53" t="s">
        <v>366</v>
      </c>
      <c r="F18" s="30" t="s">
        <v>123</v>
      </c>
      <c r="G18" s="12">
        <v>2</v>
      </c>
      <c r="H18" s="13">
        <v>22</v>
      </c>
      <c r="I18" s="31">
        <v>260000</v>
      </c>
      <c r="J18" s="5">
        <v>9350</v>
      </c>
      <c r="K18" s="15">
        <f>L18</f>
        <v>9350</v>
      </c>
      <c r="L18" s="15">
        <f>1849*2+2826*2</f>
        <v>9350</v>
      </c>
      <c r="M18" s="15">
        <f t="shared" si="0"/>
        <v>9350</v>
      </c>
      <c r="N18" s="15">
        <v>0</v>
      </c>
      <c r="O18" s="58">
        <f t="shared" si="1"/>
        <v>0</v>
      </c>
      <c r="P18" s="39">
        <f t="shared" si="2"/>
        <v>21</v>
      </c>
      <c r="Q18" s="40">
        <f t="shared" si="3"/>
        <v>3</v>
      </c>
      <c r="R18" s="7"/>
      <c r="S18" s="6">
        <v>3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0.875</v>
      </c>
      <c r="AD18" s="10">
        <f t="shared" si="8"/>
        <v>0.875</v>
      </c>
      <c r="AE18" s="36">
        <f t="shared" si="6"/>
        <v>0.45833333333333331</v>
      </c>
      <c r="AF18" s="81">
        <f t="shared" si="7"/>
        <v>11</v>
      </c>
    </row>
    <row r="19" spans="1:32" ht="27" customHeight="1">
      <c r="A19" s="106">
        <v>12</v>
      </c>
      <c r="B19" s="11" t="s">
        <v>57</v>
      </c>
      <c r="C19" s="34" t="s">
        <v>126</v>
      </c>
      <c r="D19" s="52" t="s">
        <v>322</v>
      </c>
      <c r="E19" s="53" t="s">
        <v>361</v>
      </c>
      <c r="F19" s="30" t="s">
        <v>298</v>
      </c>
      <c r="G19" s="12">
        <v>1</v>
      </c>
      <c r="H19" s="13">
        <v>24</v>
      </c>
      <c r="I19" s="7">
        <v>3000</v>
      </c>
      <c r="J19" s="14">
        <v>3665</v>
      </c>
      <c r="K19" s="15">
        <f>L19</f>
        <v>3665</v>
      </c>
      <c r="L19" s="15">
        <f>2479+1186</f>
        <v>3665</v>
      </c>
      <c r="M19" s="15">
        <f t="shared" si="0"/>
        <v>3665</v>
      </c>
      <c r="N19" s="15">
        <v>0</v>
      </c>
      <c r="O19" s="58">
        <f t="shared" si="1"/>
        <v>0</v>
      </c>
      <c r="P19" s="39">
        <f t="shared" si="2"/>
        <v>20</v>
      </c>
      <c r="Q19" s="40">
        <f t="shared" si="3"/>
        <v>4</v>
      </c>
      <c r="R19" s="7"/>
      <c r="S19" s="6"/>
      <c r="T19" s="16"/>
      <c r="U19" s="16"/>
      <c r="V19" s="17"/>
      <c r="W19" s="5">
        <v>4</v>
      </c>
      <c r="X19" s="16"/>
      <c r="Y19" s="16"/>
      <c r="Z19" s="16"/>
      <c r="AA19" s="18"/>
      <c r="AB19" s="8">
        <f t="shared" si="4"/>
        <v>1</v>
      </c>
      <c r="AC19" s="9">
        <f t="shared" si="5"/>
        <v>0.83333333333333337</v>
      </c>
      <c r="AD19" s="10">
        <f t="shared" si="8"/>
        <v>0.83333333333333337</v>
      </c>
      <c r="AE19" s="36">
        <f t="shared" si="6"/>
        <v>0.45833333333333331</v>
      </c>
      <c r="AF19" s="81">
        <f t="shared" si="7"/>
        <v>12</v>
      </c>
    </row>
    <row r="20" spans="1:32" ht="27" customHeight="1">
      <c r="A20" s="92">
        <v>13</v>
      </c>
      <c r="B20" s="11" t="s">
        <v>57</v>
      </c>
      <c r="C20" s="34" t="s">
        <v>116</v>
      </c>
      <c r="D20" s="52" t="s">
        <v>115</v>
      </c>
      <c r="E20" s="53" t="s">
        <v>371</v>
      </c>
      <c r="F20" s="30" t="s">
        <v>135</v>
      </c>
      <c r="G20" s="12">
        <v>2</v>
      </c>
      <c r="H20" s="13">
        <v>22</v>
      </c>
      <c r="I20" s="31">
        <v>260000</v>
      </c>
      <c r="J20" s="5">
        <v>10480</v>
      </c>
      <c r="K20" s="15">
        <f>L20</f>
        <v>10480</v>
      </c>
      <c r="L20" s="15">
        <f>2365*2+2875*2</f>
        <v>10480</v>
      </c>
      <c r="M20" s="15">
        <f t="shared" si="0"/>
        <v>10480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0.45833333333333331</v>
      </c>
      <c r="AF20" s="81">
        <f t="shared" si="7"/>
        <v>13</v>
      </c>
    </row>
    <row r="21" spans="1:32" ht="27" customHeight="1">
      <c r="A21" s="92">
        <v>14</v>
      </c>
      <c r="B21" s="11" t="s">
        <v>57</v>
      </c>
      <c r="C21" s="11" t="s">
        <v>116</v>
      </c>
      <c r="D21" s="52" t="s">
        <v>115</v>
      </c>
      <c r="E21" s="53">
        <v>3126002</v>
      </c>
      <c r="F21" s="30" t="s">
        <v>148</v>
      </c>
      <c r="G21" s="33">
        <v>1</v>
      </c>
      <c r="H21" s="35">
        <v>24</v>
      </c>
      <c r="I21" s="7">
        <v>300</v>
      </c>
      <c r="J21" s="14">
        <v>360</v>
      </c>
      <c r="K21" s="15">
        <f>L21</f>
        <v>360</v>
      </c>
      <c r="L21" s="15">
        <v>360</v>
      </c>
      <c r="M21" s="15">
        <f t="shared" si="0"/>
        <v>360</v>
      </c>
      <c r="N21" s="15">
        <v>0</v>
      </c>
      <c r="O21" s="58">
        <f t="shared" si="1"/>
        <v>0</v>
      </c>
      <c r="P21" s="39">
        <f t="shared" si="2"/>
        <v>7</v>
      </c>
      <c r="Q21" s="40">
        <f t="shared" si="3"/>
        <v>17</v>
      </c>
      <c r="R21" s="7">
        <v>5</v>
      </c>
      <c r="S21" s="6"/>
      <c r="T21" s="16"/>
      <c r="U21" s="16"/>
      <c r="V21" s="17"/>
      <c r="W21" s="5">
        <v>12</v>
      </c>
      <c r="X21" s="16"/>
      <c r="Y21" s="16"/>
      <c r="Z21" s="16"/>
      <c r="AA21" s="18"/>
      <c r="AB21" s="8">
        <f t="shared" si="4"/>
        <v>1</v>
      </c>
      <c r="AC21" s="9">
        <f t="shared" si="5"/>
        <v>0.29166666666666669</v>
      </c>
      <c r="AD21" s="10">
        <f t="shared" si="8"/>
        <v>0.29166666666666669</v>
      </c>
      <c r="AE21" s="36">
        <f t="shared" si="6"/>
        <v>0.45833333333333331</v>
      </c>
      <c r="AF21" s="81">
        <f t="shared" si="7"/>
        <v>14</v>
      </c>
    </row>
    <row r="22" spans="1:32" ht="27" customHeight="1">
      <c r="A22" s="106">
        <v>15</v>
      </c>
      <c r="B22" s="11" t="s">
        <v>57</v>
      </c>
      <c r="C22" s="11" t="s">
        <v>112</v>
      </c>
      <c r="D22" s="52" t="s">
        <v>115</v>
      </c>
      <c r="E22" s="53" t="s">
        <v>140</v>
      </c>
      <c r="F22" s="30" t="s">
        <v>135</v>
      </c>
      <c r="G22" s="33">
        <v>1</v>
      </c>
      <c r="H22" s="35">
        <v>24</v>
      </c>
      <c r="I22" s="7">
        <v>70000</v>
      </c>
      <c r="J22" s="14">
        <v>10230</v>
      </c>
      <c r="K22" s="15">
        <f>L22+3150+7466+4534+7764+11032+11156+11220+10030+4886+5156+5465+5493+1986+8040+10452+11066+10928+10356</f>
        <v>150410</v>
      </c>
      <c r="L22" s="15">
        <f>2761*2+2354*2</f>
        <v>10230</v>
      </c>
      <c r="M22" s="15">
        <f t="shared" si="0"/>
        <v>10230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0.45833333333333331</v>
      </c>
      <c r="AF22" s="81">
        <f t="shared" si="7"/>
        <v>15</v>
      </c>
    </row>
    <row r="23" spans="1:32" ht="26.25" customHeight="1">
      <c r="A23" s="92">
        <v>16</v>
      </c>
      <c r="B23" s="11" t="s">
        <v>57</v>
      </c>
      <c r="C23" s="11" t="s">
        <v>113</v>
      </c>
      <c r="D23" s="52"/>
      <c r="E23" s="53" t="s">
        <v>352</v>
      </c>
      <c r="F23" s="12" t="s">
        <v>114</v>
      </c>
      <c r="G23" s="12">
        <v>4</v>
      </c>
      <c r="H23" s="35">
        <v>20</v>
      </c>
      <c r="I23" s="7">
        <v>1000000</v>
      </c>
      <c r="J23" s="14">
        <v>57712</v>
      </c>
      <c r="K23" s="15">
        <f>L23+43956</f>
        <v>101668</v>
      </c>
      <c r="L23" s="15">
        <f>8101*4+6327*4</f>
        <v>57712</v>
      </c>
      <c r="M23" s="15">
        <f t="shared" si="0"/>
        <v>57712</v>
      </c>
      <c r="N23" s="15">
        <v>0</v>
      </c>
      <c r="O23" s="58">
        <f t="shared" si="1"/>
        <v>0</v>
      </c>
      <c r="P23" s="39">
        <f t="shared" si="2"/>
        <v>22</v>
      </c>
      <c r="Q23" s="40">
        <f t="shared" si="3"/>
        <v>2</v>
      </c>
      <c r="R23" s="7"/>
      <c r="S23" s="6"/>
      <c r="T23" s="16"/>
      <c r="U23" s="16"/>
      <c r="V23" s="17">
        <v>2</v>
      </c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0.91666666666666663</v>
      </c>
      <c r="AD23" s="10">
        <f t="shared" si="8"/>
        <v>0.91666666666666663</v>
      </c>
      <c r="AE23" s="36">
        <f t="shared" si="6"/>
        <v>0.45833333333333331</v>
      </c>
      <c r="AF23" s="81">
        <f t="shared" si="7"/>
        <v>16</v>
      </c>
    </row>
    <row r="24" spans="1:32" ht="26.25" customHeight="1">
      <c r="A24" s="115">
        <v>17</v>
      </c>
      <c r="B24" s="11" t="s">
        <v>57</v>
      </c>
      <c r="C24" s="11"/>
      <c r="D24" s="52"/>
      <c r="E24" s="53"/>
      <c r="F24" s="12"/>
      <c r="G24" s="12"/>
      <c r="H24" s="35"/>
      <c r="I24" s="7">
        <v>0</v>
      </c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0.45833333333333331</v>
      </c>
      <c r="AF24" s="81">
        <f t="shared" si="7"/>
        <v>17</v>
      </c>
    </row>
    <row r="25" spans="1:32" ht="26.25" customHeight="1">
      <c r="A25" s="115">
        <v>18</v>
      </c>
      <c r="B25" s="11" t="s">
        <v>57</v>
      </c>
      <c r="C25" s="11" t="s">
        <v>116</v>
      </c>
      <c r="D25" s="52" t="s">
        <v>178</v>
      </c>
      <c r="E25" s="53" t="s">
        <v>353</v>
      </c>
      <c r="F25" s="12" t="s">
        <v>180</v>
      </c>
      <c r="G25" s="12">
        <v>4</v>
      </c>
      <c r="H25" s="35">
        <v>15</v>
      </c>
      <c r="I25" s="7">
        <v>20000</v>
      </c>
      <c r="J25" s="14">
        <v>7084</v>
      </c>
      <c r="K25" s="15">
        <f>L25+14040</f>
        <v>21124</v>
      </c>
      <c r="L25" s="15">
        <f>1771*4</f>
        <v>7084</v>
      </c>
      <c r="M25" s="15">
        <f t="shared" si="0"/>
        <v>7084</v>
      </c>
      <c r="N25" s="15">
        <v>0</v>
      </c>
      <c r="O25" s="58">
        <f t="shared" si="1"/>
        <v>0</v>
      </c>
      <c r="P25" s="39">
        <f t="shared" si="2"/>
        <v>8</v>
      </c>
      <c r="Q25" s="40">
        <f t="shared" si="3"/>
        <v>16</v>
      </c>
      <c r="R25" s="7"/>
      <c r="S25" s="6">
        <v>16</v>
      </c>
      <c r="T25" s="16"/>
      <c r="U25" s="16"/>
      <c r="V25" s="17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0.33333333333333331</v>
      </c>
      <c r="AD25" s="10">
        <f t="shared" si="8"/>
        <v>0.33333333333333331</v>
      </c>
      <c r="AE25" s="36">
        <f t="shared" si="6"/>
        <v>0.45833333333333331</v>
      </c>
      <c r="AF25" s="81">
        <f t="shared" si="7"/>
        <v>18</v>
      </c>
    </row>
    <row r="26" spans="1:32" ht="21.75" customHeight="1">
      <c r="A26" s="92">
        <v>31</v>
      </c>
      <c r="B26" s="11" t="s">
        <v>57</v>
      </c>
      <c r="C26" s="11" t="s">
        <v>116</v>
      </c>
      <c r="D26" s="52" t="s">
        <v>115</v>
      </c>
      <c r="E26" s="53" t="s">
        <v>143</v>
      </c>
      <c r="F26" s="12" t="s">
        <v>135</v>
      </c>
      <c r="G26" s="12">
        <v>4</v>
      </c>
      <c r="H26" s="35">
        <v>20</v>
      </c>
      <c r="I26" s="7">
        <v>70000</v>
      </c>
      <c r="J26" s="14">
        <v>22300</v>
      </c>
      <c r="K26" s="15">
        <f>L26+22300</f>
        <v>22300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>
        <v>24</v>
      </c>
      <c r="W26" s="5"/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0.45833333333333331</v>
      </c>
      <c r="AF26" s="81">
        <f t="shared" si="7"/>
        <v>31</v>
      </c>
    </row>
    <row r="27" spans="1:32" ht="21.75" customHeight="1">
      <c r="A27" s="92">
        <v>32</v>
      </c>
      <c r="B27" s="11" t="s">
        <v>57</v>
      </c>
      <c r="C27" s="11" t="s">
        <v>172</v>
      </c>
      <c r="D27" s="52"/>
      <c r="E27" s="53" t="s">
        <v>171</v>
      </c>
      <c r="F27" s="12" t="s">
        <v>173</v>
      </c>
      <c r="G27" s="12">
        <v>32</v>
      </c>
      <c r="H27" s="35">
        <v>20</v>
      </c>
      <c r="I27" s="7">
        <v>2000000</v>
      </c>
      <c r="J27" s="14">
        <v>248192</v>
      </c>
      <c r="K27" s="15">
        <f>L27+75400+283575+206080+155736+326312+378448+329924+248192</f>
        <v>2003667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7"/>
      <c r="W27" s="5"/>
      <c r="X27" s="16"/>
      <c r="Y27" s="16"/>
      <c r="Z27" s="16"/>
      <c r="AA27" s="18">
        <v>24</v>
      </c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0.45833333333333331</v>
      </c>
      <c r="AF27" s="81">
        <f t="shared" si="7"/>
        <v>32</v>
      </c>
    </row>
    <row r="28" spans="1:32" ht="21.75" customHeight="1">
      <c r="A28" s="92">
        <v>33</v>
      </c>
      <c r="B28" s="11" t="s">
        <v>57</v>
      </c>
      <c r="C28" s="11" t="s">
        <v>116</v>
      </c>
      <c r="D28" s="52" t="s">
        <v>121</v>
      </c>
      <c r="E28" s="53" t="s">
        <v>253</v>
      </c>
      <c r="F28" s="12" t="s">
        <v>135</v>
      </c>
      <c r="G28" s="12">
        <v>1</v>
      </c>
      <c r="H28" s="35">
        <v>20</v>
      </c>
      <c r="I28" s="7">
        <v>300</v>
      </c>
      <c r="J28" s="14">
        <v>963</v>
      </c>
      <c r="K28" s="15">
        <f>L28+963</f>
        <v>963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0.45833333333333331</v>
      </c>
      <c r="AF28" s="81">
        <f t="shared" si="7"/>
        <v>33</v>
      </c>
    </row>
    <row r="29" spans="1:32" ht="21.75" customHeight="1">
      <c r="A29" s="92">
        <v>34</v>
      </c>
      <c r="B29" s="11" t="s">
        <v>57</v>
      </c>
      <c r="C29" s="11" t="s">
        <v>116</v>
      </c>
      <c r="D29" s="52" t="s">
        <v>115</v>
      </c>
      <c r="E29" s="53" t="s">
        <v>185</v>
      </c>
      <c r="F29" s="12" t="s">
        <v>124</v>
      </c>
      <c r="G29" s="12">
        <v>4</v>
      </c>
      <c r="H29" s="35">
        <v>20</v>
      </c>
      <c r="I29" s="7">
        <v>4000</v>
      </c>
      <c r="J29" s="14">
        <v>8984</v>
      </c>
      <c r="K29" s="15">
        <f>L29+8984</f>
        <v>8984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0.45833333333333331</v>
      </c>
      <c r="AF29" s="81">
        <f t="shared" si="7"/>
        <v>34</v>
      </c>
    </row>
    <row r="30" spans="1:32" ht="21.75" customHeight="1">
      <c r="A30" s="92">
        <v>35</v>
      </c>
      <c r="B30" s="11" t="s">
        <v>57</v>
      </c>
      <c r="C30" s="11" t="s">
        <v>116</v>
      </c>
      <c r="D30" s="52" t="s">
        <v>121</v>
      </c>
      <c r="E30" s="53" t="s">
        <v>125</v>
      </c>
      <c r="F30" s="12" t="s">
        <v>124</v>
      </c>
      <c r="G30" s="12">
        <v>4</v>
      </c>
      <c r="H30" s="35">
        <v>20</v>
      </c>
      <c r="I30" s="7">
        <v>50000</v>
      </c>
      <c r="J30" s="14">
        <v>26944</v>
      </c>
      <c r="K30" s="15">
        <f>L30+24592+26944+21716</f>
        <v>73252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/>
      <c r="W30" s="5">
        <v>24</v>
      </c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0.45833333333333331</v>
      </c>
      <c r="AF30" s="81">
        <f t="shared" si="7"/>
        <v>35</v>
      </c>
    </row>
    <row r="31" spans="1:32" ht="21.75" customHeight="1" thickBot="1">
      <c r="A31" s="92">
        <v>36</v>
      </c>
      <c r="B31" s="11" t="s">
        <v>57</v>
      </c>
      <c r="C31" s="11" t="s">
        <v>113</v>
      </c>
      <c r="D31" s="52"/>
      <c r="E31" s="53" t="s">
        <v>144</v>
      </c>
      <c r="F31" s="12" t="s">
        <v>114</v>
      </c>
      <c r="G31" s="12">
        <v>4</v>
      </c>
      <c r="H31" s="35">
        <v>20</v>
      </c>
      <c r="I31" s="7">
        <v>1000000</v>
      </c>
      <c r="J31" s="14">
        <v>79328</v>
      </c>
      <c r="K31" s="15">
        <f>L31+28388+70816+76368+81764+83428+47688+53180+83092+82192+79328</f>
        <v>686244</v>
      </c>
      <c r="L31" s="15"/>
      <c r="M31" s="15">
        <f t="shared" si="0"/>
        <v>0</v>
      </c>
      <c r="N31" s="15">
        <v>0</v>
      </c>
      <c r="O31" s="58" t="str">
        <f t="shared" si="1"/>
        <v>0</v>
      </c>
      <c r="P31" s="39" t="str">
        <f t="shared" si="2"/>
        <v>0</v>
      </c>
      <c r="Q31" s="40">
        <f t="shared" si="3"/>
        <v>24</v>
      </c>
      <c r="R31" s="7"/>
      <c r="S31" s="6"/>
      <c r="T31" s="16"/>
      <c r="U31" s="16"/>
      <c r="V31" s="114">
        <v>24</v>
      </c>
      <c r="W31" s="5"/>
      <c r="X31" s="16"/>
      <c r="Y31" s="16"/>
      <c r="Z31" s="16"/>
      <c r="AA31" s="18"/>
      <c r="AB31" s="8">
        <f t="shared" si="4"/>
        <v>0</v>
      </c>
      <c r="AC31" s="9">
        <f t="shared" si="5"/>
        <v>0</v>
      </c>
      <c r="AD31" s="10">
        <f t="shared" si="8"/>
        <v>0</v>
      </c>
      <c r="AE31" s="36">
        <f t="shared" si="6"/>
        <v>0.45833333333333331</v>
      </c>
      <c r="AF31" s="81">
        <f t="shared" si="7"/>
        <v>36</v>
      </c>
    </row>
    <row r="32" spans="1:32" ht="19.5" thickBot="1">
      <c r="A32" s="452" t="s">
        <v>34</v>
      </c>
      <c r="B32" s="453"/>
      <c r="C32" s="453"/>
      <c r="D32" s="453"/>
      <c r="E32" s="453"/>
      <c r="F32" s="453"/>
      <c r="G32" s="453"/>
      <c r="H32" s="454"/>
      <c r="I32" s="22">
        <f t="shared" ref="I32:N32" si="17">SUM(I6:I31)</f>
        <v>5227800</v>
      </c>
      <c r="J32" s="19">
        <f t="shared" si="17"/>
        <v>531818</v>
      </c>
      <c r="K32" s="20">
        <f t="shared" si="17"/>
        <v>3406486</v>
      </c>
      <c r="L32" s="21">
        <f t="shared" si="17"/>
        <v>139891</v>
      </c>
      <c r="M32" s="20">
        <f t="shared" si="17"/>
        <v>139891</v>
      </c>
      <c r="N32" s="21">
        <f t="shared" si="17"/>
        <v>0</v>
      </c>
      <c r="O32" s="41">
        <f t="shared" si="1"/>
        <v>0</v>
      </c>
      <c r="P32" s="42">
        <f t="shared" ref="P32:AA32" si="18">SUM(P6:P31)</f>
        <v>286</v>
      </c>
      <c r="Q32" s="43">
        <f t="shared" si="18"/>
        <v>338</v>
      </c>
      <c r="R32" s="23">
        <f t="shared" si="18"/>
        <v>8</v>
      </c>
      <c r="S32" s="24">
        <f t="shared" si="18"/>
        <v>47</v>
      </c>
      <c r="T32" s="24">
        <f t="shared" si="18"/>
        <v>9</v>
      </c>
      <c r="U32" s="24">
        <f t="shared" si="18"/>
        <v>0</v>
      </c>
      <c r="V32" s="25">
        <f t="shared" si="18"/>
        <v>50</v>
      </c>
      <c r="W32" s="26">
        <f t="shared" si="18"/>
        <v>200</v>
      </c>
      <c r="X32" s="27">
        <f t="shared" si="18"/>
        <v>0</v>
      </c>
      <c r="Y32" s="27">
        <f t="shared" si="18"/>
        <v>0</v>
      </c>
      <c r="Z32" s="27">
        <f t="shared" si="18"/>
        <v>0</v>
      </c>
      <c r="AA32" s="27">
        <f t="shared" si="18"/>
        <v>24</v>
      </c>
      <c r="AB32" s="28">
        <f>AVERAGE(AB6:AB31)</f>
        <v>0.68</v>
      </c>
      <c r="AC32" s="4">
        <f>AVERAGE(AC6:AC31)</f>
        <v>0.45833333333333331</v>
      </c>
      <c r="AD32" s="4">
        <f>AVERAGE(AD6:AD31)</f>
        <v>0.45833333333333331</v>
      </c>
      <c r="AE32" s="29"/>
    </row>
    <row r="33" spans="1:32">
      <c r="T33" s="50" t="s">
        <v>127</v>
      </c>
    </row>
    <row r="34" spans="1:32" ht="18.75">
      <c r="A34" s="2"/>
      <c r="B34" s="2" t="s">
        <v>35</v>
      </c>
      <c r="C34" s="2"/>
      <c r="D34" s="2"/>
      <c r="E34" s="2"/>
      <c r="F34" s="2"/>
      <c r="G34" s="2"/>
      <c r="H34" s="3"/>
      <c r="I34" s="3"/>
      <c r="J34" s="2"/>
      <c r="K34" s="2"/>
      <c r="L34" s="2"/>
      <c r="M34" s="2"/>
      <c r="N34" s="2" t="s">
        <v>36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1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 t="s">
        <v>128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82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7">
      <c r="A49" s="59"/>
      <c r="B49" s="59"/>
      <c r="C49" s="59"/>
      <c r="D49" s="59"/>
      <c r="E49" s="59"/>
      <c r="F49" s="37"/>
      <c r="G49" s="37"/>
      <c r="H49" s="38"/>
      <c r="I49" s="38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F49" s="50"/>
    </row>
    <row r="50" spans="1:32" ht="29.25" customHeight="1">
      <c r="A50" s="60"/>
      <c r="B50" s="60"/>
      <c r="C50" s="61"/>
      <c r="D50" s="61"/>
      <c r="E50" s="61"/>
      <c r="F50" s="60"/>
      <c r="G50" s="60"/>
      <c r="H50" s="60"/>
      <c r="I50" s="60"/>
      <c r="J50" s="60"/>
      <c r="K50" s="60"/>
      <c r="L50" s="60"/>
      <c r="M50" s="61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29.25" customHeight="1">
      <c r="A57" s="60"/>
      <c r="B57" s="60"/>
      <c r="C57" s="62"/>
      <c r="D57" s="61"/>
      <c r="E57" s="61"/>
      <c r="F57" s="60"/>
      <c r="G57" s="60"/>
      <c r="H57" s="60"/>
      <c r="I57" s="60"/>
      <c r="J57" s="60"/>
      <c r="K57" s="60"/>
      <c r="L57" s="60"/>
      <c r="M57" s="62"/>
      <c r="N57" s="60"/>
      <c r="O57" s="60"/>
      <c r="P57" s="63"/>
      <c r="Q57" s="63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0"/>
      <c r="AC57" s="60"/>
      <c r="AD57" s="60"/>
      <c r="AF57" s="50"/>
    </row>
    <row r="58" spans="1:32" ht="14.2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36" thickBot="1">
      <c r="A59" s="455" t="s">
        <v>45</v>
      </c>
      <c r="B59" s="455"/>
      <c r="C59" s="455"/>
      <c r="D59" s="455"/>
      <c r="E59" s="455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F59" s="50"/>
    </row>
    <row r="60" spans="1:32" ht="26.25" thickBot="1">
      <c r="A60" s="456" t="s">
        <v>393</v>
      </c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8"/>
      <c r="N60" s="459" t="s">
        <v>396</v>
      </c>
      <c r="O60" s="460"/>
      <c r="P60" s="460"/>
      <c r="Q60" s="460"/>
      <c r="R60" s="460"/>
      <c r="S60" s="460"/>
      <c r="T60" s="460"/>
      <c r="U60" s="460"/>
      <c r="V60" s="460"/>
      <c r="W60" s="460"/>
      <c r="X60" s="460"/>
      <c r="Y60" s="460"/>
      <c r="Z60" s="460"/>
      <c r="AA60" s="460"/>
      <c r="AB60" s="460"/>
      <c r="AC60" s="460"/>
      <c r="AD60" s="461"/>
    </row>
    <row r="61" spans="1:32" ht="27" customHeight="1">
      <c r="A61" s="462" t="s">
        <v>2</v>
      </c>
      <c r="B61" s="463"/>
      <c r="C61" s="181" t="s">
        <v>46</v>
      </c>
      <c r="D61" s="181" t="s">
        <v>47</v>
      </c>
      <c r="E61" s="181" t="s">
        <v>107</v>
      </c>
      <c r="F61" s="464" t="s">
        <v>106</v>
      </c>
      <c r="G61" s="465"/>
      <c r="H61" s="465"/>
      <c r="I61" s="465"/>
      <c r="J61" s="465"/>
      <c r="K61" s="465"/>
      <c r="L61" s="465"/>
      <c r="M61" s="466"/>
      <c r="N61" s="67" t="s">
        <v>110</v>
      </c>
      <c r="O61" s="181" t="s">
        <v>46</v>
      </c>
      <c r="P61" s="464" t="s">
        <v>47</v>
      </c>
      <c r="Q61" s="467"/>
      <c r="R61" s="464" t="s">
        <v>38</v>
      </c>
      <c r="S61" s="465"/>
      <c r="T61" s="465"/>
      <c r="U61" s="467"/>
      <c r="V61" s="464" t="s">
        <v>48</v>
      </c>
      <c r="W61" s="465"/>
      <c r="X61" s="465"/>
      <c r="Y61" s="465"/>
      <c r="Z61" s="465"/>
      <c r="AA61" s="465"/>
      <c r="AB61" s="465"/>
      <c r="AC61" s="465"/>
      <c r="AD61" s="466"/>
    </row>
    <row r="62" spans="1:32" ht="27" customHeight="1">
      <c r="A62" s="430" t="s">
        <v>126</v>
      </c>
      <c r="B62" s="431"/>
      <c r="C62" s="182" t="s">
        <v>139</v>
      </c>
      <c r="D62" s="182" t="s">
        <v>115</v>
      </c>
      <c r="E62" s="183" t="s">
        <v>194</v>
      </c>
      <c r="F62" s="432" t="s">
        <v>141</v>
      </c>
      <c r="G62" s="433"/>
      <c r="H62" s="433"/>
      <c r="I62" s="433"/>
      <c r="J62" s="433"/>
      <c r="K62" s="433"/>
      <c r="L62" s="433"/>
      <c r="M62" s="434"/>
      <c r="N62" s="141" t="s">
        <v>126</v>
      </c>
      <c r="O62" s="188" t="s">
        <v>139</v>
      </c>
      <c r="P62" s="447" t="s">
        <v>197</v>
      </c>
      <c r="Q62" s="448"/>
      <c r="R62" s="447" t="s">
        <v>397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112</v>
      </c>
      <c r="B63" s="431"/>
      <c r="C63" s="182" t="s">
        <v>160</v>
      </c>
      <c r="D63" s="182" t="s">
        <v>137</v>
      </c>
      <c r="E63" s="183" t="s">
        <v>362</v>
      </c>
      <c r="F63" s="432" t="s">
        <v>154</v>
      </c>
      <c r="G63" s="433"/>
      <c r="H63" s="433"/>
      <c r="I63" s="433"/>
      <c r="J63" s="433"/>
      <c r="K63" s="433"/>
      <c r="L63" s="433"/>
      <c r="M63" s="434"/>
      <c r="N63" s="141" t="s">
        <v>112</v>
      </c>
      <c r="O63" s="188" t="s">
        <v>146</v>
      </c>
      <c r="P63" s="447" t="s">
        <v>115</v>
      </c>
      <c r="Q63" s="448"/>
      <c r="R63" s="447" t="s">
        <v>392</v>
      </c>
      <c r="S63" s="449"/>
      <c r="T63" s="449"/>
      <c r="U63" s="448"/>
      <c r="V63" s="436" t="s">
        <v>141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151</v>
      </c>
      <c r="B64" s="431"/>
      <c r="C64" s="182" t="s">
        <v>365</v>
      </c>
      <c r="D64" s="182" t="s">
        <v>115</v>
      </c>
      <c r="E64" s="183" t="s">
        <v>158</v>
      </c>
      <c r="F64" s="432" t="s">
        <v>260</v>
      </c>
      <c r="G64" s="433"/>
      <c r="H64" s="433"/>
      <c r="I64" s="433"/>
      <c r="J64" s="433"/>
      <c r="K64" s="433"/>
      <c r="L64" s="433"/>
      <c r="M64" s="434"/>
      <c r="N64" s="141" t="s">
        <v>126</v>
      </c>
      <c r="O64" s="188" t="s">
        <v>166</v>
      </c>
      <c r="P64" s="447" t="s">
        <v>290</v>
      </c>
      <c r="Q64" s="448"/>
      <c r="R64" s="447" t="s">
        <v>398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151</v>
      </c>
      <c r="B65" s="431"/>
      <c r="C65" s="182" t="s">
        <v>146</v>
      </c>
      <c r="D65" s="182" t="s">
        <v>115</v>
      </c>
      <c r="E65" s="183" t="s">
        <v>363</v>
      </c>
      <c r="F65" s="436" t="s">
        <v>154</v>
      </c>
      <c r="G65" s="437"/>
      <c r="H65" s="437"/>
      <c r="I65" s="437"/>
      <c r="J65" s="437"/>
      <c r="K65" s="437"/>
      <c r="L65" s="437"/>
      <c r="M65" s="438"/>
      <c r="N65" s="141" t="s">
        <v>126</v>
      </c>
      <c r="O65" s="188" t="s">
        <v>166</v>
      </c>
      <c r="P65" s="447" t="s">
        <v>115</v>
      </c>
      <c r="Q65" s="448"/>
      <c r="R65" s="447" t="s">
        <v>399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151</v>
      </c>
      <c r="B66" s="431"/>
      <c r="C66" s="182" t="s">
        <v>146</v>
      </c>
      <c r="D66" s="182" t="s">
        <v>115</v>
      </c>
      <c r="E66" s="183" t="s">
        <v>391</v>
      </c>
      <c r="F66" s="436" t="s">
        <v>154</v>
      </c>
      <c r="G66" s="437"/>
      <c r="H66" s="437"/>
      <c r="I66" s="437"/>
      <c r="J66" s="437"/>
      <c r="K66" s="437"/>
      <c r="L66" s="437"/>
      <c r="M66" s="438"/>
      <c r="N66" s="141" t="s">
        <v>126</v>
      </c>
      <c r="O66" s="188" t="s">
        <v>365</v>
      </c>
      <c r="P66" s="447"/>
      <c r="Q66" s="448"/>
      <c r="R66" s="447" t="s">
        <v>400</v>
      </c>
      <c r="S66" s="449"/>
      <c r="T66" s="449"/>
      <c r="U66" s="448"/>
      <c r="V66" s="436" t="s">
        <v>154</v>
      </c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126</v>
      </c>
      <c r="B67" s="431"/>
      <c r="C67" s="182" t="s">
        <v>204</v>
      </c>
      <c r="D67" s="182" t="s">
        <v>322</v>
      </c>
      <c r="E67" s="183" t="s">
        <v>361</v>
      </c>
      <c r="F67" s="432" t="s">
        <v>154</v>
      </c>
      <c r="G67" s="433"/>
      <c r="H67" s="433"/>
      <c r="I67" s="433"/>
      <c r="J67" s="433"/>
      <c r="K67" s="433"/>
      <c r="L67" s="433"/>
      <c r="M67" s="434"/>
      <c r="N67" s="141" t="s">
        <v>112</v>
      </c>
      <c r="O67" s="188" t="s">
        <v>208</v>
      </c>
      <c r="P67" s="447" t="s">
        <v>115</v>
      </c>
      <c r="Q67" s="448"/>
      <c r="R67" s="447" t="s">
        <v>401</v>
      </c>
      <c r="S67" s="449"/>
      <c r="T67" s="449"/>
      <c r="U67" s="448"/>
      <c r="V67" s="436" t="s">
        <v>154</v>
      </c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112</v>
      </c>
      <c r="B68" s="431"/>
      <c r="C68" s="182" t="s">
        <v>146</v>
      </c>
      <c r="D68" s="182" t="s">
        <v>115</v>
      </c>
      <c r="E68" s="183" t="s">
        <v>392</v>
      </c>
      <c r="F68" s="432" t="s">
        <v>260</v>
      </c>
      <c r="G68" s="433"/>
      <c r="H68" s="433"/>
      <c r="I68" s="433"/>
      <c r="J68" s="433"/>
      <c r="K68" s="433"/>
      <c r="L68" s="433"/>
      <c r="M68" s="434"/>
      <c r="N68" s="141"/>
      <c r="O68" s="188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 t="s">
        <v>116</v>
      </c>
      <c r="B69" s="431"/>
      <c r="C69" s="182" t="s">
        <v>368</v>
      </c>
      <c r="D69" s="182" t="s">
        <v>197</v>
      </c>
      <c r="E69" s="183" t="s">
        <v>366</v>
      </c>
      <c r="F69" s="432" t="s">
        <v>394</v>
      </c>
      <c r="G69" s="433"/>
      <c r="H69" s="433"/>
      <c r="I69" s="433"/>
      <c r="J69" s="433"/>
      <c r="K69" s="433"/>
      <c r="L69" s="433"/>
      <c r="M69" s="434"/>
      <c r="N69" s="141"/>
      <c r="O69" s="188"/>
      <c r="P69" s="447"/>
      <c r="Q69" s="448"/>
      <c r="R69" s="447"/>
      <c r="S69" s="449"/>
      <c r="T69" s="449"/>
      <c r="U69" s="448"/>
      <c r="V69" s="436"/>
      <c r="W69" s="437"/>
      <c r="X69" s="437"/>
      <c r="Y69" s="437"/>
      <c r="Z69" s="437"/>
      <c r="AA69" s="437"/>
      <c r="AB69" s="437"/>
      <c r="AC69" s="437"/>
      <c r="AD69" s="438"/>
    </row>
    <row r="70" spans="1:32" ht="27" customHeight="1">
      <c r="A70" s="430" t="s">
        <v>112</v>
      </c>
      <c r="B70" s="431"/>
      <c r="C70" s="182" t="s">
        <v>299</v>
      </c>
      <c r="D70" s="182" t="s">
        <v>297</v>
      </c>
      <c r="E70" s="183" t="s">
        <v>353</v>
      </c>
      <c r="F70" s="432" t="s">
        <v>395</v>
      </c>
      <c r="G70" s="433"/>
      <c r="H70" s="433"/>
      <c r="I70" s="433"/>
      <c r="J70" s="433"/>
      <c r="K70" s="433"/>
      <c r="L70" s="433"/>
      <c r="M70" s="434"/>
      <c r="N70" s="141"/>
      <c r="O70" s="188"/>
      <c r="P70" s="435"/>
      <c r="Q70" s="435"/>
      <c r="R70" s="435"/>
      <c r="S70" s="435"/>
      <c r="T70" s="435"/>
      <c r="U70" s="435"/>
      <c r="V70" s="436"/>
      <c r="W70" s="437"/>
      <c r="X70" s="437"/>
      <c r="Y70" s="437"/>
      <c r="Z70" s="437"/>
      <c r="AA70" s="437"/>
      <c r="AB70" s="437"/>
      <c r="AC70" s="437"/>
      <c r="AD70" s="438"/>
      <c r="AF70" s="81">
        <f>8*3000</f>
        <v>24000</v>
      </c>
    </row>
    <row r="71" spans="1:32" ht="27" customHeight="1" thickBot="1">
      <c r="A71" s="439" t="s">
        <v>116</v>
      </c>
      <c r="B71" s="440"/>
      <c r="C71" s="184" t="s">
        <v>205</v>
      </c>
      <c r="D71" s="185" t="s">
        <v>115</v>
      </c>
      <c r="E71" s="184" t="s">
        <v>371</v>
      </c>
      <c r="F71" s="490" t="s">
        <v>154</v>
      </c>
      <c r="G71" s="491"/>
      <c r="H71" s="491"/>
      <c r="I71" s="491"/>
      <c r="J71" s="491"/>
      <c r="K71" s="491"/>
      <c r="L71" s="491"/>
      <c r="M71" s="492"/>
      <c r="N71" s="105"/>
      <c r="O71" s="97"/>
      <c r="P71" s="444"/>
      <c r="Q71" s="444"/>
      <c r="R71" s="444"/>
      <c r="S71" s="444"/>
      <c r="T71" s="444"/>
      <c r="U71" s="444"/>
      <c r="V71" s="445"/>
      <c r="W71" s="445"/>
      <c r="X71" s="445"/>
      <c r="Y71" s="445"/>
      <c r="Z71" s="445"/>
      <c r="AA71" s="445"/>
      <c r="AB71" s="445"/>
      <c r="AC71" s="445"/>
      <c r="AD71" s="446"/>
      <c r="AF71" s="81">
        <f>16*3000</f>
        <v>48000</v>
      </c>
    </row>
    <row r="72" spans="1:32" ht="27.75" thickBot="1">
      <c r="A72" s="428" t="s">
        <v>402</v>
      </c>
      <c r="B72" s="428"/>
      <c r="C72" s="428"/>
      <c r="D72" s="428"/>
      <c r="E72" s="428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81">
        <v>24000</v>
      </c>
    </row>
    <row r="73" spans="1:32" ht="29.25" customHeight="1" thickBot="1">
      <c r="A73" s="429" t="s">
        <v>111</v>
      </c>
      <c r="B73" s="426"/>
      <c r="C73" s="186" t="s">
        <v>2</v>
      </c>
      <c r="D73" s="186" t="s">
        <v>37</v>
      </c>
      <c r="E73" s="186" t="s">
        <v>3</v>
      </c>
      <c r="F73" s="426" t="s">
        <v>109</v>
      </c>
      <c r="G73" s="426"/>
      <c r="H73" s="426"/>
      <c r="I73" s="426"/>
      <c r="J73" s="426"/>
      <c r="K73" s="426" t="s">
        <v>39</v>
      </c>
      <c r="L73" s="426"/>
      <c r="M73" s="186" t="s">
        <v>40</v>
      </c>
      <c r="N73" s="426" t="s">
        <v>41</v>
      </c>
      <c r="O73" s="426"/>
      <c r="P73" s="423" t="s">
        <v>42</v>
      </c>
      <c r="Q73" s="425"/>
      <c r="R73" s="423" t="s">
        <v>43</v>
      </c>
      <c r="S73" s="424"/>
      <c r="T73" s="424"/>
      <c r="U73" s="424"/>
      <c r="V73" s="424"/>
      <c r="W73" s="424"/>
      <c r="X73" s="424"/>
      <c r="Y73" s="424"/>
      <c r="Z73" s="424"/>
      <c r="AA73" s="425"/>
      <c r="AB73" s="426" t="s">
        <v>44</v>
      </c>
      <c r="AC73" s="426"/>
      <c r="AD73" s="427"/>
      <c r="AF73" s="81">
        <f>SUM(AF70:AF72)</f>
        <v>96000</v>
      </c>
    </row>
    <row r="74" spans="1:32" ht="25.5" customHeight="1">
      <c r="A74" s="414">
        <v>1</v>
      </c>
      <c r="B74" s="415"/>
      <c r="C74" s="98" t="s">
        <v>172</v>
      </c>
      <c r="D74" s="190"/>
      <c r="E74" s="187"/>
      <c r="F74" s="416" t="s">
        <v>403</v>
      </c>
      <c r="G74" s="406"/>
      <c r="H74" s="406"/>
      <c r="I74" s="406"/>
      <c r="J74" s="406"/>
      <c r="K74" s="406" t="s">
        <v>173</v>
      </c>
      <c r="L74" s="406"/>
      <c r="M74" s="51" t="s">
        <v>248</v>
      </c>
      <c r="N74" s="417" t="s">
        <v>404</v>
      </c>
      <c r="O74" s="417"/>
      <c r="P74" s="418">
        <v>25000</v>
      </c>
      <c r="Q74" s="418"/>
      <c r="R74" s="419" t="s">
        <v>407</v>
      </c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2</v>
      </c>
      <c r="B75" s="415"/>
      <c r="C75" s="98"/>
      <c r="D75" s="190"/>
      <c r="E75" s="187"/>
      <c r="F75" s="420"/>
      <c r="G75" s="421"/>
      <c r="H75" s="421"/>
      <c r="I75" s="421"/>
      <c r="J75" s="422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3</v>
      </c>
      <c r="B76" s="415"/>
      <c r="C76" s="98"/>
      <c r="D76" s="190"/>
      <c r="E76" s="187"/>
      <c r="F76" s="416"/>
      <c r="G76" s="406"/>
      <c r="H76" s="406"/>
      <c r="I76" s="406"/>
      <c r="J76" s="406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4</v>
      </c>
      <c r="B77" s="415"/>
      <c r="C77" s="98"/>
      <c r="D77" s="190"/>
      <c r="E77" s="187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5</v>
      </c>
      <c r="B78" s="415"/>
      <c r="C78" s="98"/>
      <c r="D78" s="190"/>
      <c r="E78" s="187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6</v>
      </c>
      <c r="B79" s="415"/>
      <c r="C79" s="98"/>
      <c r="D79" s="190"/>
      <c r="E79" s="187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7</v>
      </c>
      <c r="B80" s="415"/>
      <c r="C80" s="98"/>
      <c r="D80" s="190"/>
      <c r="E80" s="187"/>
      <c r="F80" s="420"/>
      <c r="G80" s="421"/>
      <c r="H80" s="421"/>
      <c r="I80" s="421"/>
      <c r="J80" s="422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8</v>
      </c>
      <c r="B81" s="415"/>
      <c r="C81" s="98"/>
      <c r="D81" s="190"/>
      <c r="E81" s="187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9</v>
      </c>
      <c r="B82" s="415"/>
      <c r="C82" s="98"/>
      <c r="D82" s="190"/>
      <c r="E82" s="187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5.5" customHeight="1">
      <c r="A83" s="414">
        <v>10</v>
      </c>
      <c r="B83" s="415"/>
      <c r="C83" s="98"/>
      <c r="D83" s="190"/>
      <c r="E83" s="187"/>
      <c r="F83" s="416"/>
      <c r="G83" s="406"/>
      <c r="H83" s="406"/>
      <c r="I83" s="406"/>
      <c r="J83" s="406"/>
      <c r="K83" s="406"/>
      <c r="L83" s="406"/>
      <c r="M83" s="51"/>
      <c r="N83" s="417"/>
      <c r="O83" s="417"/>
      <c r="P83" s="418"/>
      <c r="Q83" s="418"/>
      <c r="R83" s="419"/>
      <c r="S83" s="419"/>
      <c r="T83" s="419"/>
      <c r="U83" s="419"/>
      <c r="V83" s="419"/>
      <c r="W83" s="419"/>
      <c r="X83" s="419"/>
      <c r="Y83" s="419"/>
      <c r="Z83" s="419"/>
      <c r="AA83" s="419"/>
      <c r="AB83" s="406"/>
      <c r="AC83" s="406"/>
      <c r="AD83" s="407"/>
      <c r="AF83" s="50"/>
    </row>
    <row r="84" spans="1:32" ht="26.25" customHeight="1" thickBot="1">
      <c r="A84" s="386" t="s">
        <v>405</v>
      </c>
      <c r="B84" s="386"/>
      <c r="C84" s="386"/>
      <c r="D84" s="386"/>
      <c r="E84" s="386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23.25" thickBot="1">
      <c r="A85" s="408" t="s">
        <v>111</v>
      </c>
      <c r="B85" s="409"/>
      <c r="C85" s="189" t="s">
        <v>2</v>
      </c>
      <c r="D85" s="189" t="s">
        <v>37</v>
      </c>
      <c r="E85" s="189" t="s">
        <v>120</v>
      </c>
      <c r="F85" s="388" t="s">
        <v>38</v>
      </c>
      <c r="G85" s="388"/>
      <c r="H85" s="388"/>
      <c r="I85" s="388"/>
      <c r="J85" s="388"/>
      <c r="K85" s="410" t="s">
        <v>58</v>
      </c>
      <c r="L85" s="411"/>
      <c r="M85" s="411"/>
      <c r="N85" s="411"/>
      <c r="O85" s="411"/>
      <c r="P85" s="411"/>
      <c r="Q85" s="411"/>
      <c r="R85" s="411"/>
      <c r="S85" s="412"/>
      <c r="T85" s="388" t="s">
        <v>49</v>
      </c>
      <c r="U85" s="388"/>
      <c r="V85" s="410" t="s">
        <v>50</v>
      </c>
      <c r="W85" s="412"/>
      <c r="X85" s="411" t="s">
        <v>51</v>
      </c>
      <c r="Y85" s="411"/>
      <c r="Z85" s="411"/>
      <c r="AA85" s="411"/>
      <c r="AB85" s="411"/>
      <c r="AC85" s="411"/>
      <c r="AD85" s="413"/>
      <c r="AF85" s="50"/>
    </row>
    <row r="86" spans="1:32" ht="33.75" customHeight="1">
      <c r="A86" s="380">
        <v>1</v>
      </c>
      <c r="B86" s="381"/>
      <c r="C86" s="191"/>
      <c r="D86" s="191"/>
      <c r="E86" s="65"/>
      <c r="F86" s="395"/>
      <c r="G86" s="396"/>
      <c r="H86" s="396"/>
      <c r="I86" s="396"/>
      <c r="J86" s="397"/>
      <c r="K86" s="398"/>
      <c r="L86" s="399"/>
      <c r="M86" s="399"/>
      <c r="N86" s="399"/>
      <c r="O86" s="399"/>
      <c r="P86" s="399"/>
      <c r="Q86" s="399"/>
      <c r="R86" s="399"/>
      <c r="S86" s="400"/>
      <c r="T86" s="401"/>
      <c r="U86" s="402"/>
      <c r="V86" s="403"/>
      <c r="W86" s="403"/>
      <c r="X86" s="404"/>
      <c r="Y86" s="404"/>
      <c r="Z86" s="404"/>
      <c r="AA86" s="404"/>
      <c r="AB86" s="404"/>
      <c r="AC86" s="404"/>
      <c r="AD86" s="405"/>
      <c r="AF86" s="50"/>
    </row>
    <row r="87" spans="1:32" ht="30" customHeight="1">
      <c r="A87" s="373">
        <f>A86+1</f>
        <v>2</v>
      </c>
      <c r="B87" s="374"/>
      <c r="C87" s="190"/>
      <c r="D87" s="190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ref="A88:A92" si="19">A87+1</f>
        <v>3</v>
      </c>
      <c r="B88" s="374"/>
      <c r="C88" s="190"/>
      <c r="D88" s="190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4</v>
      </c>
      <c r="B89" s="374"/>
      <c r="C89" s="190"/>
      <c r="D89" s="190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5</v>
      </c>
      <c r="B90" s="374"/>
      <c r="C90" s="190"/>
      <c r="D90" s="190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6</v>
      </c>
      <c r="B91" s="374"/>
      <c r="C91" s="190"/>
      <c r="D91" s="190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0" customHeight="1">
      <c r="A92" s="373">
        <f t="shared" si="19"/>
        <v>7</v>
      </c>
      <c r="B92" s="374"/>
      <c r="C92" s="190"/>
      <c r="D92" s="190"/>
      <c r="E92" s="32"/>
      <c r="F92" s="374"/>
      <c r="G92" s="374"/>
      <c r="H92" s="374"/>
      <c r="I92" s="374"/>
      <c r="J92" s="374"/>
      <c r="K92" s="389"/>
      <c r="L92" s="390"/>
      <c r="M92" s="390"/>
      <c r="N92" s="390"/>
      <c r="O92" s="390"/>
      <c r="P92" s="390"/>
      <c r="Q92" s="390"/>
      <c r="R92" s="390"/>
      <c r="S92" s="391"/>
      <c r="T92" s="392"/>
      <c r="U92" s="392"/>
      <c r="V92" s="392"/>
      <c r="W92" s="392"/>
      <c r="X92" s="393"/>
      <c r="Y92" s="393"/>
      <c r="Z92" s="393"/>
      <c r="AA92" s="393"/>
      <c r="AB92" s="393"/>
      <c r="AC92" s="393"/>
      <c r="AD92" s="394"/>
      <c r="AF92" s="50"/>
    </row>
    <row r="93" spans="1:32" ht="36" thickBot="1">
      <c r="A93" s="386" t="s">
        <v>406</v>
      </c>
      <c r="B93" s="386"/>
      <c r="C93" s="386"/>
      <c r="D93" s="386"/>
      <c r="E93" s="386"/>
      <c r="F93" s="37"/>
      <c r="G93" s="37"/>
      <c r="H93" s="38"/>
      <c r="I93" s="38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F93" s="50"/>
    </row>
    <row r="94" spans="1:32" ht="30.75" customHeight="1" thickBot="1">
      <c r="A94" s="387" t="s">
        <v>111</v>
      </c>
      <c r="B94" s="388"/>
      <c r="C94" s="378" t="s">
        <v>52</v>
      </c>
      <c r="D94" s="378"/>
      <c r="E94" s="378" t="s">
        <v>53</v>
      </c>
      <c r="F94" s="378"/>
      <c r="G94" s="378"/>
      <c r="H94" s="378"/>
      <c r="I94" s="378"/>
      <c r="J94" s="378"/>
      <c r="K94" s="378" t="s">
        <v>54</v>
      </c>
      <c r="L94" s="378"/>
      <c r="M94" s="378"/>
      <c r="N94" s="378"/>
      <c r="O94" s="378"/>
      <c r="P94" s="378"/>
      <c r="Q94" s="378"/>
      <c r="R94" s="378"/>
      <c r="S94" s="378"/>
      <c r="T94" s="378" t="s">
        <v>55</v>
      </c>
      <c r="U94" s="378"/>
      <c r="V94" s="378" t="s">
        <v>56</v>
      </c>
      <c r="W94" s="378"/>
      <c r="X94" s="378"/>
      <c r="Y94" s="378" t="s">
        <v>51</v>
      </c>
      <c r="Z94" s="378"/>
      <c r="AA94" s="378"/>
      <c r="AB94" s="378"/>
      <c r="AC94" s="378"/>
      <c r="AD94" s="379"/>
      <c r="AF94" s="50"/>
    </row>
    <row r="95" spans="1:32" ht="30.75" customHeight="1">
      <c r="A95" s="380">
        <v>1</v>
      </c>
      <c r="B95" s="381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382"/>
      <c r="P95" s="382"/>
      <c r="Q95" s="382"/>
      <c r="R95" s="382"/>
      <c r="S95" s="382"/>
      <c r="T95" s="382"/>
      <c r="U95" s="382"/>
      <c r="V95" s="383"/>
      <c r="W95" s="383"/>
      <c r="X95" s="383"/>
      <c r="Y95" s="384"/>
      <c r="Z95" s="384"/>
      <c r="AA95" s="384"/>
      <c r="AB95" s="384"/>
      <c r="AC95" s="384"/>
      <c r="AD95" s="385"/>
      <c r="AF95" s="50"/>
    </row>
    <row r="96" spans="1:32" ht="30.75" customHeight="1">
      <c r="A96" s="373">
        <v>2</v>
      </c>
      <c r="B96" s="374"/>
      <c r="C96" s="375"/>
      <c r="D96" s="375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75"/>
      <c r="P96" s="375"/>
      <c r="Q96" s="375"/>
      <c r="R96" s="375"/>
      <c r="S96" s="375"/>
      <c r="T96" s="376"/>
      <c r="U96" s="376"/>
      <c r="V96" s="377"/>
      <c r="W96" s="377"/>
      <c r="X96" s="377"/>
      <c r="Y96" s="365"/>
      <c r="Z96" s="365"/>
      <c r="AA96" s="365"/>
      <c r="AB96" s="365"/>
      <c r="AC96" s="365"/>
      <c r="AD96" s="366"/>
      <c r="AF96" s="50"/>
    </row>
    <row r="97" spans="1:32" ht="30.75" customHeight="1" thickBot="1">
      <c r="A97" s="367">
        <v>3</v>
      </c>
      <c r="B97" s="368"/>
      <c r="C97" s="369"/>
      <c r="D97" s="369"/>
      <c r="E97" s="369"/>
      <c r="F97" s="369"/>
      <c r="G97" s="369"/>
      <c r="H97" s="369"/>
      <c r="I97" s="369"/>
      <c r="J97" s="369"/>
      <c r="K97" s="369"/>
      <c r="L97" s="369"/>
      <c r="M97" s="369"/>
      <c r="N97" s="369"/>
      <c r="O97" s="369"/>
      <c r="P97" s="369"/>
      <c r="Q97" s="369"/>
      <c r="R97" s="369"/>
      <c r="S97" s="369"/>
      <c r="T97" s="369"/>
      <c r="U97" s="369"/>
      <c r="V97" s="370"/>
      <c r="W97" s="370"/>
      <c r="X97" s="370"/>
      <c r="Y97" s="371"/>
      <c r="Z97" s="371"/>
      <c r="AA97" s="371"/>
      <c r="AB97" s="371"/>
      <c r="AC97" s="371"/>
      <c r="AD97" s="372"/>
      <c r="AF97" s="50"/>
    </row>
  </sheetData>
  <mergeCells count="232">
    <mergeCell ref="Y96:AD96"/>
    <mergeCell ref="A97:B97"/>
    <mergeCell ref="C97:D97"/>
    <mergeCell ref="E97:J97"/>
    <mergeCell ref="K97:S97"/>
    <mergeCell ref="T97:U97"/>
    <mergeCell ref="V97:X97"/>
    <mergeCell ref="Y97:AD97"/>
    <mergeCell ref="A96:B96"/>
    <mergeCell ref="C96:D96"/>
    <mergeCell ref="E96:J96"/>
    <mergeCell ref="K96:S96"/>
    <mergeCell ref="T96:U96"/>
    <mergeCell ref="V96:X96"/>
    <mergeCell ref="V94:X94"/>
    <mergeCell ref="Y94:AD94"/>
    <mergeCell ref="A95:B95"/>
    <mergeCell ref="C95:D95"/>
    <mergeCell ref="E95:J95"/>
    <mergeCell ref="K95:S95"/>
    <mergeCell ref="T95:U95"/>
    <mergeCell ref="V95:X95"/>
    <mergeCell ref="Y95:AD95"/>
    <mergeCell ref="A93:E93"/>
    <mergeCell ref="A94:B94"/>
    <mergeCell ref="C94:D94"/>
    <mergeCell ref="E94:J94"/>
    <mergeCell ref="K94:S94"/>
    <mergeCell ref="T94:U94"/>
    <mergeCell ref="A92:B92"/>
    <mergeCell ref="F92:J92"/>
    <mergeCell ref="K92:S92"/>
    <mergeCell ref="T92:U92"/>
    <mergeCell ref="V92:W92"/>
    <mergeCell ref="X92:AD92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B83:AD83"/>
    <mergeCell ref="A84:E84"/>
    <mergeCell ref="A85:B85"/>
    <mergeCell ref="F85:J85"/>
    <mergeCell ref="K85:S85"/>
    <mergeCell ref="T85:U85"/>
    <mergeCell ref="V85:W85"/>
    <mergeCell ref="X85:AD85"/>
    <mergeCell ref="A83:B83"/>
    <mergeCell ref="F83:J83"/>
    <mergeCell ref="K83:L83"/>
    <mergeCell ref="N83:O83"/>
    <mergeCell ref="P83:Q83"/>
    <mergeCell ref="R83:AA83"/>
    <mergeCell ref="AB81:AD81"/>
    <mergeCell ref="A82:B82"/>
    <mergeCell ref="F82:J82"/>
    <mergeCell ref="K82:L82"/>
    <mergeCell ref="N82:O82"/>
    <mergeCell ref="P82:Q82"/>
    <mergeCell ref="R82:AA82"/>
    <mergeCell ref="AB82:AD82"/>
    <mergeCell ref="A81:B81"/>
    <mergeCell ref="F81:J81"/>
    <mergeCell ref="K81:L81"/>
    <mergeCell ref="N81:O81"/>
    <mergeCell ref="P81:Q81"/>
    <mergeCell ref="R81:AA81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R73:AA73"/>
    <mergeCell ref="AB73:AD73"/>
    <mergeCell ref="A74:B74"/>
    <mergeCell ref="F74:J74"/>
    <mergeCell ref="K74:L74"/>
    <mergeCell ref="N74:O74"/>
    <mergeCell ref="P74:Q74"/>
    <mergeCell ref="R74:AA74"/>
    <mergeCell ref="AB74:AD74"/>
    <mergeCell ref="A72:E72"/>
    <mergeCell ref="A73:B73"/>
    <mergeCell ref="F73:J73"/>
    <mergeCell ref="K73:L73"/>
    <mergeCell ref="N73:O73"/>
    <mergeCell ref="P73:Q73"/>
    <mergeCell ref="A70:B70"/>
    <mergeCell ref="F70:M70"/>
    <mergeCell ref="P70:Q70"/>
    <mergeCell ref="R70:U70"/>
    <mergeCell ref="V70:AD70"/>
    <mergeCell ref="A71:B71"/>
    <mergeCell ref="F71:M71"/>
    <mergeCell ref="P71:Q71"/>
    <mergeCell ref="R71:U71"/>
    <mergeCell ref="V71:AD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D4:AD5"/>
    <mergeCell ref="A32:H32"/>
    <mergeCell ref="A59:E59"/>
    <mergeCell ref="A60:M60"/>
    <mergeCell ref="N60:AD60"/>
    <mergeCell ref="A61:B61"/>
    <mergeCell ref="F61:M61"/>
    <mergeCell ref="P61:Q61"/>
    <mergeCell ref="R61:U61"/>
    <mergeCell ref="V61:AD6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8" fitToHeight="2" orientation="landscape" r:id="rId1"/>
  <rowBreaks count="1" manualBreakCount="1">
    <brk id="57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3E5F-3442-4590-AAB9-FA115E7EDD04}">
  <sheetPr codeName="Sheet7">
    <pageSetUpPr fitToPage="1"/>
  </sheetPr>
  <dimension ref="A1:AF96"/>
  <sheetViews>
    <sheetView view="pageBreakPreview" topLeftCell="A76" zoomScale="70" zoomScaleNormal="72" zoomScaleSheetLayoutView="70" workbookViewId="0">
      <selection activeCell="A93" sqref="A93:B9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408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180" t="s">
        <v>17</v>
      </c>
      <c r="L5" s="180" t="s">
        <v>18</v>
      </c>
      <c r="M5" s="180" t="s">
        <v>19</v>
      </c>
      <c r="N5" s="18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197</v>
      </c>
      <c r="E6" s="53" t="s">
        <v>397</v>
      </c>
      <c r="F6" s="30" t="s">
        <v>150</v>
      </c>
      <c r="G6" s="12">
        <v>2</v>
      </c>
      <c r="H6" s="13">
        <v>24</v>
      </c>
      <c r="I6" s="31">
        <v>5500</v>
      </c>
      <c r="J6" s="14">
        <v>9700</v>
      </c>
      <c r="K6" s="15">
        <f>L6</f>
        <v>9700</v>
      </c>
      <c r="L6" s="15">
        <f>2569*2+2281*2</f>
        <v>9700</v>
      </c>
      <c r="M6" s="15">
        <f t="shared" ref="M6:M30" si="0">L6-N6</f>
        <v>9700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22</v>
      </c>
      <c r="Q6" s="40">
        <f t="shared" ref="Q6:Q30" si="3">SUM(R6:AA6)</f>
        <v>2</v>
      </c>
      <c r="R6" s="7"/>
      <c r="S6" s="6"/>
      <c r="T6" s="16">
        <v>2</v>
      </c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0.91666666666666663</v>
      </c>
      <c r="AD6" s="10">
        <f>AC6*AB6*(1-O6)</f>
        <v>0.91666666666666663</v>
      </c>
      <c r="AE6" s="36">
        <f t="shared" ref="AE6:AE30" si="6">$AD$31</f>
        <v>0.55999999999999994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137</v>
      </c>
      <c r="E7" s="53" t="s">
        <v>362</v>
      </c>
      <c r="F7" s="30" t="s">
        <v>136</v>
      </c>
      <c r="G7" s="12">
        <v>1</v>
      </c>
      <c r="H7" s="13">
        <v>24</v>
      </c>
      <c r="I7" s="31">
        <v>6000</v>
      </c>
      <c r="J7" s="14">
        <v>5577</v>
      </c>
      <c r="K7" s="15">
        <f>L7+5417</f>
        <v>10994</v>
      </c>
      <c r="L7" s="15">
        <f>2521+3056</f>
        <v>5577</v>
      </c>
      <c r="M7" s="15">
        <f t="shared" si="0"/>
        <v>5577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0" si="8">AC7*AB7*(1-O7)</f>
        <v>1</v>
      </c>
      <c r="AE7" s="36">
        <f t="shared" si="6"/>
        <v>0.55999999999999994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392</v>
      </c>
      <c r="F8" s="30" t="s">
        <v>152</v>
      </c>
      <c r="G8" s="12">
        <v>1</v>
      </c>
      <c r="H8" s="13">
        <v>35</v>
      </c>
      <c r="I8" s="31">
        <v>3000</v>
      </c>
      <c r="J8" s="5">
        <v>104</v>
      </c>
      <c r="K8" s="15">
        <f>L8+587</f>
        <v>691</v>
      </c>
      <c r="L8" s="15">
        <v>104</v>
      </c>
      <c r="M8" s="15">
        <f t="shared" si="0"/>
        <v>104</v>
      </c>
      <c r="N8" s="15">
        <v>0</v>
      </c>
      <c r="O8" s="58">
        <f t="shared" si="1"/>
        <v>0</v>
      </c>
      <c r="P8" s="39">
        <f t="shared" si="2"/>
        <v>4</v>
      </c>
      <c r="Q8" s="40">
        <f t="shared" si="3"/>
        <v>20</v>
      </c>
      <c r="R8" s="7"/>
      <c r="S8" s="6">
        <v>20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0.16666666666666666</v>
      </c>
      <c r="AD8" s="10">
        <f t="shared" si="8"/>
        <v>0.16666666666666666</v>
      </c>
      <c r="AE8" s="36">
        <f t="shared" si="6"/>
        <v>0.55999999999999994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324</v>
      </c>
      <c r="F9" s="30" t="s">
        <v>348</v>
      </c>
      <c r="G9" s="12">
        <v>1</v>
      </c>
      <c r="H9" s="13">
        <v>24</v>
      </c>
      <c r="I9" s="7">
        <v>260000</v>
      </c>
      <c r="J9" s="14">
        <v>5350</v>
      </c>
      <c r="K9" s="15">
        <f>L9+4269+5331</f>
        <v>14950</v>
      </c>
      <c r="L9" s="15">
        <f>2589+2761</f>
        <v>5350</v>
      </c>
      <c r="M9" s="15">
        <f t="shared" si="0"/>
        <v>5350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0.55999999999999994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145</v>
      </c>
      <c r="F10" s="30" t="s">
        <v>123</v>
      </c>
      <c r="G10" s="33">
        <v>1</v>
      </c>
      <c r="H10" s="35">
        <v>24</v>
      </c>
      <c r="I10" s="7">
        <v>115000</v>
      </c>
      <c r="J10" s="14">
        <v>4818</v>
      </c>
      <c r="K10" s="15">
        <f>L10+5338+5669+5744+4980+3619+1932+309+2790+5660+4715+1739+3127+5884+1203+3638+5732+5658+5217+2430+1897+5596+5715+3707+799+2709+2266+5086+3381+4392+5682+5705+5451+2998+2865+4585+5706+4871+3392+5482+5779+5358+4818</f>
        <v>173624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8"/>
        <v>0</v>
      </c>
      <c r="AE10" s="36">
        <f t="shared" si="6"/>
        <v>0.55999999999999994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126</v>
      </c>
      <c r="D11" s="52" t="s">
        <v>290</v>
      </c>
      <c r="E11" s="53" t="s">
        <v>409</v>
      </c>
      <c r="F11" s="30" t="s">
        <v>135</v>
      </c>
      <c r="G11" s="33">
        <v>1</v>
      </c>
      <c r="H11" s="35">
        <v>24</v>
      </c>
      <c r="I11" s="7">
        <v>1200</v>
      </c>
      <c r="J11" s="14">
        <v>1633</v>
      </c>
      <c r="K11" s="15">
        <f>L11</f>
        <v>1633</v>
      </c>
      <c r="L11" s="15">
        <f>1633</f>
        <v>1633</v>
      </c>
      <c r="M11" s="15">
        <f t="shared" si="0"/>
        <v>1633</v>
      </c>
      <c r="N11" s="15">
        <v>0</v>
      </c>
      <c r="O11" s="58">
        <f t="shared" si="1"/>
        <v>0</v>
      </c>
      <c r="P11" s="39">
        <f t="shared" si="2"/>
        <v>8</v>
      </c>
      <c r="Q11" s="40">
        <f t="shared" si="3"/>
        <v>16</v>
      </c>
      <c r="R11" s="7"/>
      <c r="S11" s="6"/>
      <c r="T11" s="16"/>
      <c r="U11" s="16"/>
      <c r="V11" s="17"/>
      <c r="W11" s="5">
        <v>16</v>
      </c>
      <c r="X11" s="16"/>
      <c r="Y11" s="16"/>
      <c r="Z11" s="16"/>
      <c r="AA11" s="18"/>
      <c r="AB11" s="8">
        <f t="shared" si="4"/>
        <v>1</v>
      </c>
      <c r="AC11" s="9">
        <f t="shared" si="5"/>
        <v>0.33333333333333331</v>
      </c>
      <c r="AD11" s="10">
        <f t="shared" si="8"/>
        <v>0.33333333333333331</v>
      </c>
      <c r="AE11" s="36">
        <f t="shared" si="6"/>
        <v>0.55999999999999994</v>
      </c>
      <c r="AF11" s="81">
        <f t="shared" si="7"/>
        <v>6</v>
      </c>
    </row>
    <row r="12" spans="1:32" ht="27" customHeight="1">
      <c r="A12" s="92">
        <v>6</v>
      </c>
      <c r="B12" s="11" t="s">
        <v>57</v>
      </c>
      <c r="C12" s="11" t="s">
        <v>126</v>
      </c>
      <c r="D12" s="52" t="s">
        <v>115</v>
      </c>
      <c r="E12" s="53" t="s">
        <v>410</v>
      </c>
      <c r="F12" s="30" t="s">
        <v>135</v>
      </c>
      <c r="G12" s="33">
        <v>1</v>
      </c>
      <c r="H12" s="35">
        <v>24</v>
      </c>
      <c r="I12" s="7">
        <v>1200</v>
      </c>
      <c r="J12" s="14">
        <v>1575</v>
      </c>
      <c r="K12" s="15">
        <f>L12</f>
        <v>1575</v>
      </c>
      <c r="L12" s="15">
        <f>307+1268</f>
        <v>1575</v>
      </c>
      <c r="M12" s="15">
        <f t="shared" ref="M12" si="9">L12-N12</f>
        <v>1575</v>
      </c>
      <c r="N12" s="15">
        <v>0</v>
      </c>
      <c r="O12" s="58">
        <f t="shared" ref="O12" si="10">IF(L12=0,"0",N12/L12)</f>
        <v>0</v>
      </c>
      <c r="P12" s="39">
        <f t="shared" ref="P12" si="11">IF(L12=0,"0",(24-Q12))</f>
        <v>9</v>
      </c>
      <c r="Q12" s="40">
        <f t="shared" ref="Q12" si="12">SUM(R12:AA12)</f>
        <v>15</v>
      </c>
      <c r="R12" s="7"/>
      <c r="S12" s="6">
        <v>3</v>
      </c>
      <c r="T12" s="16"/>
      <c r="U12" s="16"/>
      <c r="V12" s="17"/>
      <c r="W12" s="5">
        <v>12</v>
      </c>
      <c r="X12" s="16"/>
      <c r="Y12" s="16"/>
      <c r="Z12" s="16"/>
      <c r="AA12" s="18"/>
      <c r="AB12" s="8">
        <f t="shared" ref="AB12" si="13">IF(J12=0,"0",(L12/J12))</f>
        <v>1</v>
      </c>
      <c r="AC12" s="9">
        <f t="shared" ref="AC12" si="14">IF(P12=0,"0",(P12/24))</f>
        <v>0.375</v>
      </c>
      <c r="AD12" s="10">
        <f t="shared" ref="AD12" si="15">AC12*AB12*(1-O12)</f>
        <v>0.375</v>
      </c>
      <c r="AE12" s="36">
        <f t="shared" si="6"/>
        <v>0.55999999999999994</v>
      </c>
      <c r="AF12" s="81">
        <f t="shared" ref="AF12" si="16">A12</f>
        <v>6</v>
      </c>
    </row>
    <row r="13" spans="1:32" ht="27" customHeight="1">
      <c r="A13" s="92">
        <v>7</v>
      </c>
      <c r="B13" s="11" t="s">
        <v>57</v>
      </c>
      <c r="C13" s="34" t="s">
        <v>116</v>
      </c>
      <c r="D13" s="52" t="s">
        <v>115</v>
      </c>
      <c r="E13" s="53" t="s">
        <v>163</v>
      </c>
      <c r="F13" s="30" t="s">
        <v>159</v>
      </c>
      <c r="G13" s="12">
        <v>1</v>
      </c>
      <c r="H13" s="13">
        <v>22</v>
      </c>
      <c r="I13" s="31">
        <v>40000</v>
      </c>
      <c r="J13" s="5">
        <v>5172</v>
      </c>
      <c r="K13" s="15">
        <f>L13+2299+960+4314+5153+4996+5031+573+5044+5157+4963+4296</f>
        <v>47958</v>
      </c>
      <c r="L13" s="15">
        <f>2579+2593</f>
        <v>5172</v>
      </c>
      <c r="M13" s="15">
        <f t="shared" si="0"/>
        <v>5172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0.55999999999999994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112</v>
      </c>
      <c r="D14" s="52" t="s">
        <v>147</v>
      </c>
      <c r="E14" s="53" t="s">
        <v>272</v>
      </c>
      <c r="F14" s="30" t="s">
        <v>148</v>
      </c>
      <c r="G14" s="33">
        <v>1</v>
      </c>
      <c r="H14" s="35">
        <v>22</v>
      </c>
      <c r="I14" s="7">
        <v>15000</v>
      </c>
      <c r="J14" s="14">
        <v>5974</v>
      </c>
      <c r="K14" s="15">
        <f>L14+4941+5660+5559</f>
        <v>22134</v>
      </c>
      <c r="L14" s="15">
        <f>3001+2973</f>
        <v>5974</v>
      </c>
      <c r="M14" s="15">
        <f t="shared" si="0"/>
        <v>5974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8"/>
        <v>1</v>
      </c>
      <c r="AE14" s="36">
        <f t="shared" si="6"/>
        <v>0.55999999999999994</v>
      </c>
      <c r="AF14" s="81">
        <f t="shared" si="7"/>
        <v>8</v>
      </c>
    </row>
    <row r="15" spans="1:32" ht="27" customHeight="1">
      <c r="A15" s="99">
        <v>9</v>
      </c>
      <c r="B15" s="11" t="s">
        <v>57</v>
      </c>
      <c r="C15" s="34" t="s">
        <v>151</v>
      </c>
      <c r="D15" s="52" t="s">
        <v>115</v>
      </c>
      <c r="E15" s="53" t="s">
        <v>236</v>
      </c>
      <c r="F15" s="30" t="s">
        <v>148</v>
      </c>
      <c r="G15" s="33">
        <v>1</v>
      </c>
      <c r="H15" s="35">
        <v>50</v>
      </c>
      <c r="I15" s="7">
        <v>900</v>
      </c>
      <c r="J15" s="5">
        <v>398</v>
      </c>
      <c r="K15" s="15">
        <f>L15+529+223+398</f>
        <v>1150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0.55999999999999994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126</v>
      </c>
      <c r="D16" s="52"/>
      <c r="E16" s="53" t="s">
        <v>400</v>
      </c>
      <c r="F16" s="30" t="s">
        <v>411</v>
      </c>
      <c r="G16" s="12">
        <v>4</v>
      </c>
      <c r="H16" s="13">
        <v>24</v>
      </c>
      <c r="I16" s="31">
        <v>200000</v>
      </c>
      <c r="J16" s="14">
        <v>22472</v>
      </c>
      <c r="K16" s="15">
        <f>L16</f>
        <v>22472</v>
      </c>
      <c r="L16" s="15">
        <f>1411*4+4207*4</f>
        <v>22472</v>
      </c>
      <c r="M16" s="15">
        <f t="shared" si="0"/>
        <v>22472</v>
      </c>
      <c r="N16" s="15">
        <v>0</v>
      </c>
      <c r="O16" s="58">
        <f t="shared" si="1"/>
        <v>0</v>
      </c>
      <c r="P16" s="39">
        <f t="shared" si="2"/>
        <v>20</v>
      </c>
      <c r="Q16" s="40">
        <f t="shared" si="3"/>
        <v>4</v>
      </c>
      <c r="R16" s="7"/>
      <c r="S16" s="6">
        <v>4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0.83333333333333337</v>
      </c>
      <c r="AD16" s="10">
        <f t="shared" si="8"/>
        <v>0.83333333333333337</v>
      </c>
      <c r="AE16" s="36">
        <f t="shared" si="6"/>
        <v>0.55999999999999994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197</v>
      </c>
      <c r="E17" s="53" t="s">
        <v>366</v>
      </c>
      <c r="F17" s="30" t="s">
        <v>123</v>
      </c>
      <c r="G17" s="12">
        <v>2</v>
      </c>
      <c r="H17" s="13">
        <v>22</v>
      </c>
      <c r="I17" s="31">
        <v>260000</v>
      </c>
      <c r="J17" s="5">
        <v>9873</v>
      </c>
      <c r="K17" s="15">
        <f>L17+9350</f>
        <v>19223</v>
      </c>
      <c r="L17" s="15">
        <f>1504*2+2831*2+1203</f>
        <v>9873</v>
      </c>
      <c r="M17" s="15">
        <f t="shared" si="0"/>
        <v>9873</v>
      </c>
      <c r="N17" s="15">
        <v>0</v>
      </c>
      <c r="O17" s="58">
        <f t="shared" si="1"/>
        <v>0</v>
      </c>
      <c r="P17" s="39">
        <f t="shared" si="2"/>
        <v>22</v>
      </c>
      <c r="Q17" s="40">
        <f t="shared" si="3"/>
        <v>2</v>
      </c>
      <c r="R17" s="7"/>
      <c r="S17" s="6">
        <v>2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0.91666666666666663</v>
      </c>
      <c r="AD17" s="10">
        <f t="shared" si="8"/>
        <v>0.91666666666666663</v>
      </c>
      <c r="AE17" s="36">
        <f t="shared" si="6"/>
        <v>0.55999999999999994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126</v>
      </c>
      <c r="D18" s="52" t="s">
        <v>322</v>
      </c>
      <c r="E18" s="53" t="s">
        <v>361</v>
      </c>
      <c r="F18" s="30" t="s">
        <v>298</v>
      </c>
      <c r="G18" s="12">
        <v>1</v>
      </c>
      <c r="H18" s="13">
        <v>24</v>
      </c>
      <c r="I18" s="7">
        <v>3000</v>
      </c>
      <c r="J18" s="14">
        <v>3665</v>
      </c>
      <c r="K18" s="15">
        <f>L18+3665</f>
        <v>3665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/>
      <c r="X18" s="16"/>
      <c r="Y18" s="16"/>
      <c r="Z18" s="16"/>
      <c r="AA18" s="18">
        <v>24</v>
      </c>
      <c r="AB18" s="8">
        <f t="shared" si="4"/>
        <v>0</v>
      </c>
      <c r="AC18" s="9">
        <f t="shared" si="5"/>
        <v>0</v>
      </c>
      <c r="AD18" s="10">
        <f t="shared" si="8"/>
        <v>0</v>
      </c>
      <c r="AE18" s="36">
        <f t="shared" si="6"/>
        <v>0.55999999999999994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116</v>
      </c>
      <c r="D19" s="52" t="s">
        <v>115</v>
      </c>
      <c r="E19" s="53" t="s">
        <v>371</v>
      </c>
      <c r="F19" s="30" t="s">
        <v>135</v>
      </c>
      <c r="G19" s="12">
        <v>2</v>
      </c>
      <c r="H19" s="13">
        <v>22</v>
      </c>
      <c r="I19" s="31">
        <v>260000</v>
      </c>
      <c r="J19" s="5">
        <v>11444</v>
      </c>
      <c r="K19" s="15">
        <f>L19+10480</f>
        <v>21924</v>
      </c>
      <c r="L19" s="15">
        <f>2847*2+2875*2</f>
        <v>11444</v>
      </c>
      <c r="M19" s="15">
        <f t="shared" si="0"/>
        <v>11444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0.55999999999999994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115</v>
      </c>
      <c r="E20" s="53" t="s">
        <v>412</v>
      </c>
      <c r="F20" s="30" t="s">
        <v>148</v>
      </c>
      <c r="G20" s="33">
        <v>1</v>
      </c>
      <c r="H20" s="35">
        <v>24</v>
      </c>
      <c r="I20" s="7">
        <v>2000</v>
      </c>
      <c r="J20" s="14">
        <v>4820</v>
      </c>
      <c r="K20" s="15">
        <f>L20</f>
        <v>4820</v>
      </c>
      <c r="L20" s="15">
        <f>2281+2539</f>
        <v>4820</v>
      </c>
      <c r="M20" s="15">
        <f t="shared" si="0"/>
        <v>4820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0.55999999999999994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140</v>
      </c>
      <c r="F21" s="30" t="s">
        <v>135</v>
      </c>
      <c r="G21" s="33">
        <v>1</v>
      </c>
      <c r="H21" s="35">
        <v>24</v>
      </c>
      <c r="I21" s="7">
        <v>70000</v>
      </c>
      <c r="J21" s="14">
        <v>10310</v>
      </c>
      <c r="K21" s="15">
        <f>L21+3150+7466+4534+7764+11032+11156+11220+10030+4886+5156+5465+5493+1986+8040+10452+11066+10928+10356+10230</f>
        <v>160720</v>
      </c>
      <c r="L21" s="15">
        <f>2719*2+2436*2</f>
        <v>10310</v>
      </c>
      <c r="M21" s="15">
        <f t="shared" si="0"/>
        <v>10310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0.55999999999999994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352</v>
      </c>
      <c r="F22" s="12" t="s">
        <v>114</v>
      </c>
      <c r="G22" s="12">
        <v>4</v>
      </c>
      <c r="H22" s="35">
        <v>20</v>
      </c>
      <c r="I22" s="7">
        <v>2000000</v>
      </c>
      <c r="J22" s="14">
        <v>63776</v>
      </c>
      <c r="K22" s="15">
        <f>L22+43956+57712</f>
        <v>165444</v>
      </c>
      <c r="L22" s="15">
        <f>7910*4+8034*4</f>
        <v>63776</v>
      </c>
      <c r="M22" s="15">
        <f t="shared" si="0"/>
        <v>63776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0.55999999999999994</v>
      </c>
      <c r="AF22" s="81">
        <f t="shared" si="7"/>
        <v>16</v>
      </c>
    </row>
    <row r="23" spans="1:32" ht="26.25" customHeight="1">
      <c r="A23" s="115">
        <v>17</v>
      </c>
      <c r="B23" s="11" t="s">
        <v>57</v>
      </c>
      <c r="C23" s="11"/>
      <c r="D23" s="52"/>
      <c r="E23" s="53"/>
      <c r="F23" s="12"/>
      <c r="G23" s="12"/>
      <c r="H23" s="35"/>
      <c r="I23" s="7">
        <v>0</v>
      </c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0.55999999999999994</v>
      </c>
      <c r="AF23" s="81">
        <f t="shared" si="7"/>
        <v>17</v>
      </c>
    </row>
    <row r="24" spans="1:32" ht="26.25" customHeight="1">
      <c r="A24" s="115">
        <v>18</v>
      </c>
      <c r="B24" s="11" t="s">
        <v>57</v>
      </c>
      <c r="C24" s="11" t="s">
        <v>116</v>
      </c>
      <c r="D24" s="52" t="s">
        <v>178</v>
      </c>
      <c r="E24" s="53" t="s">
        <v>353</v>
      </c>
      <c r="F24" s="12" t="s">
        <v>180</v>
      </c>
      <c r="G24" s="12">
        <v>4</v>
      </c>
      <c r="H24" s="35">
        <v>15</v>
      </c>
      <c r="I24" s="7">
        <v>20000</v>
      </c>
      <c r="J24" s="14">
        <v>2888</v>
      </c>
      <c r="K24" s="15">
        <f>L24+14040+7084</f>
        <v>24012</v>
      </c>
      <c r="L24" s="15">
        <f>722*4</f>
        <v>2888</v>
      </c>
      <c r="M24" s="15">
        <f t="shared" si="0"/>
        <v>2888</v>
      </c>
      <c r="N24" s="15">
        <v>0</v>
      </c>
      <c r="O24" s="58">
        <f t="shared" si="1"/>
        <v>0</v>
      </c>
      <c r="P24" s="39">
        <f t="shared" si="2"/>
        <v>4</v>
      </c>
      <c r="Q24" s="40">
        <f t="shared" si="3"/>
        <v>20</v>
      </c>
      <c r="R24" s="7"/>
      <c r="S24" s="6">
        <v>20</v>
      </c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0.16666666666666666</v>
      </c>
      <c r="AD24" s="10">
        <f t="shared" si="8"/>
        <v>0.16666666666666666</v>
      </c>
      <c r="AE24" s="36">
        <f t="shared" si="6"/>
        <v>0.55999999999999994</v>
      </c>
      <c r="AF24" s="81">
        <f t="shared" si="7"/>
        <v>18</v>
      </c>
    </row>
    <row r="25" spans="1:32" ht="21.75" customHeight="1">
      <c r="A25" s="92">
        <v>31</v>
      </c>
      <c r="B25" s="11" t="s">
        <v>57</v>
      </c>
      <c r="C25" s="11" t="s">
        <v>116</v>
      </c>
      <c r="D25" s="52" t="s">
        <v>115</v>
      </c>
      <c r="E25" s="53" t="s">
        <v>143</v>
      </c>
      <c r="F25" s="12" t="s">
        <v>135</v>
      </c>
      <c r="G25" s="12">
        <v>4</v>
      </c>
      <c r="H25" s="35">
        <v>20</v>
      </c>
      <c r="I25" s="7">
        <v>70000</v>
      </c>
      <c r="J25" s="14">
        <v>22300</v>
      </c>
      <c r="K25" s="15">
        <f>L25+22300</f>
        <v>22300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0.55999999999999994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 t="s">
        <v>172</v>
      </c>
      <c r="D26" s="52"/>
      <c r="E26" s="53" t="s">
        <v>413</v>
      </c>
      <c r="F26" s="12" t="s">
        <v>173</v>
      </c>
      <c r="G26" s="12">
        <v>2</v>
      </c>
      <c r="H26" s="35">
        <v>20</v>
      </c>
      <c r="I26" s="7">
        <v>24000</v>
      </c>
      <c r="J26" s="14">
        <v>30240</v>
      </c>
      <c r="K26" s="15">
        <f>L26</f>
        <v>30240</v>
      </c>
      <c r="L26" s="15">
        <f>6254*2+8866*2</f>
        <v>30240</v>
      </c>
      <c r="M26" s="15">
        <f t="shared" si="0"/>
        <v>30240</v>
      </c>
      <c r="N26" s="15">
        <v>0</v>
      </c>
      <c r="O26" s="58">
        <f t="shared" si="1"/>
        <v>0</v>
      </c>
      <c r="P26" s="39">
        <f t="shared" si="2"/>
        <v>23</v>
      </c>
      <c r="Q26" s="40">
        <f t="shared" si="3"/>
        <v>1</v>
      </c>
      <c r="R26" s="7"/>
      <c r="S26" s="6"/>
      <c r="T26" s="16"/>
      <c r="U26" s="16">
        <v>1</v>
      </c>
      <c r="V26" s="17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0.95833333333333337</v>
      </c>
      <c r="AD26" s="10">
        <f t="shared" si="8"/>
        <v>0.95833333333333337</v>
      </c>
      <c r="AE26" s="36">
        <f t="shared" si="6"/>
        <v>0.55999999999999994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115</v>
      </c>
      <c r="E27" s="53" t="s">
        <v>414</v>
      </c>
      <c r="F27" s="12" t="s">
        <v>135</v>
      </c>
      <c r="G27" s="12">
        <v>4</v>
      </c>
      <c r="H27" s="35">
        <v>20</v>
      </c>
      <c r="I27" s="7">
        <v>130000</v>
      </c>
      <c r="J27" s="14">
        <v>15220</v>
      </c>
      <c r="K27" s="15">
        <f>L27</f>
        <v>15220</v>
      </c>
      <c r="L27" s="15">
        <f>858*4+2947*4</f>
        <v>15220</v>
      </c>
      <c r="M27" s="15">
        <f t="shared" si="0"/>
        <v>15220</v>
      </c>
      <c r="N27" s="15">
        <v>0</v>
      </c>
      <c r="O27" s="58">
        <f t="shared" si="1"/>
        <v>0</v>
      </c>
      <c r="P27" s="39">
        <f t="shared" si="2"/>
        <v>16</v>
      </c>
      <c r="Q27" s="40">
        <f t="shared" si="3"/>
        <v>8</v>
      </c>
      <c r="R27" s="7"/>
      <c r="S27" s="6"/>
      <c r="T27" s="16">
        <v>8</v>
      </c>
      <c r="U27" s="16"/>
      <c r="V27" s="114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0.66666666666666663</v>
      </c>
      <c r="AD27" s="10">
        <f t="shared" si="8"/>
        <v>0.66666666666666663</v>
      </c>
      <c r="AE27" s="36">
        <f t="shared" si="6"/>
        <v>0.55999999999999994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197</v>
      </c>
      <c r="E28" s="53" t="s">
        <v>415</v>
      </c>
      <c r="F28" s="12" t="s">
        <v>124</v>
      </c>
      <c r="G28" s="12">
        <v>4</v>
      </c>
      <c r="H28" s="35">
        <v>20</v>
      </c>
      <c r="I28" s="7">
        <v>130000</v>
      </c>
      <c r="J28" s="14">
        <v>15632</v>
      </c>
      <c r="K28" s="15">
        <f>L28</f>
        <v>15632</v>
      </c>
      <c r="L28" s="15">
        <f>531*4+3377*4</f>
        <v>15632</v>
      </c>
      <c r="M28" s="15">
        <f t="shared" si="0"/>
        <v>15632</v>
      </c>
      <c r="N28" s="15">
        <v>0</v>
      </c>
      <c r="O28" s="58">
        <f t="shared" si="1"/>
        <v>0</v>
      </c>
      <c r="P28" s="39">
        <f t="shared" si="2"/>
        <v>16</v>
      </c>
      <c r="Q28" s="40">
        <f t="shared" si="3"/>
        <v>8</v>
      </c>
      <c r="R28" s="7"/>
      <c r="S28" s="6"/>
      <c r="T28" s="16">
        <v>8</v>
      </c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0.66666666666666663</v>
      </c>
      <c r="AD28" s="10">
        <f t="shared" si="8"/>
        <v>0.66666666666666663</v>
      </c>
      <c r="AE28" s="36">
        <f t="shared" si="6"/>
        <v>0.55999999999999994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416</v>
      </c>
      <c r="F29" s="12" t="s">
        <v>124</v>
      </c>
      <c r="G29" s="12">
        <v>4</v>
      </c>
      <c r="H29" s="35">
        <v>20</v>
      </c>
      <c r="I29" s="7">
        <v>130000</v>
      </c>
      <c r="J29" s="14">
        <v>26944</v>
      </c>
      <c r="K29" s="15">
        <f>L29</f>
        <v>0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0.55999999999999994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144</v>
      </c>
      <c r="F30" s="12" t="s">
        <v>114</v>
      </c>
      <c r="G30" s="12">
        <v>4</v>
      </c>
      <c r="H30" s="35">
        <v>20</v>
      </c>
      <c r="I30" s="7">
        <v>1000000</v>
      </c>
      <c r="J30" s="14">
        <v>79328</v>
      </c>
      <c r="K30" s="15">
        <f>L30+28388+70816+76368+81764+83428+47688+53180+83092+82192+79328</f>
        <v>686244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>
        <v>24</v>
      </c>
      <c r="W30" s="5"/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0.55999999999999994</v>
      </c>
      <c r="AF30" s="81">
        <f t="shared" si="7"/>
        <v>36</v>
      </c>
    </row>
    <row r="31" spans="1:32" ht="19.5" thickBot="1">
      <c r="A31" s="452" t="s">
        <v>34</v>
      </c>
      <c r="B31" s="453"/>
      <c r="C31" s="453"/>
      <c r="D31" s="453"/>
      <c r="E31" s="453"/>
      <c r="F31" s="453"/>
      <c r="G31" s="453"/>
      <c r="H31" s="454"/>
      <c r="I31" s="22">
        <f t="shared" ref="I31:N31" si="17">SUM(I6:I30)</f>
        <v>4746800</v>
      </c>
      <c r="J31" s="19">
        <f t="shared" si="17"/>
        <v>359213</v>
      </c>
      <c r="K31" s="20">
        <f t="shared" si="17"/>
        <v>1476325</v>
      </c>
      <c r="L31" s="21">
        <f t="shared" si="17"/>
        <v>221760</v>
      </c>
      <c r="M31" s="20">
        <f t="shared" si="17"/>
        <v>221760</v>
      </c>
      <c r="N31" s="21">
        <f t="shared" si="17"/>
        <v>0</v>
      </c>
      <c r="O31" s="41">
        <f t="shared" si="1"/>
        <v>0</v>
      </c>
      <c r="P31" s="42">
        <f t="shared" ref="P31:AA31" si="18">SUM(P6:P30)</f>
        <v>336</v>
      </c>
      <c r="Q31" s="43">
        <f t="shared" si="18"/>
        <v>264</v>
      </c>
      <c r="R31" s="23">
        <f t="shared" si="18"/>
        <v>0</v>
      </c>
      <c r="S31" s="24">
        <f t="shared" si="18"/>
        <v>49</v>
      </c>
      <c r="T31" s="24">
        <f t="shared" si="18"/>
        <v>18</v>
      </c>
      <c r="U31" s="24">
        <f t="shared" si="18"/>
        <v>1</v>
      </c>
      <c r="V31" s="25">
        <f t="shared" si="18"/>
        <v>48</v>
      </c>
      <c r="W31" s="26">
        <f t="shared" si="18"/>
        <v>124</v>
      </c>
      <c r="X31" s="27">
        <f t="shared" si="18"/>
        <v>0</v>
      </c>
      <c r="Y31" s="27">
        <f t="shared" si="18"/>
        <v>0</v>
      </c>
      <c r="Z31" s="27">
        <f t="shared" si="18"/>
        <v>0</v>
      </c>
      <c r="AA31" s="27">
        <f t="shared" si="18"/>
        <v>24</v>
      </c>
      <c r="AB31" s="28">
        <f>AVERAGE(AB6:AB30)</f>
        <v>0.75</v>
      </c>
      <c r="AC31" s="4">
        <f>AVERAGE(AC6:AC30)</f>
        <v>0.55999999999999994</v>
      </c>
      <c r="AD31" s="4">
        <f>AVERAGE(AD6:AD30)</f>
        <v>0.55999999999999994</v>
      </c>
      <c r="AE31" s="29"/>
    </row>
    <row r="32" spans="1:32">
      <c r="T32" s="50" t="s">
        <v>127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128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55" t="s">
        <v>45</v>
      </c>
      <c r="B58" s="455"/>
      <c r="C58" s="455"/>
      <c r="D58" s="455"/>
      <c r="E58" s="455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56" t="s">
        <v>417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8"/>
      <c r="N59" s="459" t="s">
        <v>430</v>
      </c>
      <c r="O59" s="460"/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460"/>
      <c r="AD59" s="461"/>
    </row>
    <row r="60" spans="1:32" ht="27" customHeight="1">
      <c r="A60" s="462" t="s">
        <v>2</v>
      </c>
      <c r="B60" s="463"/>
      <c r="C60" s="181" t="s">
        <v>46</v>
      </c>
      <c r="D60" s="181" t="s">
        <v>47</v>
      </c>
      <c r="E60" s="181" t="s">
        <v>107</v>
      </c>
      <c r="F60" s="464" t="s">
        <v>106</v>
      </c>
      <c r="G60" s="465"/>
      <c r="H60" s="465"/>
      <c r="I60" s="465"/>
      <c r="J60" s="465"/>
      <c r="K60" s="465"/>
      <c r="L60" s="465"/>
      <c r="M60" s="466"/>
      <c r="N60" s="67" t="s">
        <v>110</v>
      </c>
      <c r="O60" s="181" t="s">
        <v>46</v>
      </c>
      <c r="P60" s="464" t="s">
        <v>47</v>
      </c>
      <c r="Q60" s="467"/>
      <c r="R60" s="464" t="s">
        <v>38</v>
      </c>
      <c r="S60" s="465"/>
      <c r="T60" s="465"/>
      <c r="U60" s="467"/>
      <c r="V60" s="464" t="s">
        <v>48</v>
      </c>
      <c r="W60" s="465"/>
      <c r="X60" s="465"/>
      <c r="Y60" s="465"/>
      <c r="Z60" s="465"/>
      <c r="AA60" s="465"/>
      <c r="AB60" s="465"/>
      <c r="AC60" s="465"/>
      <c r="AD60" s="466"/>
    </row>
    <row r="61" spans="1:32" ht="27" customHeight="1">
      <c r="A61" s="430" t="s">
        <v>126</v>
      </c>
      <c r="B61" s="431"/>
      <c r="C61" s="182" t="s">
        <v>139</v>
      </c>
      <c r="D61" s="182" t="s">
        <v>197</v>
      </c>
      <c r="E61" s="183" t="s">
        <v>397</v>
      </c>
      <c r="F61" s="432" t="s">
        <v>154</v>
      </c>
      <c r="G61" s="433"/>
      <c r="H61" s="433"/>
      <c r="I61" s="433"/>
      <c r="J61" s="433"/>
      <c r="K61" s="433"/>
      <c r="L61" s="433"/>
      <c r="M61" s="434"/>
      <c r="N61" s="141" t="s">
        <v>431</v>
      </c>
      <c r="O61" s="188" t="s">
        <v>432</v>
      </c>
      <c r="P61" s="447"/>
      <c r="Q61" s="448"/>
      <c r="R61" s="447" t="s">
        <v>433</v>
      </c>
      <c r="S61" s="449"/>
      <c r="T61" s="449"/>
      <c r="U61" s="448"/>
      <c r="V61" s="436" t="s">
        <v>154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112</v>
      </c>
      <c r="B62" s="431"/>
      <c r="C62" s="182" t="s">
        <v>418</v>
      </c>
      <c r="D62" s="182" t="s">
        <v>115</v>
      </c>
      <c r="E62" s="183" t="s">
        <v>419</v>
      </c>
      <c r="F62" s="432" t="s">
        <v>420</v>
      </c>
      <c r="G62" s="433"/>
      <c r="H62" s="433"/>
      <c r="I62" s="433"/>
      <c r="J62" s="433"/>
      <c r="K62" s="433"/>
      <c r="L62" s="433"/>
      <c r="M62" s="434"/>
      <c r="N62" s="141" t="s">
        <v>112</v>
      </c>
      <c r="O62" s="188" t="s">
        <v>146</v>
      </c>
      <c r="P62" s="447" t="s">
        <v>115</v>
      </c>
      <c r="Q62" s="448"/>
      <c r="R62" s="447" t="s">
        <v>392</v>
      </c>
      <c r="S62" s="449"/>
      <c r="T62" s="449"/>
      <c r="U62" s="448"/>
      <c r="V62" s="436" t="s">
        <v>141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126</v>
      </c>
      <c r="B63" s="431"/>
      <c r="C63" s="182" t="s">
        <v>166</v>
      </c>
      <c r="D63" s="182" t="s">
        <v>115</v>
      </c>
      <c r="E63" s="183" t="s">
        <v>410</v>
      </c>
      <c r="F63" s="432" t="s">
        <v>421</v>
      </c>
      <c r="G63" s="433"/>
      <c r="H63" s="433"/>
      <c r="I63" s="433"/>
      <c r="J63" s="433"/>
      <c r="K63" s="433"/>
      <c r="L63" s="433"/>
      <c r="M63" s="434"/>
      <c r="N63" s="141" t="s">
        <v>126</v>
      </c>
      <c r="O63" s="188" t="s">
        <v>166</v>
      </c>
      <c r="P63" s="447" t="s">
        <v>115</v>
      </c>
      <c r="Q63" s="448"/>
      <c r="R63" s="447" t="s">
        <v>434</v>
      </c>
      <c r="S63" s="449"/>
      <c r="T63" s="449"/>
      <c r="U63" s="448"/>
      <c r="V63" s="436" t="s">
        <v>154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126</v>
      </c>
      <c r="B64" s="431"/>
      <c r="C64" s="182" t="s">
        <v>166</v>
      </c>
      <c r="D64" s="182" t="s">
        <v>290</v>
      </c>
      <c r="E64" s="199" t="s">
        <v>409</v>
      </c>
      <c r="F64" s="436" t="s">
        <v>154</v>
      </c>
      <c r="G64" s="437"/>
      <c r="H64" s="437"/>
      <c r="I64" s="437"/>
      <c r="J64" s="437"/>
      <c r="K64" s="437"/>
      <c r="L64" s="437"/>
      <c r="M64" s="438"/>
      <c r="N64" s="141" t="s">
        <v>436</v>
      </c>
      <c r="O64" s="188" t="s">
        <v>437</v>
      </c>
      <c r="P64" s="447" t="s">
        <v>438</v>
      </c>
      <c r="Q64" s="448"/>
      <c r="R64" s="447" t="s">
        <v>435</v>
      </c>
      <c r="S64" s="449"/>
      <c r="T64" s="449"/>
      <c r="U64" s="448"/>
      <c r="V64" s="436" t="s">
        <v>141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116</v>
      </c>
      <c r="B65" s="431"/>
      <c r="C65" s="198" t="s">
        <v>368</v>
      </c>
      <c r="D65" s="198" t="s">
        <v>197</v>
      </c>
      <c r="E65" s="199" t="s">
        <v>366</v>
      </c>
      <c r="F65" s="432" t="s">
        <v>422</v>
      </c>
      <c r="G65" s="433"/>
      <c r="H65" s="433"/>
      <c r="I65" s="433"/>
      <c r="J65" s="433"/>
      <c r="K65" s="433"/>
      <c r="L65" s="433"/>
      <c r="M65" s="434"/>
      <c r="N65" s="141" t="s">
        <v>436</v>
      </c>
      <c r="O65" s="188" t="s">
        <v>439</v>
      </c>
      <c r="P65" s="447" t="s">
        <v>440</v>
      </c>
      <c r="Q65" s="448"/>
      <c r="R65" s="447" t="s">
        <v>416</v>
      </c>
      <c r="S65" s="449"/>
      <c r="T65" s="449"/>
      <c r="U65" s="448"/>
      <c r="V65" s="436" t="s">
        <v>154</v>
      </c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112</v>
      </c>
      <c r="B66" s="431"/>
      <c r="C66" s="198" t="s">
        <v>299</v>
      </c>
      <c r="D66" s="198" t="s">
        <v>297</v>
      </c>
      <c r="E66" s="199" t="s">
        <v>353</v>
      </c>
      <c r="F66" s="432" t="s">
        <v>395</v>
      </c>
      <c r="G66" s="433"/>
      <c r="H66" s="433"/>
      <c r="I66" s="433"/>
      <c r="J66" s="433"/>
      <c r="K66" s="433"/>
      <c r="L66" s="433"/>
      <c r="M66" s="434"/>
      <c r="N66" s="141"/>
      <c r="O66" s="188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423</v>
      </c>
      <c r="B67" s="431"/>
      <c r="C67" s="182" t="s">
        <v>424</v>
      </c>
      <c r="D67" s="182"/>
      <c r="E67" s="183" t="s">
        <v>427</v>
      </c>
      <c r="F67" s="436" t="s">
        <v>154</v>
      </c>
      <c r="G67" s="437"/>
      <c r="H67" s="437"/>
      <c r="I67" s="437"/>
      <c r="J67" s="437"/>
      <c r="K67" s="437"/>
      <c r="L67" s="437"/>
      <c r="M67" s="438"/>
      <c r="N67" s="141"/>
      <c r="O67" s="188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 t="s">
        <v>126</v>
      </c>
      <c r="B68" s="431"/>
      <c r="C68" s="182" t="s">
        <v>426</v>
      </c>
      <c r="D68" s="182"/>
      <c r="E68" s="183" t="s">
        <v>425</v>
      </c>
      <c r="F68" s="436" t="s">
        <v>154</v>
      </c>
      <c r="G68" s="437"/>
      <c r="H68" s="437"/>
      <c r="I68" s="437"/>
      <c r="J68" s="437"/>
      <c r="K68" s="437"/>
      <c r="L68" s="437"/>
      <c r="M68" s="438"/>
      <c r="N68" s="141"/>
      <c r="O68" s="188"/>
      <c r="P68" s="447"/>
      <c r="Q68" s="448"/>
      <c r="R68" s="447"/>
      <c r="S68" s="449"/>
      <c r="T68" s="449"/>
      <c r="U68" s="448"/>
      <c r="V68" s="436"/>
      <c r="W68" s="437"/>
      <c r="X68" s="437"/>
      <c r="Y68" s="437"/>
      <c r="Z68" s="437"/>
      <c r="AA68" s="437"/>
      <c r="AB68" s="437"/>
      <c r="AC68" s="437"/>
      <c r="AD68" s="438"/>
    </row>
    <row r="69" spans="1:32" ht="27" customHeight="1">
      <c r="A69" s="430" t="s">
        <v>116</v>
      </c>
      <c r="B69" s="431"/>
      <c r="C69" s="182" t="s">
        <v>428</v>
      </c>
      <c r="D69" s="182" t="s">
        <v>429</v>
      </c>
      <c r="E69" s="183" t="s">
        <v>414</v>
      </c>
      <c r="F69" s="436" t="s">
        <v>154</v>
      </c>
      <c r="G69" s="437"/>
      <c r="H69" s="437"/>
      <c r="I69" s="437"/>
      <c r="J69" s="437"/>
      <c r="K69" s="437"/>
      <c r="L69" s="437"/>
      <c r="M69" s="438"/>
      <c r="N69" s="141"/>
      <c r="O69" s="188"/>
      <c r="P69" s="435"/>
      <c r="Q69" s="435"/>
      <c r="R69" s="435"/>
      <c r="S69" s="435"/>
      <c r="T69" s="435"/>
      <c r="U69" s="435"/>
      <c r="V69" s="436"/>
      <c r="W69" s="437"/>
      <c r="X69" s="437"/>
      <c r="Y69" s="437"/>
      <c r="Z69" s="437"/>
      <c r="AA69" s="437"/>
      <c r="AB69" s="437"/>
      <c r="AC69" s="437"/>
      <c r="AD69" s="438"/>
      <c r="AF69" s="81">
        <f>8*3000</f>
        <v>24000</v>
      </c>
    </row>
    <row r="70" spans="1:32" ht="27" customHeight="1" thickBot="1">
      <c r="A70" s="439"/>
      <c r="B70" s="440"/>
      <c r="C70" s="184"/>
      <c r="D70" s="185"/>
      <c r="E70" s="184"/>
      <c r="F70" s="490"/>
      <c r="G70" s="491"/>
      <c r="H70" s="491"/>
      <c r="I70" s="491"/>
      <c r="J70" s="491"/>
      <c r="K70" s="491"/>
      <c r="L70" s="491"/>
      <c r="M70" s="492"/>
      <c r="N70" s="105"/>
      <c r="O70" s="97"/>
      <c r="P70" s="444"/>
      <c r="Q70" s="444"/>
      <c r="R70" s="444"/>
      <c r="S70" s="444"/>
      <c r="T70" s="444"/>
      <c r="U70" s="444"/>
      <c r="V70" s="445"/>
      <c r="W70" s="445"/>
      <c r="X70" s="445"/>
      <c r="Y70" s="445"/>
      <c r="Z70" s="445"/>
      <c r="AA70" s="445"/>
      <c r="AB70" s="445"/>
      <c r="AC70" s="445"/>
      <c r="AD70" s="446"/>
      <c r="AF70" s="81">
        <f>16*3000</f>
        <v>48000</v>
      </c>
    </row>
    <row r="71" spans="1:32" ht="27.75" thickBot="1">
      <c r="A71" s="428" t="s">
        <v>441</v>
      </c>
      <c r="B71" s="428"/>
      <c r="C71" s="428"/>
      <c r="D71" s="428"/>
      <c r="E71" s="428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29" t="s">
        <v>111</v>
      </c>
      <c r="B72" s="426"/>
      <c r="C72" s="186" t="s">
        <v>2</v>
      </c>
      <c r="D72" s="186" t="s">
        <v>37</v>
      </c>
      <c r="E72" s="186" t="s">
        <v>3</v>
      </c>
      <c r="F72" s="426" t="s">
        <v>109</v>
      </c>
      <c r="G72" s="426"/>
      <c r="H72" s="426"/>
      <c r="I72" s="426"/>
      <c r="J72" s="426"/>
      <c r="K72" s="426" t="s">
        <v>39</v>
      </c>
      <c r="L72" s="426"/>
      <c r="M72" s="186" t="s">
        <v>40</v>
      </c>
      <c r="N72" s="426" t="s">
        <v>41</v>
      </c>
      <c r="O72" s="426"/>
      <c r="P72" s="423" t="s">
        <v>42</v>
      </c>
      <c r="Q72" s="425"/>
      <c r="R72" s="423" t="s">
        <v>43</v>
      </c>
      <c r="S72" s="424"/>
      <c r="T72" s="424"/>
      <c r="U72" s="424"/>
      <c r="V72" s="424"/>
      <c r="W72" s="424"/>
      <c r="X72" s="424"/>
      <c r="Y72" s="424"/>
      <c r="Z72" s="424"/>
      <c r="AA72" s="425"/>
      <c r="AB72" s="426" t="s">
        <v>44</v>
      </c>
      <c r="AC72" s="426"/>
      <c r="AD72" s="427"/>
      <c r="AF72" s="81">
        <f>SUM(AF69:AF71)</f>
        <v>96000</v>
      </c>
    </row>
    <row r="73" spans="1:32" ht="25.5" customHeight="1">
      <c r="A73" s="414">
        <v>1</v>
      </c>
      <c r="B73" s="415"/>
      <c r="C73" s="98" t="s">
        <v>116</v>
      </c>
      <c r="D73" s="190"/>
      <c r="E73" s="187" t="s">
        <v>440</v>
      </c>
      <c r="F73" s="416" t="s">
        <v>377</v>
      </c>
      <c r="G73" s="406"/>
      <c r="H73" s="406"/>
      <c r="I73" s="406"/>
      <c r="J73" s="406"/>
      <c r="K73" s="406" t="s">
        <v>165</v>
      </c>
      <c r="L73" s="406"/>
      <c r="M73" s="51" t="s">
        <v>248</v>
      </c>
      <c r="N73" s="417" t="s">
        <v>442</v>
      </c>
      <c r="O73" s="417"/>
      <c r="P73" s="418">
        <v>50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2</v>
      </c>
      <c r="B74" s="415"/>
      <c r="C74" s="98" t="s">
        <v>116</v>
      </c>
      <c r="D74" s="190"/>
      <c r="E74" s="187" t="s">
        <v>440</v>
      </c>
      <c r="F74" s="420" t="s">
        <v>443</v>
      </c>
      <c r="G74" s="421"/>
      <c r="H74" s="421"/>
      <c r="I74" s="421"/>
      <c r="J74" s="422"/>
      <c r="K74" s="406" t="s">
        <v>165</v>
      </c>
      <c r="L74" s="406"/>
      <c r="M74" s="51" t="s">
        <v>248</v>
      </c>
      <c r="N74" s="417" t="s">
        <v>442</v>
      </c>
      <c r="O74" s="417"/>
      <c r="P74" s="418">
        <v>100</v>
      </c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3</v>
      </c>
      <c r="B75" s="415"/>
      <c r="C75" s="98" t="s">
        <v>445</v>
      </c>
      <c r="D75" s="190"/>
      <c r="E75" s="187" t="s">
        <v>438</v>
      </c>
      <c r="F75" s="416" t="s">
        <v>444</v>
      </c>
      <c r="G75" s="406"/>
      <c r="H75" s="406"/>
      <c r="I75" s="406"/>
      <c r="J75" s="406"/>
      <c r="K75" s="406" t="s">
        <v>446</v>
      </c>
      <c r="L75" s="406"/>
      <c r="M75" s="51" t="s">
        <v>248</v>
      </c>
      <c r="N75" s="417" t="s">
        <v>204</v>
      </c>
      <c r="O75" s="417"/>
      <c r="P75" s="418">
        <v>100</v>
      </c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4</v>
      </c>
      <c r="B76" s="415"/>
      <c r="C76" s="98"/>
      <c r="D76" s="190"/>
      <c r="E76" s="187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5</v>
      </c>
      <c r="B77" s="415"/>
      <c r="C77" s="98"/>
      <c r="D77" s="190"/>
      <c r="E77" s="187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6</v>
      </c>
      <c r="B78" s="415"/>
      <c r="C78" s="98"/>
      <c r="D78" s="190"/>
      <c r="E78" s="187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7</v>
      </c>
      <c r="B79" s="415"/>
      <c r="C79" s="98"/>
      <c r="D79" s="190"/>
      <c r="E79" s="187"/>
      <c r="F79" s="420"/>
      <c r="G79" s="421"/>
      <c r="H79" s="421"/>
      <c r="I79" s="421"/>
      <c r="J79" s="422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8</v>
      </c>
      <c r="B80" s="415"/>
      <c r="C80" s="98"/>
      <c r="D80" s="190"/>
      <c r="E80" s="187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9</v>
      </c>
      <c r="B81" s="415"/>
      <c r="C81" s="98"/>
      <c r="D81" s="190"/>
      <c r="E81" s="187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5.5" customHeight="1">
      <c r="A82" s="414">
        <v>10</v>
      </c>
      <c r="B82" s="415"/>
      <c r="C82" s="98"/>
      <c r="D82" s="190"/>
      <c r="E82" s="187"/>
      <c r="F82" s="416"/>
      <c r="G82" s="406"/>
      <c r="H82" s="406"/>
      <c r="I82" s="406"/>
      <c r="J82" s="406"/>
      <c r="K82" s="406"/>
      <c r="L82" s="406"/>
      <c r="M82" s="51"/>
      <c r="N82" s="417"/>
      <c r="O82" s="417"/>
      <c r="P82" s="418"/>
      <c r="Q82" s="418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06"/>
      <c r="AC82" s="406"/>
      <c r="AD82" s="407"/>
      <c r="AF82" s="50"/>
    </row>
    <row r="83" spans="1:32" ht="26.25" customHeight="1" thickBot="1">
      <c r="A83" s="386" t="s">
        <v>447</v>
      </c>
      <c r="B83" s="386"/>
      <c r="C83" s="386"/>
      <c r="D83" s="386"/>
      <c r="E83" s="386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408" t="s">
        <v>111</v>
      </c>
      <c r="B84" s="409"/>
      <c r="C84" s="189" t="s">
        <v>2</v>
      </c>
      <c r="D84" s="189" t="s">
        <v>37</v>
      </c>
      <c r="E84" s="189" t="s">
        <v>120</v>
      </c>
      <c r="F84" s="388" t="s">
        <v>38</v>
      </c>
      <c r="G84" s="388"/>
      <c r="H84" s="388"/>
      <c r="I84" s="388"/>
      <c r="J84" s="388"/>
      <c r="K84" s="410" t="s">
        <v>58</v>
      </c>
      <c r="L84" s="411"/>
      <c r="M84" s="411"/>
      <c r="N84" s="411"/>
      <c r="O84" s="411"/>
      <c r="P84" s="411"/>
      <c r="Q84" s="411"/>
      <c r="R84" s="411"/>
      <c r="S84" s="412"/>
      <c r="T84" s="388" t="s">
        <v>49</v>
      </c>
      <c r="U84" s="388"/>
      <c r="V84" s="410" t="s">
        <v>50</v>
      </c>
      <c r="W84" s="412"/>
      <c r="X84" s="411" t="s">
        <v>51</v>
      </c>
      <c r="Y84" s="411"/>
      <c r="Z84" s="411"/>
      <c r="AA84" s="411"/>
      <c r="AB84" s="411"/>
      <c r="AC84" s="411"/>
      <c r="AD84" s="413"/>
      <c r="AF84" s="50"/>
    </row>
    <row r="85" spans="1:32" ht="33.75" customHeight="1">
      <c r="A85" s="380">
        <v>1</v>
      </c>
      <c r="B85" s="381"/>
      <c r="C85" s="191"/>
      <c r="D85" s="191"/>
      <c r="E85" s="65"/>
      <c r="F85" s="395"/>
      <c r="G85" s="396"/>
      <c r="H85" s="396"/>
      <c r="I85" s="396"/>
      <c r="J85" s="397"/>
      <c r="K85" s="398"/>
      <c r="L85" s="399"/>
      <c r="M85" s="399"/>
      <c r="N85" s="399"/>
      <c r="O85" s="399"/>
      <c r="P85" s="399"/>
      <c r="Q85" s="399"/>
      <c r="R85" s="399"/>
      <c r="S85" s="400"/>
      <c r="T85" s="401"/>
      <c r="U85" s="402"/>
      <c r="V85" s="403"/>
      <c r="W85" s="403"/>
      <c r="X85" s="404"/>
      <c r="Y85" s="404"/>
      <c r="Z85" s="404"/>
      <c r="AA85" s="404"/>
      <c r="AB85" s="404"/>
      <c r="AC85" s="404"/>
      <c r="AD85" s="405"/>
      <c r="AF85" s="50"/>
    </row>
    <row r="86" spans="1:32" ht="30" customHeight="1">
      <c r="A86" s="373">
        <f>A85+1</f>
        <v>2</v>
      </c>
      <c r="B86" s="374"/>
      <c r="C86" s="190"/>
      <c r="D86" s="190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ref="A87:A91" si="19">A86+1</f>
        <v>3</v>
      </c>
      <c r="B87" s="374"/>
      <c r="C87" s="190"/>
      <c r="D87" s="190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9"/>
        <v>4</v>
      </c>
      <c r="B88" s="374"/>
      <c r="C88" s="190"/>
      <c r="D88" s="190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9"/>
        <v>5</v>
      </c>
      <c r="B89" s="374"/>
      <c r="C89" s="190"/>
      <c r="D89" s="190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9"/>
        <v>6</v>
      </c>
      <c r="B90" s="374"/>
      <c r="C90" s="190"/>
      <c r="D90" s="190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0" customHeight="1">
      <c r="A91" s="373">
        <f t="shared" si="19"/>
        <v>7</v>
      </c>
      <c r="B91" s="374"/>
      <c r="C91" s="190"/>
      <c r="D91" s="190"/>
      <c r="E91" s="32"/>
      <c r="F91" s="374"/>
      <c r="G91" s="374"/>
      <c r="H91" s="374"/>
      <c r="I91" s="374"/>
      <c r="J91" s="374"/>
      <c r="K91" s="389"/>
      <c r="L91" s="390"/>
      <c r="M91" s="390"/>
      <c r="N91" s="390"/>
      <c r="O91" s="390"/>
      <c r="P91" s="390"/>
      <c r="Q91" s="390"/>
      <c r="R91" s="390"/>
      <c r="S91" s="391"/>
      <c r="T91" s="392"/>
      <c r="U91" s="392"/>
      <c r="V91" s="392"/>
      <c r="W91" s="392"/>
      <c r="X91" s="393"/>
      <c r="Y91" s="393"/>
      <c r="Z91" s="393"/>
      <c r="AA91" s="393"/>
      <c r="AB91" s="393"/>
      <c r="AC91" s="393"/>
      <c r="AD91" s="394"/>
      <c r="AF91" s="50"/>
    </row>
    <row r="92" spans="1:32" ht="36" thickBot="1">
      <c r="A92" s="386" t="s">
        <v>448</v>
      </c>
      <c r="B92" s="386"/>
      <c r="C92" s="386"/>
      <c r="D92" s="386"/>
      <c r="E92" s="386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87" t="s">
        <v>111</v>
      </c>
      <c r="B93" s="388"/>
      <c r="C93" s="378" t="s">
        <v>52</v>
      </c>
      <c r="D93" s="378"/>
      <c r="E93" s="378" t="s">
        <v>53</v>
      </c>
      <c r="F93" s="378"/>
      <c r="G93" s="378"/>
      <c r="H93" s="378"/>
      <c r="I93" s="378"/>
      <c r="J93" s="378"/>
      <c r="K93" s="378" t="s">
        <v>54</v>
      </c>
      <c r="L93" s="378"/>
      <c r="M93" s="378"/>
      <c r="N93" s="378"/>
      <c r="O93" s="378"/>
      <c r="P93" s="378"/>
      <c r="Q93" s="378"/>
      <c r="R93" s="378"/>
      <c r="S93" s="378"/>
      <c r="T93" s="378" t="s">
        <v>55</v>
      </c>
      <c r="U93" s="378"/>
      <c r="V93" s="378" t="s">
        <v>56</v>
      </c>
      <c r="W93" s="378"/>
      <c r="X93" s="378"/>
      <c r="Y93" s="378" t="s">
        <v>51</v>
      </c>
      <c r="Z93" s="378"/>
      <c r="AA93" s="378"/>
      <c r="AB93" s="378"/>
      <c r="AC93" s="378"/>
      <c r="AD93" s="379"/>
      <c r="AF93" s="50"/>
    </row>
    <row r="94" spans="1:32" ht="30.75" customHeight="1">
      <c r="A94" s="380">
        <v>1</v>
      </c>
      <c r="B94" s="381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3"/>
      <c r="W94" s="383"/>
      <c r="X94" s="383"/>
      <c r="Y94" s="384"/>
      <c r="Z94" s="384"/>
      <c r="AA94" s="384"/>
      <c r="AB94" s="384"/>
      <c r="AC94" s="384"/>
      <c r="AD94" s="385"/>
      <c r="AF94" s="50"/>
    </row>
    <row r="95" spans="1:32" ht="30.75" customHeight="1">
      <c r="A95" s="373">
        <v>2</v>
      </c>
      <c r="B95" s="374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6"/>
      <c r="U95" s="376"/>
      <c r="V95" s="377"/>
      <c r="W95" s="377"/>
      <c r="X95" s="377"/>
      <c r="Y95" s="365"/>
      <c r="Z95" s="365"/>
      <c r="AA95" s="365"/>
      <c r="AB95" s="365"/>
      <c r="AC95" s="365"/>
      <c r="AD95" s="366"/>
      <c r="AF95" s="50"/>
    </row>
    <row r="96" spans="1:32" ht="30.75" customHeight="1" thickBot="1">
      <c r="A96" s="367">
        <v>3</v>
      </c>
      <c r="B96" s="368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70"/>
      <c r="W96" s="370"/>
      <c r="X96" s="370"/>
      <c r="Y96" s="371"/>
      <c r="Z96" s="371"/>
      <c r="AA96" s="371"/>
      <c r="AB96" s="371"/>
      <c r="AC96" s="371"/>
      <c r="AD96" s="372"/>
      <c r="AF96" s="50"/>
    </row>
  </sheetData>
  <mergeCells count="232"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5C80-D2CC-4F67-8053-6AD6F1F93848}">
  <sheetPr codeName="Sheet8">
    <pageSetUpPr fitToPage="1"/>
  </sheetPr>
  <dimension ref="A1:AF95"/>
  <sheetViews>
    <sheetView view="pageBreakPreview" topLeftCell="A19" zoomScale="70" zoomScaleNormal="72" zoomScaleSheetLayoutView="70" workbookViewId="0">
      <selection activeCell="F86" sqref="F86:J8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449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203" t="s">
        <v>17</v>
      </c>
      <c r="L5" s="203" t="s">
        <v>18</v>
      </c>
      <c r="M5" s="203" t="s">
        <v>19</v>
      </c>
      <c r="N5" s="20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197</v>
      </c>
      <c r="E6" s="53" t="s">
        <v>397</v>
      </c>
      <c r="F6" s="30" t="s">
        <v>150</v>
      </c>
      <c r="G6" s="12">
        <v>2</v>
      </c>
      <c r="H6" s="13">
        <v>24</v>
      </c>
      <c r="I6" s="31">
        <v>5500</v>
      </c>
      <c r="J6" s="14">
        <v>9700</v>
      </c>
      <c r="K6" s="15">
        <f>L6+9700</f>
        <v>9700</v>
      </c>
      <c r="L6" s="15"/>
      <c r="M6" s="15">
        <f t="shared" ref="M6:M29" si="0">L6-N6</f>
        <v>0</v>
      </c>
      <c r="N6" s="15">
        <v>0</v>
      </c>
      <c r="O6" s="58" t="str">
        <f t="shared" ref="O6:O30" si="1">IF(L6=0,"0",N6/L6)</f>
        <v>0</v>
      </c>
      <c r="P6" s="39" t="str">
        <f t="shared" ref="P6:P29" si="2">IF(L6=0,"0",(24-Q6))</f>
        <v>0</v>
      </c>
      <c r="Q6" s="40">
        <f t="shared" ref="Q6:Q29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9" si="4">IF(J6=0,"0",(L6/J6))</f>
        <v>0</v>
      </c>
      <c r="AC6" s="9">
        <f t="shared" ref="AC6:AC29" si="5">IF(P6=0,"0",(P6/24))</f>
        <v>0</v>
      </c>
      <c r="AD6" s="10">
        <f>AC6*AB6*(1-O6)</f>
        <v>0</v>
      </c>
      <c r="AE6" s="36">
        <f t="shared" ref="AE6:AE29" si="6">$AD$30</f>
        <v>0.58159722222222221</v>
      </c>
      <c r="AF6" s="81">
        <f t="shared" ref="AF6:AF29" si="7">A6</f>
        <v>1</v>
      </c>
    </row>
    <row r="7" spans="1:32" ht="27" customHeight="1">
      <c r="A7" s="106">
        <v>2</v>
      </c>
      <c r="B7" s="11" t="s">
        <v>57</v>
      </c>
      <c r="C7" s="34" t="s">
        <v>431</v>
      </c>
      <c r="D7" s="52" t="s">
        <v>450</v>
      </c>
      <c r="E7" s="53" t="s">
        <v>433</v>
      </c>
      <c r="F7" s="30" t="s">
        <v>451</v>
      </c>
      <c r="G7" s="12">
        <v>4</v>
      </c>
      <c r="H7" s="13">
        <v>24</v>
      </c>
      <c r="I7" s="31">
        <v>10000</v>
      </c>
      <c r="J7" s="14">
        <v>14072</v>
      </c>
      <c r="K7" s="15">
        <f>L7</f>
        <v>14072</v>
      </c>
      <c r="L7" s="15">
        <f>2352*4+1166*4</f>
        <v>14072</v>
      </c>
      <c r="M7" s="15">
        <f t="shared" si="0"/>
        <v>14072</v>
      </c>
      <c r="N7" s="15">
        <v>0</v>
      </c>
      <c r="O7" s="58">
        <f t="shared" si="1"/>
        <v>0</v>
      </c>
      <c r="P7" s="39">
        <f t="shared" si="2"/>
        <v>15</v>
      </c>
      <c r="Q7" s="40">
        <f t="shared" si="3"/>
        <v>9</v>
      </c>
      <c r="R7" s="7"/>
      <c r="S7" s="6">
        <v>5</v>
      </c>
      <c r="T7" s="16"/>
      <c r="U7" s="16"/>
      <c r="V7" s="17"/>
      <c r="W7" s="5">
        <v>4</v>
      </c>
      <c r="X7" s="16"/>
      <c r="Y7" s="16"/>
      <c r="Z7" s="16"/>
      <c r="AA7" s="18"/>
      <c r="AB7" s="8">
        <f t="shared" si="4"/>
        <v>1</v>
      </c>
      <c r="AC7" s="9">
        <f t="shared" si="5"/>
        <v>0.625</v>
      </c>
      <c r="AD7" s="10">
        <f t="shared" ref="AD7:AD29" si="8">AC7*AB7*(1-O7)</f>
        <v>0.625</v>
      </c>
      <c r="AE7" s="36">
        <f t="shared" si="6"/>
        <v>0.58159722222222221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392</v>
      </c>
      <c r="F8" s="30" t="s">
        <v>152</v>
      </c>
      <c r="G8" s="12">
        <v>1</v>
      </c>
      <c r="H8" s="13">
        <v>35</v>
      </c>
      <c r="I8" s="31">
        <v>3000</v>
      </c>
      <c r="J8" s="5">
        <v>747</v>
      </c>
      <c r="K8" s="15">
        <f>L8+587+104</f>
        <v>1438</v>
      </c>
      <c r="L8" s="15">
        <f>396+351</f>
        <v>747</v>
      </c>
      <c r="M8" s="15">
        <f t="shared" si="0"/>
        <v>747</v>
      </c>
      <c r="N8" s="15">
        <v>0</v>
      </c>
      <c r="O8" s="58">
        <f t="shared" si="1"/>
        <v>0</v>
      </c>
      <c r="P8" s="39">
        <f t="shared" si="2"/>
        <v>7</v>
      </c>
      <c r="Q8" s="40">
        <f t="shared" si="3"/>
        <v>17</v>
      </c>
      <c r="R8" s="7"/>
      <c r="S8" s="6">
        <v>17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0.29166666666666669</v>
      </c>
      <c r="AD8" s="10">
        <f t="shared" si="8"/>
        <v>0.29166666666666669</v>
      </c>
      <c r="AE8" s="36">
        <f t="shared" si="6"/>
        <v>0.58159722222222221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324</v>
      </c>
      <c r="F9" s="30" t="s">
        <v>348</v>
      </c>
      <c r="G9" s="12">
        <v>1</v>
      </c>
      <c r="H9" s="13">
        <v>24</v>
      </c>
      <c r="I9" s="7">
        <v>260000</v>
      </c>
      <c r="J9" s="14">
        <v>4338</v>
      </c>
      <c r="K9" s="15">
        <f>L9+4269+5331+5350</f>
        <v>19288</v>
      </c>
      <c r="L9" s="15">
        <f>2872+1466</f>
        <v>4338</v>
      </c>
      <c r="M9" s="15">
        <f t="shared" si="0"/>
        <v>4338</v>
      </c>
      <c r="N9" s="15">
        <v>0</v>
      </c>
      <c r="O9" s="58">
        <f t="shared" si="1"/>
        <v>0</v>
      </c>
      <c r="P9" s="39">
        <f t="shared" si="2"/>
        <v>20</v>
      </c>
      <c r="Q9" s="40">
        <f t="shared" si="3"/>
        <v>4</v>
      </c>
      <c r="R9" s="7"/>
      <c r="S9" s="6">
        <v>4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0.83333333333333337</v>
      </c>
      <c r="AD9" s="10">
        <f t="shared" si="8"/>
        <v>0.83333333333333337</v>
      </c>
      <c r="AE9" s="36">
        <f t="shared" si="6"/>
        <v>0.58159722222222221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452</v>
      </c>
      <c r="D10" s="52"/>
      <c r="E10" s="53" t="s">
        <v>453</v>
      </c>
      <c r="F10" s="30" t="s">
        <v>148</v>
      </c>
      <c r="G10" s="33">
        <v>1</v>
      </c>
      <c r="H10" s="35">
        <v>24</v>
      </c>
      <c r="I10" s="7">
        <v>2000</v>
      </c>
      <c r="J10" s="14">
        <v>4147</v>
      </c>
      <c r="K10" s="15">
        <f>L10</f>
        <v>4147</v>
      </c>
      <c r="L10" s="15">
        <f>2742+1405</f>
        <v>4147</v>
      </c>
      <c r="M10" s="15">
        <f t="shared" si="0"/>
        <v>4147</v>
      </c>
      <c r="N10" s="15">
        <v>0</v>
      </c>
      <c r="O10" s="58">
        <f t="shared" si="1"/>
        <v>0</v>
      </c>
      <c r="P10" s="39">
        <f t="shared" si="2"/>
        <v>21</v>
      </c>
      <c r="Q10" s="40">
        <f t="shared" si="3"/>
        <v>3</v>
      </c>
      <c r="R10" s="7">
        <v>3</v>
      </c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0.875</v>
      </c>
      <c r="AD10" s="10">
        <f t="shared" si="8"/>
        <v>0.875</v>
      </c>
      <c r="AE10" s="36">
        <f t="shared" si="6"/>
        <v>0.58159722222222221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126</v>
      </c>
      <c r="D11" s="52" t="s">
        <v>115</v>
      </c>
      <c r="E11" s="53" t="s">
        <v>434</v>
      </c>
      <c r="F11" s="30" t="s">
        <v>454</v>
      </c>
      <c r="G11" s="33">
        <v>1</v>
      </c>
      <c r="H11" s="35">
        <v>24</v>
      </c>
      <c r="I11" s="7">
        <v>3000</v>
      </c>
      <c r="J11" s="14">
        <v>1575</v>
      </c>
      <c r="K11" s="15">
        <f>L11</f>
        <v>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8"/>
        <v>0</v>
      </c>
      <c r="AE11" s="36">
        <f t="shared" si="6"/>
        <v>0.58159722222222221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40000</v>
      </c>
      <c r="J12" s="5">
        <v>5278</v>
      </c>
      <c r="K12" s="15">
        <f>L12+2299+960+4314+5153+4996+5031+573+5044+5157+4963+4296+5172</f>
        <v>53236</v>
      </c>
      <c r="L12" s="15">
        <f>2628+2650</f>
        <v>5278</v>
      </c>
      <c r="M12" s="15">
        <f t="shared" si="0"/>
        <v>5278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0.58159722222222221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112</v>
      </c>
      <c r="D13" s="52" t="s">
        <v>147</v>
      </c>
      <c r="E13" s="53" t="s">
        <v>272</v>
      </c>
      <c r="F13" s="30" t="s">
        <v>148</v>
      </c>
      <c r="G13" s="33">
        <v>1</v>
      </c>
      <c r="H13" s="35">
        <v>22</v>
      </c>
      <c r="I13" s="7">
        <v>15000</v>
      </c>
      <c r="J13" s="14">
        <v>5731</v>
      </c>
      <c r="K13" s="15">
        <f>L13+4941+5660+5559+5974</f>
        <v>27865</v>
      </c>
      <c r="L13" s="15">
        <f>2705+3026</f>
        <v>5731</v>
      </c>
      <c r="M13" s="15">
        <f t="shared" si="0"/>
        <v>5731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0.58159722222222221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121</v>
      </c>
      <c r="E14" s="53" t="s">
        <v>174</v>
      </c>
      <c r="F14" s="30" t="s">
        <v>175</v>
      </c>
      <c r="G14" s="33">
        <v>1</v>
      </c>
      <c r="H14" s="35">
        <v>50</v>
      </c>
      <c r="I14" s="7">
        <v>350</v>
      </c>
      <c r="J14" s="5">
        <v>421</v>
      </c>
      <c r="K14" s="15">
        <f>L14</f>
        <v>421</v>
      </c>
      <c r="L14" s="15">
        <f>221+200</f>
        <v>421</v>
      </c>
      <c r="M14" s="15">
        <f t="shared" si="0"/>
        <v>421</v>
      </c>
      <c r="N14" s="15">
        <v>0</v>
      </c>
      <c r="O14" s="58">
        <f t="shared" si="1"/>
        <v>0</v>
      </c>
      <c r="P14" s="39">
        <f t="shared" si="2"/>
        <v>13</v>
      </c>
      <c r="Q14" s="40">
        <f t="shared" si="3"/>
        <v>11</v>
      </c>
      <c r="R14" s="7"/>
      <c r="S14" s="6">
        <v>3</v>
      </c>
      <c r="T14" s="16"/>
      <c r="U14" s="16"/>
      <c r="V14" s="17"/>
      <c r="W14" s="5">
        <v>8</v>
      </c>
      <c r="X14" s="16"/>
      <c r="Y14" s="16"/>
      <c r="Z14" s="16"/>
      <c r="AA14" s="18"/>
      <c r="AB14" s="8">
        <f t="shared" si="4"/>
        <v>1</v>
      </c>
      <c r="AC14" s="9">
        <f t="shared" si="5"/>
        <v>0.54166666666666663</v>
      </c>
      <c r="AD14" s="10">
        <f t="shared" si="8"/>
        <v>0.54166666666666663</v>
      </c>
      <c r="AE14" s="36">
        <f t="shared" si="6"/>
        <v>0.58159722222222221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126</v>
      </c>
      <c r="D15" s="52"/>
      <c r="E15" s="53" t="s">
        <v>400</v>
      </c>
      <c r="F15" s="30" t="s">
        <v>411</v>
      </c>
      <c r="G15" s="12">
        <v>4</v>
      </c>
      <c r="H15" s="13">
        <v>24</v>
      </c>
      <c r="I15" s="31">
        <v>200000</v>
      </c>
      <c r="J15" s="14">
        <v>34740</v>
      </c>
      <c r="K15" s="15">
        <f>L15+22472</f>
        <v>57212</v>
      </c>
      <c r="L15" s="15">
        <f>4351*4+4334*4</f>
        <v>34740</v>
      </c>
      <c r="M15" s="15">
        <f t="shared" si="0"/>
        <v>34740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0.58159722222222221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197</v>
      </c>
      <c r="E16" s="53" t="s">
        <v>366</v>
      </c>
      <c r="F16" s="30" t="s">
        <v>123</v>
      </c>
      <c r="G16" s="12">
        <v>2</v>
      </c>
      <c r="H16" s="13">
        <v>22</v>
      </c>
      <c r="I16" s="31">
        <v>260000</v>
      </c>
      <c r="J16" s="5">
        <v>10572</v>
      </c>
      <c r="K16" s="15">
        <f>L16+9350+9873</f>
        <v>29795</v>
      </c>
      <c r="L16" s="15">
        <f>2898*2+2388*2</f>
        <v>10572</v>
      </c>
      <c r="M16" s="15">
        <f t="shared" si="0"/>
        <v>10572</v>
      </c>
      <c r="N16" s="15">
        <v>0</v>
      </c>
      <c r="O16" s="58">
        <f t="shared" si="1"/>
        <v>0</v>
      </c>
      <c r="P16" s="39">
        <f t="shared" si="2"/>
        <v>22</v>
      </c>
      <c r="Q16" s="40">
        <f t="shared" si="3"/>
        <v>2</v>
      </c>
      <c r="R16" s="7"/>
      <c r="S16" s="6">
        <v>2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0.91666666666666663</v>
      </c>
      <c r="AD16" s="10">
        <f t="shared" si="8"/>
        <v>0.91666666666666663</v>
      </c>
      <c r="AE16" s="36">
        <f t="shared" si="6"/>
        <v>0.58159722222222221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126</v>
      </c>
      <c r="D17" s="52" t="s">
        <v>322</v>
      </c>
      <c r="E17" s="53" t="s">
        <v>361</v>
      </c>
      <c r="F17" s="30" t="s">
        <v>298</v>
      </c>
      <c r="G17" s="12">
        <v>1</v>
      </c>
      <c r="H17" s="13">
        <v>24</v>
      </c>
      <c r="I17" s="7">
        <v>3000</v>
      </c>
      <c r="J17" s="14">
        <v>3665</v>
      </c>
      <c r="K17" s="15">
        <f>L17+3665</f>
        <v>3665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/>
      <c r="X17" s="16"/>
      <c r="Y17" s="16"/>
      <c r="Z17" s="16"/>
      <c r="AA17" s="18">
        <v>24</v>
      </c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0.58159722222222221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371</v>
      </c>
      <c r="F18" s="30" t="s">
        <v>135</v>
      </c>
      <c r="G18" s="12">
        <v>2</v>
      </c>
      <c r="H18" s="13">
        <v>22</v>
      </c>
      <c r="I18" s="31">
        <v>260000</v>
      </c>
      <c r="J18" s="5">
        <v>11648</v>
      </c>
      <c r="K18" s="15">
        <f>L18+10480+11444</f>
        <v>33572</v>
      </c>
      <c r="L18" s="15">
        <f>2935*2+2889*2</f>
        <v>11648</v>
      </c>
      <c r="M18" s="15">
        <f t="shared" si="0"/>
        <v>11648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0.58159722222222221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112</v>
      </c>
      <c r="D19" s="52" t="s">
        <v>115</v>
      </c>
      <c r="E19" s="53" t="s">
        <v>412</v>
      </c>
      <c r="F19" s="30" t="s">
        <v>148</v>
      </c>
      <c r="G19" s="33">
        <v>1</v>
      </c>
      <c r="H19" s="35">
        <v>24</v>
      </c>
      <c r="I19" s="7">
        <v>2000</v>
      </c>
      <c r="J19" s="14">
        <v>4931</v>
      </c>
      <c r="K19" s="15">
        <f>L19+4820</f>
        <v>9751</v>
      </c>
      <c r="L19" s="15">
        <f>2352+2579</f>
        <v>4931</v>
      </c>
      <c r="M19" s="15">
        <f t="shared" si="0"/>
        <v>4931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0.58159722222222221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115</v>
      </c>
      <c r="E20" s="53" t="s">
        <v>140</v>
      </c>
      <c r="F20" s="30" t="s">
        <v>135</v>
      </c>
      <c r="G20" s="33">
        <v>1</v>
      </c>
      <c r="H20" s="35">
        <v>24</v>
      </c>
      <c r="I20" s="7">
        <v>70000</v>
      </c>
      <c r="J20" s="14">
        <v>11068</v>
      </c>
      <c r="K20" s="15">
        <f>L20+3150+7466+4534+7764+11032+11156+11220+10030+4886+5156+5465+5493+1986+8040+10452+11066+10928+10356+10230+10310</f>
        <v>171788</v>
      </c>
      <c r="L20" s="15">
        <f>2782*2+2752*2</f>
        <v>11068</v>
      </c>
      <c r="M20" s="15">
        <f t="shared" si="0"/>
        <v>11068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0.58159722222222221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352</v>
      </c>
      <c r="F21" s="12" t="s">
        <v>114</v>
      </c>
      <c r="G21" s="12">
        <v>4</v>
      </c>
      <c r="H21" s="35">
        <v>20</v>
      </c>
      <c r="I21" s="7">
        <v>2000000</v>
      </c>
      <c r="J21" s="14">
        <v>65248</v>
      </c>
      <c r="K21" s="15">
        <f>L21+43956+57712+63776</f>
        <v>230692</v>
      </c>
      <c r="L21" s="15">
        <f>8219*4+8093*4</f>
        <v>65248</v>
      </c>
      <c r="M21" s="15">
        <f t="shared" si="0"/>
        <v>65248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0.58159722222222221</v>
      </c>
      <c r="AF21" s="81">
        <f t="shared" si="7"/>
        <v>16</v>
      </c>
    </row>
    <row r="22" spans="1:32" ht="26.25" customHeight="1">
      <c r="A22" s="115">
        <v>17</v>
      </c>
      <c r="B22" s="11" t="s">
        <v>57</v>
      </c>
      <c r="C22" s="11"/>
      <c r="D22" s="52"/>
      <c r="E22" s="53"/>
      <c r="F22" s="12"/>
      <c r="G22" s="12"/>
      <c r="H22" s="35"/>
      <c r="I22" s="7">
        <v>0</v>
      </c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0.58159722222222221</v>
      </c>
      <c r="AF22" s="81">
        <f t="shared" si="7"/>
        <v>17</v>
      </c>
    </row>
    <row r="23" spans="1:32" ht="26.25" customHeight="1">
      <c r="A23" s="115">
        <v>18</v>
      </c>
      <c r="B23" s="11" t="s">
        <v>57</v>
      </c>
      <c r="C23" s="11" t="s">
        <v>116</v>
      </c>
      <c r="D23" s="52" t="s">
        <v>178</v>
      </c>
      <c r="E23" s="53" t="s">
        <v>353</v>
      </c>
      <c r="F23" s="12" t="s">
        <v>180</v>
      </c>
      <c r="G23" s="12">
        <v>4</v>
      </c>
      <c r="H23" s="35">
        <v>15</v>
      </c>
      <c r="I23" s="7">
        <v>20000</v>
      </c>
      <c r="J23" s="14">
        <v>2888</v>
      </c>
      <c r="K23" s="15">
        <f>L23+14040+7084+2888</f>
        <v>24012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20</v>
      </c>
      <c r="R23" s="7"/>
      <c r="S23" s="6">
        <v>20</v>
      </c>
      <c r="T23" s="16"/>
      <c r="U23" s="16"/>
      <c r="V23" s="17"/>
      <c r="W23" s="5"/>
      <c r="X23" s="16"/>
      <c r="Y23" s="16"/>
      <c r="Z23" s="16"/>
      <c r="AA23" s="18"/>
      <c r="AB23" s="8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0.58159722222222221</v>
      </c>
      <c r="AF23" s="81">
        <f t="shared" si="7"/>
        <v>18</v>
      </c>
    </row>
    <row r="24" spans="1:32" ht="21.75" customHeight="1">
      <c r="A24" s="92">
        <v>31</v>
      </c>
      <c r="B24" s="11" t="s">
        <v>57</v>
      </c>
      <c r="C24" s="11" t="s">
        <v>116</v>
      </c>
      <c r="D24" s="52" t="s">
        <v>115</v>
      </c>
      <c r="E24" s="53" t="s">
        <v>143</v>
      </c>
      <c r="F24" s="12" t="s">
        <v>135</v>
      </c>
      <c r="G24" s="12">
        <v>4</v>
      </c>
      <c r="H24" s="35">
        <v>20</v>
      </c>
      <c r="I24" s="7">
        <v>70000</v>
      </c>
      <c r="J24" s="14">
        <v>22300</v>
      </c>
      <c r="K24" s="15">
        <f>L24+22300</f>
        <v>22300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0.58159722222222221</v>
      </c>
      <c r="AF24" s="81">
        <f t="shared" si="7"/>
        <v>31</v>
      </c>
    </row>
    <row r="25" spans="1:32" ht="21.75" customHeight="1">
      <c r="A25" s="92">
        <v>32</v>
      </c>
      <c r="B25" s="11" t="s">
        <v>57</v>
      </c>
      <c r="C25" s="11" t="s">
        <v>172</v>
      </c>
      <c r="D25" s="52"/>
      <c r="E25" s="53" t="s">
        <v>413</v>
      </c>
      <c r="F25" s="12" t="s">
        <v>173</v>
      </c>
      <c r="G25" s="12">
        <v>2</v>
      </c>
      <c r="H25" s="35">
        <v>20</v>
      </c>
      <c r="I25" s="7">
        <v>24000</v>
      </c>
      <c r="J25" s="14">
        <v>30240</v>
      </c>
      <c r="K25" s="15">
        <f>L25+30240</f>
        <v>30240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0.58159722222222221</v>
      </c>
      <c r="AF25" s="81">
        <f t="shared" si="7"/>
        <v>32</v>
      </c>
    </row>
    <row r="26" spans="1:32" ht="21.75" customHeight="1">
      <c r="A26" s="92">
        <v>33</v>
      </c>
      <c r="B26" s="11" t="s">
        <v>57</v>
      </c>
      <c r="C26" s="11" t="s">
        <v>116</v>
      </c>
      <c r="D26" s="52" t="s">
        <v>115</v>
      </c>
      <c r="E26" s="53" t="s">
        <v>414</v>
      </c>
      <c r="F26" s="12" t="s">
        <v>135</v>
      </c>
      <c r="G26" s="12">
        <v>4</v>
      </c>
      <c r="H26" s="35">
        <v>20</v>
      </c>
      <c r="I26" s="7">
        <v>130000</v>
      </c>
      <c r="J26" s="14">
        <v>23840</v>
      </c>
      <c r="K26" s="15">
        <f>L26+15220</f>
        <v>39060</v>
      </c>
      <c r="L26" s="15">
        <f>3320*4+2640*4</f>
        <v>23840</v>
      </c>
      <c r="M26" s="15">
        <f t="shared" si="0"/>
        <v>23840</v>
      </c>
      <c r="N26" s="15">
        <v>0</v>
      </c>
      <c r="O26" s="58">
        <f t="shared" si="1"/>
        <v>0</v>
      </c>
      <c r="P26" s="39">
        <f t="shared" si="2"/>
        <v>24</v>
      </c>
      <c r="Q26" s="40">
        <f t="shared" si="3"/>
        <v>0</v>
      </c>
      <c r="R26" s="7"/>
      <c r="S26" s="6"/>
      <c r="T26" s="16"/>
      <c r="U26" s="16"/>
      <c r="V26" s="114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1</v>
      </c>
      <c r="AD26" s="10">
        <f t="shared" si="8"/>
        <v>1</v>
      </c>
      <c r="AE26" s="36">
        <f t="shared" si="6"/>
        <v>0.58159722222222221</v>
      </c>
      <c r="AF26" s="81">
        <f t="shared" si="7"/>
        <v>33</v>
      </c>
    </row>
    <row r="27" spans="1:32" ht="21.75" customHeight="1">
      <c r="A27" s="92">
        <v>34</v>
      </c>
      <c r="B27" s="11" t="s">
        <v>57</v>
      </c>
      <c r="C27" s="11" t="s">
        <v>116</v>
      </c>
      <c r="D27" s="52" t="s">
        <v>197</v>
      </c>
      <c r="E27" s="53" t="s">
        <v>415</v>
      </c>
      <c r="F27" s="12" t="s">
        <v>124</v>
      </c>
      <c r="G27" s="12">
        <v>4</v>
      </c>
      <c r="H27" s="35">
        <v>20</v>
      </c>
      <c r="I27" s="7">
        <v>130000</v>
      </c>
      <c r="J27" s="14">
        <v>12648</v>
      </c>
      <c r="K27" s="15">
        <f>L27+15632</f>
        <v>28280</v>
      </c>
      <c r="L27" s="15">
        <f>1989*3+621*3+2409*2</f>
        <v>12648</v>
      </c>
      <c r="M27" s="15">
        <f t="shared" si="0"/>
        <v>12648</v>
      </c>
      <c r="N27" s="15">
        <v>0</v>
      </c>
      <c r="O27" s="58">
        <f t="shared" si="1"/>
        <v>0</v>
      </c>
      <c r="P27" s="39">
        <f t="shared" si="2"/>
        <v>21</v>
      </c>
      <c r="Q27" s="40">
        <f t="shared" si="3"/>
        <v>3</v>
      </c>
      <c r="R27" s="7"/>
      <c r="S27" s="6">
        <v>3</v>
      </c>
      <c r="T27" s="16"/>
      <c r="U27" s="16"/>
      <c r="V27" s="114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0.875</v>
      </c>
      <c r="AD27" s="10">
        <f t="shared" si="8"/>
        <v>0.875</v>
      </c>
      <c r="AE27" s="36">
        <f t="shared" si="6"/>
        <v>0.58159722222222221</v>
      </c>
      <c r="AF27" s="81">
        <f t="shared" si="7"/>
        <v>34</v>
      </c>
    </row>
    <row r="28" spans="1:32" ht="21.75" customHeight="1">
      <c r="A28" s="92">
        <v>35</v>
      </c>
      <c r="B28" s="11" t="s">
        <v>57</v>
      </c>
      <c r="C28" s="11" t="s">
        <v>116</v>
      </c>
      <c r="D28" s="52" t="s">
        <v>121</v>
      </c>
      <c r="E28" s="53" t="s">
        <v>416</v>
      </c>
      <c r="F28" s="12" t="s">
        <v>124</v>
      </c>
      <c r="G28" s="12">
        <v>4</v>
      </c>
      <c r="H28" s="35">
        <v>20</v>
      </c>
      <c r="I28" s="7">
        <v>130000</v>
      </c>
      <c r="J28" s="14">
        <v>27916</v>
      </c>
      <c r="K28" s="15">
        <f>L28</f>
        <v>27916</v>
      </c>
      <c r="L28" s="15">
        <f>3607*4+3372*4</f>
        <v>27916</v>
      </c>
      <c r="M28" s="15">
        <f t="shared" si="0"/>
        <v>27916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8"/>
        <v>1</v>
      </c>
      <c r="AE28" s="36">
        <f t="shared" si="6"/>
        <v>0.58159722222222221</v>
      </c>
      <c r="AF28" s="81">
        <f t="shared" si="7"/>
        <v>35</v>
      </c>
    </row>
    <row r="29" spans="1:32" ht="21.75" customHeight="1" thickBot="1">
      <c r="A29" s="92">
        <v>36</v>
      </c>
      <c r="B29" s="11" t="s">
        <v>57</v>
      </c>
      <c r="C29" s="11" t="s">
        <v>113</v>
      </c>
      <c r="D29" s="52"/>
      <c r="E29" s="53" t="s">
        <v>144</v>
      </c>
      <c r="F29" s="12" t="s">
        <v>114</v>
      </c>
      <c r="G29" s="12">
        <v>4</v>
      </c>
      <c r="H29" s="35">
        <v>20</v>
      </c>
      <c r="I29" s="7">
        <v>1000000</v>
      </c>
      <c r="J29" s="14">
        <v>79328</v>
      </c>
      <c r="K29" s="15">
        <f>L29+28388+70816+76368+81764+83428+47688+53180+83092+82192+79328</f>
        <v>686244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>
        <v>24</v>
      </c>
      <c r="W29" s="5"/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0.58159722222222221</v>
      </c>
      <c r="AF29" s="81">
        <f t="shared" si="7"/>
        <v>36</v>
      </c>
    </row>
    <row r="30" spans="1:32" ht="19.5" thickBot="1">
      <c r="A30" s="452" t="s">
        <v>34</v>
      </c>
      <c r="B30" s="453"/>
      <c r="C30" s="453"/>
      <c r="D30" s="453"/>
      <c r="E30" s="453"/>
      <c r="F30" s="453"/>
      <c r="G30" s="453"/>
      <c r="H30" s="454"/>
      <c r="I30" s="22">
        <f t="shared" ref="I30:N30" si="9">SUM(I6:I29)</f>
        <v>4637850</v>
      </c>
      <c r="J30" s="19">
        <f t="shared" si="9"/>
        <v>387041</v>
      </c>
      <c r="K30" s="20">
        <f t="shared" si="9"/>
        <v>1524694</v>
      </c>
      <c r="L30" s="21">
        <f t="shared" si="9"/>
        <v>237345</v>
      </c>
      <c r="M30" s="20">
        <f t="shared" si="9"/>
        <v>237345</v>
      </c>
      <c r="N30" s="21">
        <f t="shared" si="9"/>
        <v>0</v>
      </c>
      <c r="O30" s="41">
        <f t="shared" si="1"/>
        <v>0</v>
      </c>
      <c r="P30" s="42">
        <f t="shared" ref="P30:AA30" si="10">SUM(P6:P29)</f>
        <v>335</v>
      </c>
      <c r="Q30" s="43">
        <f t="shared" si="10"/>
        <v>237</v>
      </c>
      <c r="R30" s="23">
        <f t="shared" si="10"/>
        <v>3</v>
      </c>
      <c r="S30" s="24">
        <f t="shared" si="10"/>
        <v>78</v>
      </c>
      <c r="T30" s="24">
        <f t="shared" si="10"/>
        <v>0</v>
      </c>
      <c r="U30" s="24">
        <f t="shared" si="10"/>
        <v>0</v>
      </c>
      <c r="V30" s="25">
        <f t="shared" si="10"/>
        <v>48</v>
      </c>
      <c r="W30" s="26">
        <f t="shared" si="10"/>
        <v>84</v>
      </c>
      <c r="X30" s="27">
        <f t="shared" si="10"/>
        <v>0</v>
      </c>
      <c r="Y30" s="27">
        <f t="shared" si="10"/>
        <v>0</v>
      </c>
      <c r="Z30" s="27">
        <f t="shared" si="10"/>
        <v>0</v>
      </c>
      <c r="AA30" s="27">
        <f t="shared" si="10"/>
        <v>24</v>
      </c>
      <c r="AB30" s="28">
        <f>AVERAGE(AB6:AB29)</f>
        <v>0.69565217391304346</v>
      </c>
      <c r="AC30" s="4">
        <f>AVERAGE(AC6:AC29)</f>
        <v>0.58159722222222221</v>
      </c>
      <c r="AD30" s="4">
        <f>AVERAGE(AD6:AD29)</f>
        <v>0.58159722222222221</v>
      </c>
      <c r="AE30" s="29"/>
    </row>
    <row r="31" spans="1:32">
      <c r="T31" s="50" t="s">
        <v>127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128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2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455" t="s">
        <v>45</v>
      </c>
      <c r="B57" s="455"/>
      <c r="C57" s="455"/>
      <c r="D57" s="455"/>
      <c r="E57" s="455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456" t="s">
        <v>455</v>
      </c>
      <c r="B58" s="457"/>
      <c r="C58" s="457"/>
      <c r="D58" s="457"/>
      <c r="E58" s="457"/>
      <c r="F58" s="457"/>
      <c r="G58" s="457"/>
      <c r="H58" s="457"/>
      <c r="I58" s="457"/>
      <c r="J58" s="457"/>
      <c r="K58" s="457"/>
      <c r="L58" s="457"/>
      <c r="M58" s="458"/>
      <c r="N58" s="459" t="s">
        <v>462</v>
      </c>
      <c r="O58" s="460"/>
      <c r="P58" s="460"/>
      <c r="Q58" s="460"/>
      <c r="R58" s="460"/>
      <c r="S58" s="460"/>
      <c r="T58" s="460"/>
      <c r="U58" s="460"/>
      <c r="V58" s="460"/>
      <c r="W58" s="460"/>
      <c r="X58" s="460"/>
      <c r="Y58" s="460"/>
      <c r="Z58" s="460"/>
      <c r="AA58" s="460"/>
      <c r="AB58" s="460"/>
      <c r="AC58" s="460"/>
      <c r="AD58" s="461"/>
    </row>
    <row r="59" spans="1:32" ht="27" customHeight="1">
      <c r="A59" s="462" t="s">
        <v>2</v>
      </c>
      <c r="B59" s="463"/>
      <c r="C59" s="202" t="s">
        <v>46</v>
      </c>
      <c r="D59" s="202" t="s">
        <v>47</v>
      </c>
      <c r="E59" s="202" t="s">
        <v>107</v>
      </c>
      <c r="F59" s="464" t="s">
        <v>106</v>
      </c>
      <c r="G59" s="465"/>
      <c r="H59" s="465"/>
      <c r="I59" s="465"/>
      <c r="J59" s="465"/>
      <c r="K59" s="465"/>
      <c r="L59" s="465"/>
      <c r="M59" s="466"/>
      <c r="N59" s="67" t="s">
        <v>110</v>
      </c>
      <c r="O59" s="202" t="s">
        <v>46</v>
      </c>
      <c r="P59" s="464" t="s">
        <v>47</v>
      </c>
      <c r="Q59" s="467"/>
      <c r="R59" s="464" t="s">
        <v>38</v>
      </c>
      <c r="S59" s="465"/>
      <c r="T59" s="465"/>
      <c r="U59" s="467"/>
      <c r="V59" s="464" t="s">
        <v>48</v>
      </c>
      <c r="W59" s="465"/>
      <c r="X59" s="465"/>
      <c r="Y59" s="465"/>
      <c r="Z59" s="465"/>
      <c r="AA59" s="465"/>
      <c r="AB59" s="465"/>
      <c r="AC59" s="465"/>
      <c r="AD59" s="466"/>
    </row>
    <row r="60" spans="1:32" ht="27" customHeight="1">
      <c r="A60" s="430" t="s">
        <v>431</v>
      </c>
      <c r="B60" s="431"/>
      <c r="C60" s="198" t="s">
        <v>160</v>
      </c>
      <c r="D60" s="198"/>
      <c r="E60" s="199" t="s">
        <v>433</v>
      </c>
      <c r="F60" s="432" t="s">
        <v>456</v>
      </c>
      <c r="G60" s="433"/>
      <c r="H60" s="433"/>
      <c r="I60" s="433"/>
      <c r="J60" s="433"/>
      <c r="K60" s="433"/>
      <c r="L60" s="433"/>
      <c r="M60" s="434"/>
      <c r="N60" s="141" t="s">
        <v>112</v>
      </c>
      <c r="O60" s="196" t="s">
        <v>432</v>
      </c>
      <c r="P60" s="447" t="s">
        <v>115</v>
      </c>
      <c r="Q60" s="448"/>
      <c r="R60" s="447" t="s">
        <v>463</v>
      </c>
      <c r="S60" s="449"/>
      <c r="T60" s="449"/>
      <c r="U60" s="448"/>
      <c r="V60" s="436" t="s">
        <v>154</v>
      </c>
      <c r="W60" s="437"/>
      <c r="X60" s="437"/>
      <c r="Y60" s="437"/>
      <c r="Z60" s="437"/>
      <c r="AA60" s="437"/>
      <c r="AB60" s="437"/>
      <c r="AC60" s="437"/>
      <c r="AD60" s="438"/>
    </row>
    <row r="61" spans="1:32" ht="27" customHeight="1">
      <c r="A61" s="430" t="s">
        <v>112</v>
      </c>
      <c r="B61" s="431"/>
      <c r="C61" s="198" t="s">
        <v>418</v>
      </c>
      <c r="D61" s="198" t="s">
        <v>115</v>
      </c>
      <c r="E61" s="199" t="s">
        <v>419</v>
      </c>
      <c r="F61" s="432" t="s">
        <v>153</v>
      </c>
      <c r="G61" s="433"/>
      <c r="H61" s="433"/>
      <c r="I61" s="433"/>
      <c r="J61" s="433"/>
      <c r="K61" s="433"/>
      <c r="L61" s="433"/>
      <c r="M61" s="434"/>
      <c r="N61" s="141" t="s">
        <v>112</v>
      </c>
      <c r="O61" s="196" t="s">
        <v>146</v>
      </c>
      <c r="P61" s="447" t="s">
        <v>115</v>
      </c>
      <c r="Q61" s="448"/>
      <c r="R61" s="447" t="s">
        <v>392</v>
      </c>
      <c r="S61" s="449"/>
      <c r="T61" s="449"/>
      <c r="U61" s="448"/>
      <c r="V61" s="436" t="s">
        <v>141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126</v>
      </c>
      <c r="B62" s="431"/>
      <c r="C62" s="198" t="s">
        <v>166</v>
      </c>
      <c r="D62" s="198" t="s">
        <v>115</v>
      </c>
      <c r="E62" s="199" t="s">
        <v>457</v>
      </c>
      <c r="F62" s="432" t="s">
        <v>458</v>
      </c>
      <c r="G62" s="433"/>
      <c r="H62" s="433"/>
      <c r="I62" s="433"/>
      <c r="J62" s="433"/>
      <c r="K62" s="433"/>
      <c r="L62" s="433"/>
      <c r="M62" s="434"/>
      <c r="N62" s="141" t="s">
        <v>112</v>
      </c>
      <c r="O62" s="196" t="s">
        <v>166</v>
      </c>
      <c r="P62" s="447" t="s">
        <v>121</v>
      </c>
      <c r="Q62" s="448"/>
      <c r="R62" s="447" t="s">
        <v>464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116</v>
      </c>
      <c r="B63" s="431"/>
      <c r="C63" s="198" t="s">
        <v>142</v>
      </c>
      <c r="D63" s="198" t="s">
        <v>147</v>
      </c>
      <c r="E63" s="199" t="s">
        <v>459</v>
      </c>
      <c r="F63" s="436" t="s">
        <v>460</v>
      </c>
      <c r="G63" s="437"/>
      <c r="H63" s="437"/>
      <c r="I63" s="437"/>
      <c r="J63" s="437"/>
      <c r="K63" s="437"/>
      <c r="L63" s="437"/>
      <c r="M63" s="438"/>
      <c r="N63" s="141" t="s">
        <v>112</v>
      </c>
      <c r="O63" s="196" t="s">
        <v>467</v>
      </c>
      <c r="P63" s="447" t="s">
        <v>468</v>
      </c>
      <c r="Q63" s="448"/>
      <c r="R63" s="447" t="s">
        <v>465</v>
      </c>
      <c r="S63" s="449"/>
      <c r="T63" s="449"/>
      <c r="U63" s="448"/>
      <c r="V63" s="436" t="s">
        <v>466</v>
      </c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116</v>
      </c>
      <c r="B64" s="431"/>
      <c r="C64" s="198" t="s">
        <v>368</v>
      </c>
      <c r="D64" s="198" t="s">
        <v>197</v>
      </c>
      <c r="E64" s="199" t="s">
        <v>366</v>
      </c>
      <c r="F64" s="432" t="s">
        <v>141</v>
      </c>
      <c r="G64" s="433"/>
      <c r="H64" s="433"/>
      <c r="I64" s="433"/>
      <c r="J64" s="433"/>
      <c r="K64" s="433"/>
      <c r="L64" s="433"/>
      <c r="M64" s="434"/>
      <c r="N64" s="141" t="s">
        <v>112</v>
      </c>
      <c r="O64" s="196" t="s">
        <v>470</v>
      </c>
      <c r="P64" s="447" t="s">
        <v>471</v>
      </c>
      <c r="Q64" s="448"/>
      <c r="R64" s="447" t="s">
        <v>469</v>
      </c>
      <c r="S64" s="449"/>
      <c r="T64" s="449"/>
      <c r="U64" s="448"/>
      <c r="V64" s="436" t="s">
        <v>154</v>
      </c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112</v>
      </c>
      <c r="B65" s="431"/>
      <c r="C65" s="198" t="s">
        <v>299</v>
      </c>
      <c r="D65" s="198" t="s">
        <v>297</v>
      </c>
      <c r="E65" s="199" t="s">
        <v>353</v>
      </c>
      <c r="F65" s="432" t="s">
        <v>395</v>
      </c>
      <c r="G65" s="433"/>
      <c r="H65" s="433"/>
      <c r="I65" s="433"/>
      <c r="J65" s="433"/>
      <c r="K65" s="433"/>
      <c r="L65" s="433"/>
      <c r="M65" s="434"/>
      <c r="N65" s="141"/>
      <c r="O65" s="196"/>
      <c r="P65" s="447"/>
      <c r="Q65" s="448"/>
      <c r="R65" s="447"/>
      <c r="S65" s="449"/>
      <c r="T65" s="449"/>
      <c r="U65" s="448"/>
      <c r="V65" s="436"/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116</v>
      </c>
      <c r="B66" s="431"/>
      <c r="C66" s="206" t="s">
        <v>439</v>
      </c>
      <c r="D66" s="206" t="s">
        <v>121</v>
      </c>
      <c r="E66" s="207" t="s">
        <v>416</v>
      </c>
      <c r="F66" s="436" t="s">
        <v>154</v>
      </c>
      <c r="G66" s="437"/>
      <c r="H66" s="437"/>
      <c r="I66" s="437"/>
      <c r="J66" s="437"/>
      <c r="K66" s="437"/>
      <c r="L66" s="437"/>
      <c r="M66" s="438"/>
      <c r="N66" s="141"/>
      <c r="O66" s="196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452</v>
      </c>
      <c r="B67" s="431"/>
      <c r="C67" s="198" t="s">
        <v>442</v>
      </c>
      <c r="D67" s="198"/>
      <c r="E67" s="199" t="s">
        <v>453</v>
      </c>
      <c r="F67" s="436" t="s">
        <v>461</v>
      </c>
      <c r="G67" s="437"/>
      <c r="H67" s="437"/>
      <c r="I67" s="437"/>
      <c r="J67" s="437"/>
      <c r="K67" s="437"/>
      <c r="L67" s="437"/>
      <c r="M67" s="438"/>
      <c r="N67" s="141"/>
      <c r="O67" s="196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198"/>
      <c r="D68" s="198"/>
      <c r="E68" s="199"/>
      <c r="F68" s="436"/>
      <c r="G68" s="437"/>
      <c r="H68" s="437"/>
      <c r="I68" s="437"/>
      <c r="J68" s="437"/>
      <c r="K68" s="437"/>
      <c r="L68" s="437"/>
      <c r="M68" s="438"/>
      <c r="N68" s="141"/>
      <c r="O68" s="196"/>
      <c r="P68" s="435"/>
      <c r="Q68" s="435"/>
      <c r="R68" s="435"/>
      <c r="S68" s="435"/>
      <c r="T68" s="435"/>
      <c r="U68" s="435"/>
      <c r="V68" s="436"/>
      <c r="W68" s="437"/>
      <c r="X68" s="437"/>
      <c r="Y68" s="437"/>
      <c r="Z68" s="437"/>
      <c r="AA68" s="437"/>
      <c r="AB68" s="437"/>
      <c r="AC68" s="437"/>
      <c r="AD68" s="438"/>
      <c r="AF68" s="81">
        <f>8*3000</f>
        <v>24000</v>
      </c>
    </row>
    <row r="69" spans="1:32" ht="27" customHeight="1" thickBot="1">
      <c r="A69" s="439"/>
      <c r="B69" s="440"/>
      <c r="C69" s="200"/>
      <c r="D69" s="201"/>
      <c r="E69" s="200"/>
      <c r="F69" s="490"/>
      <c r="G69" s="491"/>
      <c r="H69" s="491"/>
      <c r="I69" s="491"/>
      <c r="J69" s="491"/>
      <c r="K69" s="491"/>
      <c r="L69" s="491"/>
      <c r="M69" s="492"/>
      <c r="N69" s="105"/>
      <c r="O69" s="97"/>
      <c r="P69" s="444"/>
      <c r="Q69" s="444"/>
      <c r="R69" s="444"/>
      <c r="S69" s="444"/>
      <c r="T69" s="444"/>
      <c r="U69" s="444"/>
      <c r="V69" s="445"/>
      <c r="W69" s="445"/>
      <c r="X69" s="445"/>
      <c r="Y69" s="445"/>
      <c r="Z69" s="445"/>
      <c r="AA69" s="445"/>
      <c r="AB69" s="445"/>
      <c r="AC69" s="445"/>
      <c r="AD69" s="446"/>
      <c r="AF69" s="81">
        <f>16*3000</f>
        <v>48000</v>
      </c>
    </row>
    <row r="70" spans="1:32" ht="27.75" thickBot="1">
      <c r="A70" s="428" t="s">
        <v>472</v>
      </c>
      <c r="B70" s="428"/>
      <c r="C70" s="428"/>
      <c r="D70" s="428"/>
      <c r="E70" s="428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1">
        <v>24000</v>
      </c>
    </row>
    <row r="71" spans="1:32" ht="29.25" customHeight="1" thickBot="1">
      <c r="A71" s="429" t="s">
        <v>111</v>
      </c>
      <c r="B71" s="426"/>
      <c r="C71" s="197" t="s">
        <v>2</v>
      </c>
      <c r="D71" s="197" t="s">
        <v>37</v>
      </c>
      <c r="E71" s="197" t="s">
        <v>3</v>
      </c>
      <c r="F71" s="426" t="s">
        <v>109</v>
      </c>
      <c r="G71" s="426"/>
      <c r="H71" s="426"/>
      <c r="I71" s="426"/>
      <c r="J71" s="426"/>
      <c r="K71" s="426" t="s">
        <v>39</v>
      </c>
      <c r="L71" s="426"/>
      <c r="M71" s="197" t="s">
        <v>40</v>
      </c>
      <c r="N71" s="426" t="s">
        <v>41</v>
      </c>
      <c r="O71" s="426"/>
      <c r="P71" s="423" t="s">
        <v>42</v>
      </c>
      <c r="Q71" s="425"/>
      <c r="R71" s="423" t="s">
        <v>43</v>
      </c>
      <c r="S71" s="424"/>
      <c r="T71" s="424"/>
      <c r="U71" s="424"/>
      <c r="V71" s="424"/>
      <c r="W71" s="424"/>
      <c r="X71" s="424"/>
      <c r="Y71" s="424"/>
      <c r="Z71" s="424"/>
      <c r="AA71" s="425"/>
      <c r="AB71" s="426" t="s">
        <v>44</v>
      </c>
      <c r="AC71" s="426"/>
      <c r="AD71" s="427"/>
      <c r="AF71" s="81">
        <f>SUM(AF68:AF70)</f>
        <v>96000</v>
      </c>
    </row>
    <row r="72" spans="1:32" ht="25.5" customHeight="1">
      <c r="A72" s="414">
        <v>1</v>
      </c>
      <c r="B72" s="415"/>
      <c r="C72" s="98" t="s">
        <v>116</v>
      </c>
      <c r="D72" s="192"/>
      <c r="E72" s="195" t="s">
        <v>440</v>
      </c>
      <c r="F72" s="416" t="s">
        <v>377</v>
      </c>
      <c r="G72" s="406"/>
      <c r="H72" s="406"/>
      <c r="I72" s="406"/>
      <c r="J72" s="406"/>
      <c r="K72" s="406" t="s">
        <v>165</v>
      </c>
      <c r="L72" s="406"/>
      <c r="M72" s="51" t="s">
        <v>248</v>
      </c>
      <c r="N72" s="417" t="s">
        <v>166</v>
      </c>
      <c r="O72" s="417"/>
      <c r="P72" s="418">
        <v>150</v>
      </c>
      <c r="Q72" s="418"/>
      <c r="R72" s="419"/>
      <c r="S72" s="419"/>
      <c r="T72" s="419"/>
      <c r="U72" s="419"/>
      <c r="V72" s="419"/>
      <c r="W72" s="419"/>
      <c r="X72" s="419"/>
      <c r="Y72" s="419"/>
      <c r="Z72" s="419"/>
      <c r="AA72" s="419"/>
      <c r="AB72" s="406"/>
      <c r="AC72" s="406"/>
      <c r="AD72" s="407"/>
      <c r="AF72" s="50"/>
    </row>
    <row r="73" spans="1:32" ht="25.5" customHeight="1">
      <c r="A73" s="414">
        <v>2</v>
      </c>
      <c r="B73" s="415"/>
      <c r="C73" s="98" t="s">
        <v>116</v>
      </c>
      <c r="D73" s="192"/>
      <c r="E73" s="195" t="s">
        <v>440</v>
      </c>
      <c r="F73" s="420" t="s">
        <v>443</v>
      </c>
      <c r="G73" s="421"/>
      <c r="H73" s="421"/>
      <c r="I73" s="421"/>
      <c r="J73" s="422"/>
      <c r="K73" s="406" t="s">
        <v>165</v>
      </c>
      <c r="L73" s="406"/>
      <c r="M73" s="51" t="s">
        <v>248</v>
      </c>
      <c r="N73" s="417" t="s">
        <v>166</v>
      </c>
      <c r="O73" s="417"/>
      <c r="P73" s="418">
        <v>100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3</v>
      </c>
      <c r="B74" s="415"/>
      <c r="C74" s="98" t="s">
        <v>445</v>
      </c>
      <c r="D74" s="192"/>
      <c r="E74" s="195" t="s">
        <v>121</v>
      </c>
      <c r="F74" s="416" t="s">
        <v>473</v>
      </c>
      <c r="G74" s="406"/>
      <c r="H74" s="406"/>
      <c r="I74" s="406"/>
      <c r="J74" s="406"/>
      <c r="K74" s="406" t="s">
        <v>165</v>
      </c>
      <c r="L74" s="406"/>
      <c r="M74" s="51" t="s">
        <v>248</v>
      </c>
      <c r="N74" s="417" t="s">
        <v>166</v>
      </c>
      <c r="O74" s="417"/>
      <c r="P74" s="418">
        <v>200</v>
      </c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4</v>
      </c>
      <c r="B75" s="415"/>
      <c r="C75" s="98"/>
      <c r="D75" s="192"/>
      <c r="E75" s="195"/>
      <c r="F75" s="420"/>
      <c r="G75" s="421"/>
      <c r="H75" s="421"/>
      <c r="I75" s="421"/>
      <c r="J75" s="422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5</v>
      </c>
      <c r="B76" s="415"/>
      <c r="C76" s="98"/>
      <c r="D76" s="192"/>
      <c r="E76" s="195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6</v>
      </c>
      <c r="B77" s="415"/>
      <c r="C77" s="98"/>
      <c r="D77" s="192"/>
      <c r="E77" s="195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7</v>
      </c>
      <c r="B78" s="415"/>
      <c r="C78" s="98"/>
      <c r="D78" s="192"/>
      <c r="E78" s="195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8</v>
      </c>
      <c r="B79" s="415"/>
      <c r="C79" s="98"/>
      <c r="D79" s="192"/>
      <c r="E79" s="195"/>
      <c r="F79" s="416"/>
      <c r="G79" s="406"/>
      <c r="H79" s="406"/>
      <c r="I79" s="406"/>
      <c r="J79" s="406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9</v>
      </c>
      <c r="B80" s="415"/>
      <c r="C80" s="98"/>
      <c r="D80" s="192"/>
      <c r="E80" s="195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10</v>
      </c>
      <c r="B81" s="415"/>
      <c r="C81" s="98"/>
      <c r="D81" s="192"/>
      <c r="E81" s="195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6.25" customHeight="1" thickBot="1">
      <c r="A82" s="386" t="s">
        <v>474</v>
      </c>
      <c r="B82" s="386"/>
      <c r="C82" s="386"/>
      <c r="D82" s="386"/>
      <c r="E82" s="386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408" t="s">
        <v>111</v>
      </c>
      <c r="B83" s="409"/>
      <c r="C83" s="194" t="s">
        <v>2</v>
      </c>
      <c r="D83" s="194" t="s">
        <v>37</v>
      </c>
      <c r="E83" s="194" t="s">
        <v>120</v>
      </c>
      <c r="F83" s="388" t="s">
        <v>38</v>
      </c>
      <c r="G83" s="388"/>
      <c r="H83" s="388"/>
      <c r="I83" s="388"/>
      <c r="J83" s="388"/>
      <c r="K83" s="410" t="s">
        <v>58</v>
      </c>
      <c r="L83" s="411"/>
      <c r="M83" s="411"/>
      <c r="N83" s="411"/>
      <c r="O83" s="411"/>
      <c r="P83" s="411"/>
      <c r="Q83" s="411"/>
      <c r="R83" s="411"/>
      <c r="S83" s="412"/>
      <c r="T83" s="388" t="s">
        <v>49</v>
      </c>
      <c r="U83" s="388"/>
      <c r="V83" s="410" t="s">
        <v>50</v>
      </c>
      <c r="W83" s="412"/>
      <c r="X83" s="411" t="s">
        <v>51</v>
      </c>
      <c r="Y83" s="411"/>
      <c r="Z83" s="411"/>
      <c r="AA83" s="411"/>
      <c r="AB83" s="411"/>
      <c r="AC83" s="411"/>
      <c r="AD83" s="413"/>
      <c r="AF83" s="50"/>
    </row>
    <row r="84" spans="1:32" ht="33.75" customHeight="1">
      <c r="A84" s="380">
        <v>1</v>
      </c>
      <c r="B84" s="381"/>
      <c r="C84" s="193"/>
      <c r="D84" s="193"/>
      <c r="E84" s="65"/>
      <c r="F84" s="395"/>
      <c r="G84" s="396"/>
      <c r="H84" s="396"/>
      <c r="I84" s="396"/>
      <c r="J84" s="397"/>
      <c r="K84" s="398"/>
      <c r="L84" s="399"/>
      <c r="M84" s="399"/>
      <c r="N84" s="399"/>
      <c r="O84" s="399"/>
      <c r="P84" s="399"/>
      <c r="Q84" s="399"/>
      <c r="R84" s="399"/>
      <c r="S84" s="400"/>
      <c r="T84" s="401"/>
      <c r="U84" s="402"/>
      <c r="V84" s="403"/>
      <c r="W84" s="403"/>
      <c r="X84" s="404"/>
      <c r="Y84" s="404"/>
      <c r="Z84" s="404"/>
      <c r="AA84" s="404"/>
      <c r="AB84" s="404"/>
      <c r="AC84" s="404"/>
      <c r="AD84" s="405"/>
      <c r="AF84" s="50"/>
    </row>
    <row r="85" spans="1:32" ht="30" customHeight="1">
      <c r="A85" s="373">
        <f>A84+1</f>
        <v>2</v>
      </c>
      <c r="B85" s="374"/>
      <c r="C85" s="192"/>
      <c r="D85" s="192"/>
      <c r="E85" s="32"/>
      <c r="F85" s="374"/>
      <c r="G85" s="374"/>
      <c r="H85" s="374"/>
      <c r="I85" s="374"/>
      <c r="J85" s="374"/>
      <c r="K85" s="389"/>
      <c r="L85" s="390"/>
      <c r="M85" s="390"/>
      <c r="N85" s="390"/>
      <c r="O85" s="390"/>
      <c r="P85" s="390"/>
      <c r="Q85" s="390"/>
      <c r="R85" s="390"/>
      <c r="S85" s="391"/>
      <c r="T85" s="392"/>
      <c r="U85" s="392"/>
      <c r="V85" s="392"/>
      <c r="W85" s="392"/>
      <c r="X85" s="393"/>
      <c r="Y85" s="393"/>
      <c r="Z85" s="393"/>
      <c r="AA85" s="393"/>
      <c r="AB85" s="393"/>
      <c r="AC85" s="393"/>
      <c r="AD85" s="394"/>
      <c r="AF85" s="50"/>
    </row>
    <row r="86" spans="1:32" ht="30" customHeight="1">
      <c r="A86" s="373">
        <f t="shared" ref="A86:A90" si="11">A85+1</f>
        <v>3</v>
      </c>
      <c r="B86" s="374"/>
      <c r="C86" s="192"/>
      <c r="D86" s="192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si="11"/>
        <v>4</v>
      </c>
      <c r="B87" s="374"/>
      <c r="C87" s="192"/>
      <c r="D87" s="192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1"/>
        <v>5</v>
      </c>
      <c r="B88" s="374"/>
      <c r="C88" s="192"/>
      <c r="D88" s="192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1"/>
        <v>6</v>
      </c>
      <c r="B89" s="374"/>
      <c r="C89" s="192"/>
      <c r="D89" s="192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1"/>
        <v>7</v>
      </c>
      <c r="B90" s="374"/>
      <c r="C90" s="192"/>
      <c r="D90" s="192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6" thickBot="1">
      <c r="A91" s="386" t="s">
        <v>475</v>
      </c>
      <c r="B91" s="386"/>
      <c r="C91" s="386"/>
      <c r="D91" s="386"/>
      <c r="E91" s="386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387" t="s">
        <v>111</v>
      </c>
      <c r="B92" s="388"/>
      <c r="C92" s="378" t="s">
        <v>52</v>
      </c>
      <c r="D92" s="378"/>
      <c r="E92" s="378" t="s">
        <v>53</v>
      </c>
      <c r="F92" s="378"/>
      <c r="G92" s="378"/>
      <c r="H92" s="378"/>
      <c r="I92" s="378"/>
      <c r="J92" s="378"/>
      <c r="K92" s="378" t="s">
        <v>54</v>
      </c>
      <c r="L92" s="378"/>
      <c r="M92" s="378"/>
      <c r="N92" s="378"/>
      <c r="O92" s="378"/>
      <c r="P92" s="378"/>
      <c r="Q92" s="378"/>
      <c r="R92" s="378"/>
      <c r="S92" s="378"/>
      <c r="T92" s="378" t="s">
        <v>55</v>
      </c>
      <c r="U92" s="378"/>
      <c r="V92" s="378" t="s">
        <v>56</v>
      </c>
      <c r="W92" s="378"/>
      <c r="X92" s="378"/>
      <c r="Y92" s="378" t="s">
        <v>51</v>
      </c>
      <c r="Z92" s="378"/>
      <c r="AA92" s="378"/>
      <c r="AB92" s="378"/>
      <c r="AC92" s="378"/>
      <c r="AD92" s="379"/>
      <c r="AF92" s="50"/>
    </row>
    <row r="93" spans="1:32" ht="30.75" customHeight="1">
      <c r="A93" s="380">
        <v>1</v>
      </c>
      <c r="B93" s="381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3"/>
      <c r="W93" s="383"/>
      <c r="X93" s="383"/>
      <c r="Y93" s="384"/>
      <c r="Z93" s="384"/>
      <c r="AA93" s="384"/>
      <c r="AB93" s="384"/>
      <c r="AC93" s="384"/>
      <c r="AD93" s="385"/>
      <c r="AF93" s="50"/>
    </row>
    <row r="94" spans="1:32" ht="30.75" customHeight="1">
      <c r="A94" s="373">
        <v>2</v>
      </c>
      <c r="B94" s="374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6"/>
      <c r="U94" s="376"/>
      <c r="V94" s="377"/>
      <c r="W94" s="377"/>
      <c r="X94" s="377"/>
      <c r="Y94" s="365"/>
      <c r="Z94" s="365"/>
      <c r="AA94" s="365"/>
      <c r="AB94" s="365"/>
      <c r="AC94" s="365"/>
      <c r="AD94" s="366"/>
      <c r="AF94" s="50"/>
    </row>
    <row r="95" spans="1:32" ht="30.75" customHeight="1" thickBot="1">
      <c r="A95" s="367">
        <v>3</v>
      </c>
      <c r="B95" s="368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70"/>
      <c r="W95" s="370"/>
      <c r="X95" s="370"/>
      <c r="Y95" s="371"/>
      <c r="Z95" s="371"/>
      <c r="AA95" s="371"/>
      <c r="AB95" s="371"/>
      <c r="AC95" s="371"/>
      <c r="AD95" s="372"/>
      <c r="AF95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5C90-F9BA-42CB-B180-0118EDA23B93}">
  <sheetPr codeName="Sheet9">
    <pageSetUpPr fitToPage="1"/>
  </sheetPr>
  <dimension ref="A1:AF95"/>
  <sheetViews>
    <sheetView view="pageBreakPreview" topLeftCell="A70" zoomScale="70" zoomScaleNormal="72" zoomScaleSheetLayoutView="70" workbookViewId="0">
      <selection activeCell="A92" sqref="A92:B9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78" t="s">
        <v>476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79"/>
      <c r="B3" s="479"/>
      <c r="C3" s="479"/>
      <c r="D3" s="479"/>
      <c r="E3" s="479"/>
      <c r="F3" s="479"/>
      <c r="G3" s="47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80" t="s">
        <v>0</v>
      </c>
      <c r="B4" s="482" t="s">
        <v>1</v>
      </c>
      <c r="C4" s="482" t="s">
        <v>2</v>
      </c>
      <c r="D4" s="485" t="s">
        <v>3</v>
      </c>
      <c r="E4" s="487" t="s">
        <v>4</v>
      </c>
      <c r="F4" s="485" t="s">
        <v>5</v>
      </c>
      <c r="G4" s="482" t="s">
        <v>6</v>
      </c>
      <c r="H4" s="488" t="s">
        <v>7</v>
      </c>
      <c r="I4" s="468" t="s">
        <v>8</v>
      </c>
      <c r="J4" s="469"/>
      <c r="K4" s="469"/>
      <c r="L4" s="469"/>
      <c r="M4" s="469"/>
      <c r="N4" s="469"/>
      <c r="O4" s="470"/>
      <c r="P4" s="471" t="s">
        <v>9</v>
      </c>
      <c r="Q4" s="472"/>
      <c r="R4" s="473" t="s">
        <v>10</v>
      </c>
      <c r="S4" s="474"/>
      <c r="T4" s="474"/>
      <c r="U4" s="474"/>
      <c r="V4" s="475"/>
      <c r="W4" s="474" t="s">
        <v>11</v>
      </c>
      <c r="X4" s="474"/>
      <c r="Y4" s="474"/>
      <c r="Z4" s="474"/>
      <c r="AA4" s="475"/>
      <c r="AB4" s="476" t="s">
        <v>12</v>
      </c>
      <c r="AC4" s="450" t="s">
        <v>13</v>
      </c>
      <c r="AD4" s="450" t="s">
        <v>14</v>
      </c>
      <c r="AE4" s="54"/>
    </row>
    <row r="5" spans="1:32" ht="51" customHeight="1" thickBot="1">
      <c r="A5" s="481"/>
      <c r="B5" s="483"/>
      <c r="C5" s="484"/>
      <c r="D5" s="486"/>
      <c r="E5" s="486"/>
      <c r="F5" s="486"/>
      <c r="G5" s="483"/>
      <c r="H5" s="489"/>
      <c r="I5" s="55" t="s">
        <v>15</v>
      </c>
      <c r="J5" s="56" t="s">
        <v>16</v>
      </c>
      <c r="K5" s="204" t="s">
        <v>17</v>
      </c>
      <c r="L5" s="204" t="s">
        <v>18</v>
      </c>
      <c r="M5" s="204" t="s">
        <v>19</v>
      </c>
      <c r="N5" s="20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77"/>
      <c r="AC5" s="451"/>
      <c r="AD5" s="451"/>
      <c r="AE5" s="54"/>
    </row>
    <row r="6" spans="1:32" ht="27" customHeight="1">
      <c r="A6" s="106">
        <v>1</v>
      </c>
      <c r="B6" s="11" t="s">
        <v>57</v>
      </c>
      <c r="C6" s="34" t="s">
        <v>126</v>
      </c>
      <c r="D6" s="52" t="s">
        <v>197</v>
      </c>
      <c r="E6" s="53" t="s">
        <v>397</v>
      </c>
      <c r="F6" s="30" t="s">
        <v>150</v>
      </c>
      <c r="G6" s="12">
        <v>2</v>
      </c>
      <c r="H6" s="13">
        <v>24</v>
      </c>
      <c r="I6" s="31">
        <v>5500</v>
      </c>
      <c r="J6" s="14">
        <v>9700</v>
      </c>
      <c r="K6" s="15">
        <f>L6+9700</f>
        <v>9700</v>
      </c>
      <c r="L6" s="15"/>
      <c r="M6" s="15">
        <f t="shared" ref="M6:M29" si="0">L6-N6</f>
        <v>0</v>
      </c>
      <c r="N6" s="15">
        <v>0</v>
      </c>
      <c r="O6" s="58" t="str">
        <f t="shared" ref="O6:O30" si="1">IF(L6=0,"0",N6/L6)</f>
        <v>0</v>
      </c>
      <c r="P6" s="39" t="str">
        <f t="shared" ref="P6:P29" si="2">IF(L6=0,"0",(24-Q6))</f>
        <v>0</v>
      </c>
      <c r="Q6" s="40">
        <f t="shared" ref="Q6:Q29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9" si="4">IF(J6=0,"0",(L6/J6))</f>
        <v>0</v>
      </c>
      <c r="AC6" s="9">
        <f t="shared" ref="AC6:AC29" si="5">IF(P6=0,"0",(P6/24))</f>
        <v>0</v>
      </c>
      <c r="AD6" s="10">
        <f>AC6*AB6*(1-O6)</f>
        <v>0</v>
      </c>
      <c r="AE6" s="36">
        <f t="shared" ref="AE6:AE29" si="6">$AD$30</f>
        <v>0.55034722222222221</v>
      </c>
      <c r="AF6" s="81">
        <f t="shared" ref="AF6:AF29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115</v>
      </c>
      <c r="E7" s="53" t="s">
        <v>463</v>
      </c>
      <c r="F7" s="30" t="s">
        <v>136</v>
      </c>
      <c r="G7" s="12">
        <v>1</v>
      </c>
      <c r="H7" s="13">
        <v>24</v>
      </c>
      <c r="I7" s="31">
        <v>100</v>
      </c>
      <c r="J7" s="14">
        <v>221</v>
      </c>
      <c r="K7" s="15">
        <f>L7</f>
        <v>221</v>
      </c>
      <c r="L7" s="15">
        <f>221</f>
        <v>221</v>
      </c>
      <c r="M7" s="15">
        <f t="shared" si="0"/>
        <v>221</v>
      </c>
      <c r="N7" s="15">
        <v>0</v>
      </c>
      <c r="O7" s="58">
        <f t="shared" si="1"/>
        <v>0</v>
      </c>
      <c r="P7" s="39">
        <f t="shared" si="2"/>
        <v>4</v>
      </c>
      <c r="Q7" s="40">
        <f t="shared" si="3"/>
        <v>20</v>
      </c>
      <c r="R7" s="7"/>
      <c r="S7" s="6"/>
      <c r="T7" s="16"/>
      <c r="U7" s="16"/>
      <c r="V7" s="17"/>
      <c r="W7" s="5">
        <v>20</v>
      </c>
      <c r="X7" s="16"/>
      <c r="Y7" s="16"/>
      <c r="Z7" s="16"/>
      <c r="AA7" s="18"/>
      <c r="AB7" s="8">
        <f t="shared" si="4"/>
        <v>1</v>
      </c>
      <c r="AC7" s="9">
        <f t="shared" si="5"/>
        <v>0.16666666666666666</v>
      </c>
      <c r="AD7" s="10">
        <f t="shared" ref="AD7:AD29" si="8">AC7*AB7*(1-O7)</f>
        <v>0.16666666666666666</v>
      </c>
      <c r="AE7" s="36">
        <f t="shared" si="6"/>
        <v>0.55034722222222221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392</v>
      </c>
      <c r="F8" s="30" t="s">
        <v>152</v>
      </c>
      <c r="G8" s="12">
        <v>1</v>
      </c>
      <c r="H8" s="13">
        <v>35</v>
      </c>
      <c r="I8" s="31">
        <v>3000</v>
      </c>
      <c r="J8" s="5">
        <v>1518</v>
      </c>
      <c r="K8" s="15">
        <f>L8+587+104+747</f>
        <v>2956</v>
      </c>
      <c r="L8" s="15">
        <f>270+1248</f>
        <v>1518</v>
      </c>
      <c r="M8" s="15">
        <f t="shared" si="0"/>
        <v>1518</v>
      </c>
      <c r="N8" s="15">
        <v>0</v>
      </c>
      <c r="O8" s="58">
        <f t="shared" si="1"/>
        <v>0</v>
      </c>
      <c r="P8" s="39">
        <f t="shared" si="2"/>
        <v>10</v>
      </c>
      <c r="Q8" s="40">
        <f t="shared" si="3"/>
        <v>14</v>
      </c>
      <c r="R8" s="7"/>
      <c r="S8" s="6">
        <v>14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0.41666666666666669</v>
      </c>
      <c r="AD8" s="10">
        <f t="shared" si="8"/>
        <v>0.41666666666666669</v>
      </c>
      <c r="AE8" s="36">
        <f t="shared" si="6"/>
        <v>0.55034722222222221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147</v>
      </c>
      <c r="E9" s="53" t="s">
        <v>324</v>
      </c>
      <c r="F9" s="30" t="s">
        <v>348</v>
      </c>
      <c r="G9" s="12">
        <v>1</v>
      </c>
      <c r="H9" s="13">
        <v>24</v>
      </c>
      <c r="I9" s="7">
        <v>260000</v>
      </c>
      <c r="J9" s="14">
        <v>5606</v>
      </c>
      <c r="K9" s="15">
        <f>L9+4269+5331+5350+4338</f>
        <v>24894</v>
      </c>
      <c r="L9" s="15">
        <f>2786+2820</f>
        <v>5606</v>
      </c>
      <c r="M9" s="15">
        <f t="shared" si="0"/>
        <v>5606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0.55034722222222221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452</v>
      </c>
      <c r="D10" s="52"/>
      <c r="E10" s="53" t="s">
        <v>453</v>
      </c>
      <c r="F10" s="30" t="s">
        <v>148</v>
      </c>
      <c r="G10" s="33">
        <v>1</v>
      </c>
      <c r="H10" s="35">
        <v>24</v>
      </c>
      <c r="I10" s="7">
        <v>2000</v>
      </c>
      <c r="J10" s="14">
        <v>4147</v>
      </c>
      <c r="K10" s="15">
        <f>L10+4147</f>
        <v>4147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>
        <v>24</v>
      </c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8"/>
        <v>0</v>
      </c>
      <c r="AE10" s="36">
        <f t="shared" si="6"/>
        <v>0.55034722222222221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121</v>
      </c>
      <c r="E11" s="53" t="s">
        <v>464</v>
      </c>
      <c r="F11" s="30" t="s">
        <v>165</v>
      </c>
      <c r="G11" s="33">
        <v>1</v>
      </c>
      <c r="H11" s="35">
        <v>24</v>
      </c>
      <c r="I11" s="7">
        <v>6000</v>
      </c>
      <c r="J11" s="14">
        <v>4759</v>
      </c>
      <c r="K11" s="15">
        <f>L11</f>
        <v>4759</v>
      </c>
      <c r="L11" s="15">
        <f>2036+2723</f>
        <v>4759</v>
      </c>
      <c r="M11" s="15">
        <f t="shared" si="0"/>
        <v>4759</v>
      </c>
      <c r="N11" s="15">
        <v>0</v>
      </c>
      <c r="O11" s="58">
        <f t="shared" si="1"/>
        <v>0</v>
      </c>
      <c r="P11" s="39">
        <f t="shared" si="2"/>
        <v>22</v>
      </c>
      <c r="Q11" s="40">
        <f t="shared" si="3"/>
        <v>2</v>
      </c>
      <c r="R11" s="7"/>
      <c r="S11" s="6">
        <v>2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0.91666666666666663</v>
      </c>
      <c r="AD11" s="10">
        <f t="shared" si="8"/>
        <v>0.91666666666666663</v>
      </c>
      <c r="AE11" s="36">
        <f t="shared" si="6"/>
        <v>0.55034722222222221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163</v>
      </c>
      <c r="F12" s="30" t="s">
        <v>159</v>
      </c>
      <c r="G12" s="12">
        <v>1</v>
      </c>
      <c r="H12" s="13">
        <v>22</v>
      </c>
      <c r="I12" s="31">
        <v>40000</v>
      </c>
      <c r="J12" s="5">
        <v>5197</v>
      </c>
      <c r="K12" s="15">
        <f>L12+2299+960+4314+5153+4996+5031+573+5044+5157+4963+4296+5172+5278</f>
        <v>58433</v>
      </c>
      <c r="L12" s="15">
        <f>2629+2568</f>
        <v>5197</v>
      </c>
      <c r="M12" s="15">
        <f t="shared" si="0"/>
        <v>5197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0.55034722222222221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112</v>
      </c>
      <c r="D13" s="52" t="s">
        <v>147</v>
      </c>
      <c r="E13" s="53" t="s">
        <v>272</v>
      </c>
      <c r="F13" s="30" t="s">
        <v>148</v>
      </c>
      <c r="G13" s="33">
        <v>1</v>
      </c>
      <c r="H13" s="35">
        <v>22</v>
      </c>
      <c r="I13" s="7">
        <v>15000</v>
      </c>
      <c r="J13" s="14">
        <v>3993</v>
      </c>
      <c r="K13" s="15">
        <f>L13+4941+5660+5559+5974+5731</f>
        <v>31858</v>
      </c>
      <c r="L13" s="15">
        <f>3077+916</f>
        <v>3993</v>
      </c>
      <c r="M13" s="15">
        <f t="shared" si="0"/>
        <v>3993</v>
      </c>
      <c r="N13" s="15">
        <v>0</v>
      </c>
      <c r="O13" s="58">
        <f t="shared" si="1"/>
        <v>0</v>
      </c>
      <c r="P13" s="39">
        <f t="shared" si="2"/>
        <v>18</v>
      </c>
      <c r="Q13" s="40">
        <f t="shared" si="3"/>
        <v>6</v>
      </c>
      <c r="R13" s="7"/>
      <c r="S13" s="6">
        <v>6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0.75</v>
      </c>
      <c r="AD13" s="10">
        <f t="shared" si="8"/>
        <v>0.75</v>
      </c>
      <c r="AE13" s="36">
        <f t="shared" si="6"/>
        <v>0.55034722222222221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121</v>
      </c>
      <c r="E14" s="53" t="s">
        <v>174</v>
      </c>
      <c r="F14" s="30" t="s">
        <v>175</v>
      </c>
      <c r="G14" s="33">
        <v>1</v>
      </c>
      <c r="H14" s="35">
        <v>50</v>
      </c>
      <c r="I14" s="7">
        <v>350</v>
      </c>
      <c r="J14" s="5">
        <v>421</v>
      </c>
      <c r="K14" s="15">
        <f>L14+421</f>
        <v>421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0.55034722222222221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126</v>
      </c>
      <c r="D15" s="52"/>
      <c r="E15" s="53" t="s">
        <v>400</v>
      </c>
      <c r="F15" s="30" t="s">
        <v>411</v>
      </c>
      <c r="G15" s="12">
        <v>4</v>
      </c>
      <c r="H15" s="13">
        <v>24</v>
      </c>
      <c r="I15" s="31">
        <v>200000</v>
      </c>
      <c r="J15" s="14">
        <v>34160</v>
      </c>
      <c r="K15" s="15">
        <f>L15+22472+34740</f>
        <v>91372</v>
      </c>
      <c r="L15" s="15">
        <f>4292*4+4248*4</f>
        <v>34160</v>
      </c>
      <c r="M15" s="15">
        <f t="shared" si="0"/>
        <v>34160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0.55034722222222221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197</v>
      </c>
      <c r="E16" s="53" t="s">
        <v>366</v>
      </c>
      <c r="F16" s="30" t="s">
        <v>123</v>
      </c>
      <c r="G16" s="12">
        <v>2</v>
      </c>
      <c r="H16" s="13">
        <v>22</v>
      </c>
      <c r="I16" s="31">
        <v>260000</v>
      </c>
      <c r="J16" s="5">
        <v>11420</v>
      </c>
      <c r="K16" s="15">
        <f>L16+9350+9873+10572</f>
        <v>41215</v>
      </c>
      <c r="L16" s="15">
        <f>2868*2+2842*2</f>
        <v>11420</v>
      </c>
      <c r="M16" s="15">
        <f t="shared" si="0"/>
        <v>11420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0.55034722222222221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116</v>
      </c>
      <c r="D17" s="52" t="s">
        <v>137</v>
      </c>
      <c r="E17" s="53" t="s">
        <v>477</v>
      </c>
      <c r="F17" s="30" t="s">
        <v>478</v>
      </c>
      <c r="G17" s="12">
        <v>1</v>
      </c>
      <c r="H17" s="13">
        <v>24</v>
      </c>
      <c r="I17" s="7">
        <v>500</v>
      </c>
      <c r="J17" s="14">
        <v>852</v>
      </c>
      <c r="K17" s="15">
        <f>L17</f>
        <v>852</v>
      </c>
      <c r="L17" s="15">
        <f>284+568</f>
        <v>852</v>
      </c>
      <c r="M17" s="15">
        <f t="shared" si="0"/>
        <v>852</v>
      </c>
      <c r="N17" s="15">
        <v>0</v>
      </c>
      <c r="O17" s="58">
        <f t="shared" si="1"/>
        <v>0</v>
      </c>
      <c r="P17" s="39">
        <f t="shared" si="2"/>
        <v>5</v>
      </c>
      <c r="Q17" s="40">
        <f t="shared" si="3"/>
        <v>19</v>
      </c>
      <c r="R17" s="7"/>
      <c r="S17" s="6"/>
      <c r="T17" s="16"/>
      <c r="U17" s="16"/>
      <c r="V17" s="17"/>
      <c r="W17" s="5">
        <v>19</v>
      </c>
      <c r="X17" s="16"/>
      <c r="Y17" s="16"/>
      <c r="Z17" s="16"/>
      <c r="AA17" s="18"/>
      <c r="AB17" s="8">
        <f t="shared" si="4"/>
        <v>1</v>
      </c>
      <c r="AC17" s="9">
        <f t="shared" si="5"/>
        <v>0.20833333333333334</v>
      </c>
      <c r="AD17" s="10">
        <f t="shared" si="8"/>
        <v>0.20833333333333334</v>
      </c>
      <c r="AE17" s="36">
        <f t="shared" si="6"/>
        <v>0.55034722222222221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371</v>
      </c>
      <c r="F18" s="30" t="s">
        <v>135</v>
      </c>
      <c r="G18" s="12">
        <v>2</v>
      </c>
      <c r="H18" s="13">
        <v>22</v>
      </c>
      <c r="I18" s="31">
        <v>260000</v>
      </c>
      <c r="J18" s="5">
        <v>11082</v>
      </c>
      <c r="K18" s="15">
        <f>L18+10480+11444+11648</f>
        <v>44654</v>
      </c>
      <c r="L18" s="15">
        <f>2797*2+2744*2</f>
        <v>11082</v>
      </c>
      <c r="M18" s="15">
        <f t="shared" si="0"/>
        <v>11082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0.55034722222222221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112</v>
      </c>
      <c r="D19" s="52" t="s">
        <v>149</v>
      </c>
      <c r="E19" s="53" t="s">
        <v>469</v>
      </c>
      <c r="F19" s="30" t="s">
        <v>123</v>
      </c>
      <c r="G19" s="33">
        <v>1</v>
      </c>
      <c r="H19" s="35">
        <v>24</v>
      </c>
      <c r="I19" s="7">
        <v>15000</v>
      </c>
      <c r="J19" s="14">
        <v>5078</v>
      </c>
      <c r="K19" s="15">
        <f>L19</f>
        <v>5078</v>
      </c>
      <c r="L19" s="15">
        <f>2335+2743</f>
        <v>5078</v>
      </c>
      <c r="M19" s="15">
        <f t="shared" si="0"/>
        <v>5078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0.55034722222222221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115</v>
      </c>
      <c r="E20" s="53" t="s">
        <v>140</v>
      </c>
      <c r="F20" s="30" t="s">
        <v>135</v>
      </c>
      <c r="G20" s="33">
        <v>1</v>
      </c>
      <c r="H20" s="35">
        <v>24</v>
      </c>
      <c r="I20" s="7">
        <v>70000</v>
      </c>
      <c r="J20" s="14">
        <v>10430</v>
      </c>
      <c r="K20" s="15">
        <f>L20+3150+7466+4534+7764+11032+11156+11220+10030+4886+5156+5465+5493+1986+8040+10452+11066+10928+10356+10230+10310+11068</f>
        <v>182218</v>
      </c>
      <c r="L20" s="15">
        <f>2514*2+2701*2</f>
        <v>10430</v>
      </c>
      <c r="M20" s="15">
        <f t="shared" si="0"/>
        <v>10430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0.55034722222222221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352</v>
      </c>
      <c r="F21" s="12" t="s">
        <v>114</v>
      </c>
      <c r="G21" s="12">
        <v>4</v>
      </c>
      <c r="H21" s="35">
        <v>20</v>
      </c>
      <c r="I21" s="7">
        <v>2000000</v>
      </c>
      <c r="J21" s="14">
        <v>68392</v>
      </c>
      <c r="K21" s="15">
        <f>L21+43956+57712+63776+65248</f>
        <v>299084</v>
      </c>
      <c r="L21" s="15">
        <f>8792*4+8306*4</f>
        <v>68392</v>
      </c>
      <c r="M21" s="15">
        <f t="shared" si="0"/>
        <v>68392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0.55034722222222221</v>
      </c>
      <c r="AF21" s="81">
        <f t="shared" si="7"/>
        <v>16</v>
      </c>
    </row>
    <row r="22" spans="1:32" ht="26.25" customHeight="1">
      <c r="A22" s="115">
        <v>17</v>
      </c>
      <c r="B22" s="11" t="s">
        <v>57</v>
      </c>
      <c r="C22" s="11"/>
      <c r="D22" s="52"/>
      <c r="E22" s="53"/>
      <c r="F22" s="12"/>
      <c r="G22" s="12"/>
      <c r="H22" s="35"/>
      <c r="I22" s="7">
        <v>0</v>
      </c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0.55034722222222221</v>
      </c>
      <c r="AF22" s="81">
        <f t="shared" si="7"/>
        <v>17</v>
      </c>
    </row>
    <row r="23" spans="1:32" ht="26.25" customHeight="1">
      <c r="A23" s="115">
        <v>18</v>
      </c>
      <c r="B23" s="11" t="s">
        <v>57</v>
      </c>
      <c r="C23" s="11" t="s">
        <v>116</v>
      </c>
      <c r="D23" s="52" t="s">
        <v>178</v>
      </c>
      <c r="E23" s="53" t="s">
        <v>353</v>
      </c>
      <c r="F23" s="12" t="s">
        <v>180</v>
      </c>
      <c r="G23" s="12">
        <v>4</v>
      </c>
      <c r="H23" s="35">
        <v>15</v>
      </c>
      <c r="I23" s="7">
        <v>20000</v>
      </c>
      <c r="J23" s="14">
        <v>25304</v>
      </c>
      <c r="K23" s="15">
        <f>L23+14040+7084+2888</f>
        <v>49316</v>
      </c>
      <c r="L23" s="15">
        <f>5966*4+360*4</f>
        <v>25304</v>
      </c>
      <c r="M23" s="15">
        <f t="shared" si="0"/>
        <v>25304</v>
      </c>
      <c r="N23" s="15">
        <v>0</v>
      </c>
      <c r="O23" s="58">
        <f t="shared" si="1"/>
        <v>0</v>
      </c>
      <c r="P23" s="39">
        <f t="shared" si="2"/>
        <v>14</v>
      </c>
      <c r="Q23" s="40">
        <f t="shared" si="3"/>
        <v>10</v>
      </c>
      <c r="R23" s="7"/>
      <c r="S23" s="6">
        <v>10</v>
      </c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0.58333333333333337</v>
      </c>
      <c r="AD23" s="10">
        <f t="shared" si="8"/>
        <v>0.58333333333333337</v>
      </c>
      <c r="AE23" s="36">
        <f t="shared" si="6"/>
        <v>0.55034722222222221</v>
      </c>
      <c r="AF23" s="81">
        <f t="shared" si="7"/>
        <v>18</v>
      </c>
    </row>
    <row r="24" spans="1:32" ht="21.75" customHeight="1">
      <c r="A24" s="92">
        <v>31</v>
      </c>
      <c r="B24" s="11" t="s">
        <v>57</v>
      </c>
      <c r="C24" s="11" t="s">
        <v>116</v>
      </c>
      <c r="D24" s="52" t="s">
        <v>115</v>
      </c>
      <c r="E24" s="53" t="s">
        <v>143</v>
      </c>
      <c r="F24" s="12" t="s">
        <v>135</v>
      </c>
      <c r="G24" s="12">
        <v>4</v>
      </c>
      <c r="H24" s="35">
        <v>20</v>
      </c>
      <c r="I24" s="7">
        <v>70000</v>
      </c>
      <c r="J24" s="14">
        <v>22300</v>
      </c>
      <c r="K24" s="15">
        <f>L24+22300</f>
        <v>22300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0.55034722222222221</v>
      </c>
      <c r="AF24" s="81">
        <f t="shared" si="7"/>
        <v>31</v>
      </c>
    </row>
    <row r="25" spans="1:32" ht="21.75" customHeight="1">
      <c r="A25" s="92">
        <v>32</v>
      </c>
      <c r="B25" s="11" t="s">
        <v>57</v>
      </c>
      <c r="C25" s="11" t="s">
        <v>172</v>
      </c>
      <c r="D25" s="52"/>
      <c r="E25" s="53" t="s">
        <v>413</v>
      </c>
      <c r="F25" s="12" t="s">
        <v>173</v>
      </c>
      <c r="G25" s="12">
        <v>2</v>
      </c>
      <c r="H25" s="35">
        <v>20</v>
      </c>
      <c r="I25" s="7">
        <v>24000</v>
      </c>
      <c r="J25" s="14">
        <v>30240</v>
      </c>
      <c r="K25" s="15">
        <f>L25+30240</f>
        <v>30240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0.55034722222222221</v>
      </c>
      <c r="AF25" s="81">
        <f t="shared" si="7"/>
        <v>32</v>
      </c>
    </row>
    <row r="26" spans="1:32" ht="21.75" customHeight="1">
      <c r="A26" s="92">
        <v>33</v>
      </c>
      <c r="B26" s="11" t="s">
        <v>57</v>
      </c>
      <c r="C26" s="11" t="s">
        <v>116</v>
      </c>
      <c r="D26" s="52" t="s">
        <v>115</v>
      </c>
      <c r="E26" s="53" t="s">
        <v>414</v>
      </c>
      <c r="F26" s="12" t="s">
        <v>135</v>
      </c>
      <c r="G26" s="12">
        <v>3</v>
      </c>
      <c r="H26" s="35">
        <v>20</v>
      </c>
      <c r="I26" s="7">
        <v>130000</v>
      </c>
      <c r="J26" s="14">
        <v>22923</v>
      </c>
      <c r="K26" s="15">
        <f>L26+15220+23840</f>
        <v>61983</v>
      </c>
      <c r="L26" s="15">
        <f>2924*4+1402*4+1873*3</f>
        <v>22923</v>
      </c>
      <c r="M26" s="15">
        <f t="shared" si="0"/>
        <v>22923</v>
      </c>
      <c r="N26" s="15">
        <v>0</v>
      </c>
      <c r="O26" s="58">
        <f t="shared" si="1"/>
        <v>0</v>
      </c>
      <c r="P26" s="39">
        <f t="shared" si="2"/>
        <v>23</v>
      </c>
      <c r="Q26" s="40">
        <f t="shared" si="3"/>
        <v>1</v>
      </c>
      <c r="R26" s="7"/>
      <c r="S26" s="6">
        <v>1</v>
      </c>
      <c r="T26" s="16"/>
      <c r="U26" s="16"/>
      <c r="V26" s="114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0.95833333333333337</v>
      </c>
      <c r="AD26" s="10">
        <f t="shared" si="8"/>
        <v>0.95833333333333337</v>
      </c>
      <c r="AE26" s="36">
        <f t="shared" si="6"/>
        <v>0.55034722222222221</v>
      </c>
      <c r="AF26" s="81">
        <f t="shared" si="7"/>
        <v>33</v>
      </c>
    </row>
    <row r="27" spans="1:32" ht="21.75" customHeight="1">
      <c r="A27" s="92">
        <v>34</v>
      </c>
      <c r="B27" s="11" t="s">
        <v>57</v>
      </c>
      <c r="C27" s="11" t="s">
        <v>116</v>
      </c>
      <c r="D27" s="52" t="s">
        <v>197</v>
      </c>
      <c r="E27" s="53" t="s">
        <v>415</v>
      </c>
      <c r="F27" s="12" t="s">
        <v>124</v>
      </c>
      <c r="G27" s="12">
        <v>2</v>
      </c>
      <c r="H27" s="35">
        <v>20</v>
      </c>
      <c r="I27" s="7">
        <v>130000</v>
      </c>
      <c r="J27" s="14">
        <v>1958</v>
      </c>
      <c r="K27" s="15">
        <f>L27+15632+12648</f>
        <v>30238</v>
      </c>
      <c r="L27" s="15">
        <f>979*2</f>
        <v>1958</v>
      </c>
      <c r="M27" s="15">
        <f t="shared" si="0"/>
        <v>1958</v>
      </c>
      <c r="N27" s="15">
        <v>0</v>
      </c>
      <c r="O27" s="58">
        <f t="shared" si="1"/>
        <v>0</v>
      </c>
      <c r="P27" s="39">
        <f t="shared" si="2"/>
        <v>5</v>
      </c>
      <c r="Q27" s="40">
        <f t="shared" si="3"/>
        <v>19</v>
      </c>
      <c r="R27" s="7"/>
      <c r="S27" s="6">
        <v>19</v>
      </c>
      <c r="T27" s="16"/>
      <c r="U27" s="16"/>
      <c r="V27" s="114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0.20833333333333334</v>
      </c>
      <c r="AD27" s="10">
        <f t="shared" si="8"/>
        <v>0.20833333333333334</v>
      </c>
      <c r="AE27" s="36">
        <f t="shared" si="6"/>
        <v>0.55034722222222221</v>
      </c>
      <c r="AF27" s="81">
        <f t="shared" si="7"/>
        <v>34</v>
      </c>
    </row>
    <row r="28" spans="1:32" ht="21.75" customHeight="1">
      <c r="A28" s="92">
        <v>35</v>
      </c>
      <c r="B28" s="11" t="s">
        <v>57</v>
      </c>
      <c r="C28" s="11" t="s">
        <v>116</v>
      </c>
      <c r="D28" s="52" t="s">
        <v>121</v>
      </c>
      <c r="E28" s="53" t="s">
        <v>416</v>
      </c>
      <c r="F28" s="12" t="s">
        <v>124</v>
      </c>
      <c r="G28" s="12">
        <v>4</v>
      </c>
      <c r="H28" s="35">
        <v>20</v>
      </c>
      <c r="I28" s="7">
        <v>130000</v>
      </c>
      <c r="J28" s="14">
        <v>29980</v>
      </c>
      <c r="K28" s="15">
        <f>L28+27916</f>
        <v>57896</v>
      </c>
      <c r="L28" s="15">
        <f>3578*4+3917*4</f>
        <v>29980</v>
      </c>
      <c r="M28" s="15">
        <f t="shared" si="0"/>
        <v>29980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8"/>
        <v>1</v>
      </c>
      <c r="AE28" s="36">
        <f t="shared" si="6"/>
        <v>0.55034722222222221</v>
      </c>
      <c r="AF28" s="81">
        <f t="shared" si="7"/>
        <v>35</v>
      </c>
    </row>
    <row r="29" spans="1:32" ht="21.75" customHeight="1" thickBot="1">
      <c r="A29" s="92">
        <v>36</v>
      </c>
      <c r="B29" s="11" t="s">
        <v>57</v>
      </c>
      <c r="C29" s="11" t="s">
        <v>113</v>
      </c>
      <c r="D29" s="52"/>
      <c r="E29" s="53" t="s">
        <v>144</v>
      </c>
      <c r="F29" s="12" t="s">
        <v>114</v>
      </c>
      <c r="G29" s="12">
        <v>4</v>
      </c>
      <c r="H29" s="35">
        <v>20</v>
      </c>
      <c r="I29" s="7">
        <v>1000000</v>
      </c>
      <c r="J29" s="14">
        <v>79328</v>
      </c>
      <c r="K29" s="15">
        <f>L29+28388+70816+76368+81764+83428+47688+53180+83092+82192+79328</f>
        <v>686244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>
        <v>24</v>
      </c>
      <c r="W29" s="5"/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0.55034722222222221</v>
      </c>
      <c r="AF29" s="81">
        <f t="shared" si="7"/>
        <v>36</v>
      </c>
    </row>
    <row r="30" spans="1:32" ht="19.5" thickBot="1">
      <c r="A30" s="452" t="s">
        <v>34</v>
      </c>
      <c r="B30" s="453"/>
      <c r="C30" s="453"/>
      <c r="D30" s="453"/>
      <c r="E30" s="453"/>
      <c r="F30" s="453"/>
      <c r="G30" s="453"/>
      <c r="H30" s="454"/>
      <c r="I30" s="22">
        <f t="shared" ref="I30:N30" si="9">SUM(I6:I29)</f>
        <v>4641450</v>
      </c>
      <c r="J30" s="19">
        <f t="shared" si="9"/>
        <v>389009</v>
      </c>
      <c r="K30" s="20">
        <f t="shared" si="9"/>
        <v>1740079</v>
      </c>
      <c r="L30" s="21">
        <f t="shared" si="9"/>
        <v>242873</v>
      </c>
      <c r="M30" s="20">
        <f t="shared" si="9"/>
        <v>242873</v>
      </c>
      <c r="N30" s="21">
        <f t="shared" si="9"/>
        <v>0</v>
      </c>
      <c r="O30" s="41">
        <f t="shared" si="1"/>
        <v>0</v>
      </c>
      <c r="P30" s="42">
        <f t="shared" ref="P30:AA30" si="10">SUM(P6:P29)</f>
        <v>317</v>
      </c>
      <c r="Q30" s="43">
        <f t="shared" si="10"/>
        <v>259</v>
      </c>
      <c r="R30" s="23">
        <f t="shared" si="10"/>
        <v>24</v>
      </c>
      <c r="S30" s="24">
        <f t="shared" si="10"/>
        <v>52</v>
      </c>
      <c r="T30" s="24">
        <f t="shared" si="10"/>
        <v>0</v>
      </c>
      <c r="U30" s="24">
        <f t="shared" si="10"/>
        <v>0</v>
      </c>
      <c r="V30" s="25">
        <f t="shared" si="10"/>
        <v>48</v>
      </c>
      <c r="W30" s="26">
        <f t="shared" si="10"/>
        <v>135</v>
      </c>
      <c r="X30" s="27">
        <f t="shared" si="10"/>
        <v>0</v>
      </c>
      <c r="Y30" s="27">
        <f t="shared" si="10"/>
        <v>0</v>
      </c>
      <c r="Z30" s="27">
        <f t="shared" si="10"/>
        <v>0</v>
      </c>
      <c r="AA30" s="27">
        <f t="shared" si="10"/>
        <v>0</v>
      </c>
      <c r="AB30" s="28">
        <f>AVERAGE(AB6:AB29)</f>
        <v>0.73913043478260865</v>
      </c>
      <c r="AC30" s="4">
        <f>AVERAGE(AC6:AC29)</f>
        <v>0.55034722222222221</v>
      </c>
      <c r="AD30" s="4">
        <f>AVERAGE(AD6:AD29)</f>
        <v>0.55034722222222221</v>
      </c>
      <c r="AE30" s="29"/>
    </row>
    <row r="31" spans="1:32">
      <c r="T31" s="50" t="s">
        <v>127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128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2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455" t="s">
        <v>45</v>
      </c>
      <c r="B57" s="455"/>
      <c r="C57" s="455"/>
      <c r="D57" s="455"/>
      <c r="E57" s="455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456" t="s">
        <v>479</v>
      </c>
      <c r="B58" s="457"/>
      <c r="C58" s="457"/>
      <c r="D58" s="457"/>
      <c r="E58" s="457"/>
      <c r="F58" s="457"/>
      <c r="G58" s="457"/>
      <c r="H58" s="457"/>
      <c r="I58" s="457"/>
      <c r="J58" s="457"/>
      <c r="K58" s="457"/>
      <c r="L58" s="457"/>
      <c r="M58" s="458"/>
      <c r="N58" s="459" t="s">
        <v>485</v>
      </c>
      <c r="O58" s="460"/>
      <c r="P58" s="460"/>
      <c r="Q58" s="460"/>
      <c r="R58" s="460"/>
      <c r="S58" s="460"/>
      <c r="T58" s="460"/>
      <c r="U58" s="460"/>
      <c r="V58" s="460"/>
      <c r="W58" s="460"/>
      <c r="X58" s="460"/>
      <c r="Y58" s="460"/>
      <c r="Z58" s="460"/>
      <c r="AA58" s="460"/>
      <c r="AB58" s="460"/>
      <c r="AC58" s="460"/>
      <c r="AD58" s="461"/>
    </row>
    <row r="59" spans="1:32" ht="27" customHeight="1">
      <c r="A59" s="462" t="s">
        <v>2</v>
      </c>
      <c r="B59" s="463"/>
      <c r="C59" s="205" t="s">
        <v>46</v>
      </c>
      <c r="D59" s="205" t="s">
        <v>47</v>
      </c>
      <c r="E59" s="205" t="s">
        <v>107</v>
      </c>
      <c r="F59" s="464" t="s">
        <v>106</v>
      </c>
      <c r="G59" s="465"/>
      <c r="H59" s="465"/>
      <c r="I59" s="465"/>
      <c r="J59" s="465"/>
      <c r="K59" s="465"/>
      <c r="L59" s="465"/>
      <c r="M59" s="466"/>
      <c r="N59" s="67" t="s">
        <v>110</v>
      </c>
      <c r="O59" s="205" t="s">
        <v>46</v>
      </c>
      <c r="P59" s="464" t="s">
        <v>47</v>
      </c>
      <c r="Q59" s="467"/>
      <c r="R59" s="464" t="s">
        <v>38</v>
      </c>
      <c r="S59" s="465"/>
      <c r="T59" s="465"/>
      <c r="U59" s="467"/>
      <c r="V59" s="464" t="s">
        <v>48</v>
      </c>
      <c r="W59" s="465"/>
      <c r="X59" s="465"/>
      <c r="Y59" s="465"/>
      <c r="Z59" s="465"/>
      <c r="AA59" s="465"/>
      <c r="AB59" s="465"/>
      <c r="AC59" s="465"/>
      <c r="AD59" s="466"/>
    </row>
    <row r="60" spans="1:32" ht="27" customHeight="1">
      <c r="A60" s="430" t="s">
        <v>112</v>
      </c>
      <c r="B60" s="431"/>
      <c r="C60" s="206" t="s">
        <v>160</v>
      </c>
      <c r="D60" s="206" t="s">
        <v>115</v>
      </c>
      <c r="E60" s="207" t="s">
        <v>463</v>
      </c>
      <c r="F60" s="432" t="s">
        <v>154</v>
      </c>
      <c r="G60" s="433"/>
      <c r="H60" s="433"/>
      <c r="I60" s="433"/>
      <c r="J60" s="433"/>
      <c r="K60" s="433"/>
      <c r="L60" s="433"/>
      <c r="M60" s="434"/>
      <c r="N60" s="141" t="s">
        <v>112</v>
      </c>
      <c r="O60" s="220" t="s">
        <v>146</v>
      </c>
      <c r="P60" s="447" t="s">
        <v>115</v>
      </c>
      <c r="Q60" s="448"/>
      <c r="R60" s="447" t="s">
        <v>392</v>
      </c>
      <c r="S60" s="449"/>
      <c r="T60" s="449"/>
      <c r="U60" s="448"/>
      <c r="V60" s="436" t="s">
        <v>141</v>
      </c>
      <c r="W60" s="437"/>
      <c r="X60" s="437"/>
      <c r="Y60" s="437"/>
      <c r="Z60" s="437"/>
      <c r="AA60" s="437"/>
      <c r="AB60" s="437"/>
      <c r="AC60" s="437"/>
      <c r="AD60" s="438"/>
    </row>
    <row r="61" spans="1:32" ht="27" customHeight="1">
      <c r="A61" s="430" t="s">
        <v>112</v>
      </c>
      <c r="B61" s="431"/>
      <c r="C61" s="206" t="s">
        <v>146</v>
      </c>
      <c r="D61" s="206" t="s">
        <v>115</v>
      </c>
      <c r="E61" s="207" t="s">
        <v>392</v>
      </c>
      <c r="F61" s="432" t="s">
        <v>480</v>
      </c>
      <c r="G61" s="433"/>
      <c r="H61" s="433"/>
      <c r="I61" s="433"/>
      <c r="J61" s="433"/>
      <c r="K61" s="433"/>
      <c r="L61" s="433"/>
      <c r="M61" s="434"/>
      <c r="N61" s="141" t="s">
        <v>112</v>
      </c>
      <c r="O61" s="212" t="s">
        <v>489</v>
      </c>
      <c r="P61" s="447" t="s">
        <v>490</v>
      </c>
      <c r="Q61" s="448"/>
      <c r="R61" s="447" t="s">
        <v>491</v>
      </c>
      <c r="S61" s="449"/>
      <c r="T61" s="449"/>
      <c r="U61" s="448"/>
      <c r="V61" s="436" t="s">
        <v>154</v>
      </c>
      <c r="W61" s="437"/>
      <c r="X61" s="437"/>
      <c r="Y61" s="437"/>
      <c r="Z61" s="437"/>
      <c r="AA61" s="437"/>
      <c r="AB61" s="437"/>
      <c r="AC61" s="437"/>
      <c r="AD61" s="438"/>
    </row>
    <row r="62" spans="1:32" ht="27" customHeight="1">
      <c r="A62" s="430" t="s">
        <v>112</v>
      </c>
      <c r="B62" s="431"/>
      <c r="C62" s="206" t="s">
        <v>166</v>
      </c>
      <c r="D62" s="206" t="s">
        <v>121</v>
      </c>
      <c r="E62" s="207" t="s">
        <v>464</v>
      </c>
      <c r="F62" s="432" t="s">
        <v>481</v>
      </c>
      <c r="G62" s="433"/>
      <c r="H62" s="433"/>
      <c r="I62" s="433"/>
      <c r="J62" s="433"/>
      <c r="K62" s="433"/>
      <c r="L62" s="433"/>
      <c r="M62" s="434"/>
      <c r="N62" s="141" t="s">
        <v>493</v>
      </c>
      <c r="O62" s="212" t="s">
        <v>494</v>
      </c>
      <c r="P62" s="447"/>
      <c r="Q62" s="448"/>
      <c r="R62" s="447" t="s">
        <v>492</v>
      </c>
      <c r="S62" s="449"/>
      <c r="T62" s="449"/>
      <c r="U62" s="448"/>
      <c r="V62" s="436" t="s">
        <v>154</v>
      </c>
      <c r="W62" s="437"/>
      <c r="X62" s="437"/>
      <c r="Y62" s="437"/>
      <c r="Z62" s="437"/>
      <c r="AA62" s="437"/>
      <c r="AB62" s="437"/>
      <c r="AC62" s="437"/>
      <c r="AD62" s="438"/>
    </row>
    <row r="63" spans="1:32" ht="27" customHeight="1">
      <c r="A63" s="430" t="s">
        <v>112</v>
      </c>
      <c r="B63" s="431"/>
      <c r="C63" s="206" t="s">
        <v>261</v>
      </c>
      <c r="D63" s="206" t="s">
        <v>147</v>
      </c>
      <c r="E63" s="207" t="s">
        <v>272</v>
      </c>
      <c r="F63" s="436" t="s">
        <v>466</v>
      </c>
      <c r="G63" s="437"/>
      <c r="H63" s="437"/>
      <c r="I63" s="437"/>
      <c r="J63" s="437"/>
      <c r="K63" s="437"/>
      <c r="L63" s="437"/>
      <c r="M63" s="438"/>
      <c r="N63" s="141"/>
      <c r="O63" s="212"/>
      <c r="P63" s="447"/>
      <c r="Q63" s="448"/>
      <c r="R63" s="447"/>
      <c r="S63" s="449"/>
      <c r="T63" s="449"/>
      <c r="U63" s="448"/>
      <c r="V63" s="436"/>
      <c r="W63" s="437"/>
      <c r="X63" s="437"/>
      <c r="Y63" s="437"/>
      <c r="Z63" s="437"/>
      <c r="AA63" s="437"/>
      <c r="AB63" s="437"/>
      <c r="AC63" s="437"/>
      <c r="AD63" s="438"/>
    </row>
    <row r="64" spans="1:32" ht="27" customHeight="1">
      <c r="A64" s="430" t="s">
        <v>116</v>
      </c>
      <c r="B64" s="431"/>
      <c r="C64" s="206" t="s">
        <v>204</v>
      </c>
      <c r="D64" s="206" t="s">
        <v>137</v>
      </c>
      <c r="E64" s="207" t="s">
        <v>477</v>
      </c>
      <c r="F64" s="436" t="s">
        <v>154</v>
      </c>
      <c r="G64" s="437"/>
      <c r="H64" s="437"/>
      <c r="I64" s="437"/>
      <c r="J64" s="437"/>
      <c r="K64" s="437"/>
      <c r="L64" s="437"/>
      <c r="M64" s="438"/>
      <c r="N64" s="141"/>
      <c r="O64" s="212"/>
      <c r="P64" s="447"/>
      <c r="Q64" s="448"/>
      <c r="R64" s="447"/>
      <c r="S64" s="449"/>
      <c r="T64" s="449"/>
      <c r="U64" s="448"/>
      <c r="V64" s="436"/>
      <c r="W64" s="437"/>
      <c r="X64" s="437"/>
      <c r="Y64" s="437"/>
      <c r="Z64" s="437"/>
      <c r="AA64" s="437"/>
      <c r="AB64" s="437"/>
      <c r="AC64" s="437"/>
      <c r="AD64" s="438"/>
    </row>
    <row r="65" spans="1:32" ht="27" customHeight="1">
      <c r="A65" s="430" t="s">
        <v>112</v>
      </c>
      <c r="B65" s="431"/>
      <c r="C65" s="206" t="s">
        <v>299</v>
      </c>
      <c r="D65" s="206" t="s">
        <v>297</v>
      </c>
      <c r="E65" s="207" t="s">
        <v>353</v>
      </c>
      <c r="F65" s="432" t="s">
        <v>141</v>
      </c>
      <c r="G65" s="433"/>
      <c r="H65" s="433"/>
      <c r="I65" s="433"/>
      <c r="J65" s="433"/>
      <c r="K65" s="433"/>
      <c r="L65" s="433"/>
      <c r="M65" s="434"/>
      <c r="N65" s="141"/>
      <c r="O65" s="212"/>
      <c r="P65" s="447"/>
      <c r="Q65" s="448"/>
      <c r="R65" s="447"/>
      <c r="S65" s="449"/>
      <c r="T65" s="449"/>
      <c r="U65" s="448"/>
      <c r="V65" s="436"/>
      <c r="W65" s="437"/>
      <c r="X65" s="437"/>
      <c r="Y65" s="437"/>
      <c r="Z65" s="437"/>
      <c r="AA65" s="437"/>
      <c r="AB65" s="437"/>
      <c r="AC65" s="437"/>
      <c r="AD65" s="438"/>
    </row>
    <row r="66" spans="1:32" ht="27" customHeight="1">
      <c r="A66" s="430" t="s">
        <v>116</v>
      </c>
      <c r="B66" s="431"/>
      <c r="C66" s="206" t="s">
        <v>482</v>
      </c>
      <c r="D66" s="206" t="s">
        <v>115</v>
      </c>
      <c r="E66" s="207" t="s">
        <v>483</v>
      </c>
      <c r="F66" s="436" t="s">
        <v>484</v>
      </c>
      <c r="G66" s="437"/>
      <c r="H66" s="437"/>
      <c r="I66" s="437"/>
      <c r="J66" s="437"/>
      <c r="K66" s="437"/>
      <c r="L66" s="437"/>
      <c r="M66" s="438"/>
      <c r="N66" s="141"/>
      <c r="O66" s="212"/>
      <c r="P66" s="447"/>
      <c r="Q66" s="448"/>
      <c r="R66" s="447"/>
      <c r="S66" s="449"/>
      <c r="T66" s="449"/>
      <c r="U66" s="448"/>
      <c r="V66" s="436"/>
      <c r="W66" s="437"/>
      <c r="X66" s="437"/>
      <c r="Y66" s="437"/>
      <c r="Z66" s="437"/>
      <c r="AA66" s="437"/>
      <c r="AB66" s="437"/>
      <c r="AC66" s="437"/>
      <c r="AD66" s="438"/>
    </row>
    <row r="67" spans="1:32" ht="27" customHeight="1">
      <c r="A67" s="430" t="s">
        <v>112</v>
      </c>
      <c r="B67" s="431"/>
      <c r="C67" s="206" t="s">
        <v>487</v>
      </c>
      <c r="D67" s="206" t="s">
        <v>488</v>
      </c>
      <c r="E67" s="207" t="s">
        <v>486</v>
      </c>
      <c r="F67" s="436" t="s">
        <v>154</v>
      </c>
      <c r="G67" s="437"/>
      <c r="H67" s="437"/>
      <c r="I67" s="437"/>
      <c r="J67" s="437"/>
      <c r="K67" s="437"/>
      <c r="L67" s="437"/>
      <c r="M67" s="438"/>
      <c r="N67" s="141"/>
      <c r="O67" s="212"/>
      <c r="P67" s="447"/>
      <c r="Q67" s="448"/>
      <c r="R67" s="447"/>
      <c r="S67" s="449"/>
      <c r="T67" s="449"/>
      <c r="U67" s="448"/>
      <c r="V67" s="436"/>
      <c r="W67" s="437"/>
      <c r="X67" s="437"/>
      <c r="Y67" s="437"/>
      <c r="Z67" s="437"/>
      <c r="AA67" s="437"/>
      <c r="AB67" s="437"/>
      <c r="AC67" s="437"/>
      <c r="AD67" s="438"/>
    </row>
    <row r="68" spans="1:32" ht="27" customHeight="1">
      <c r="A68" s="430"/>
      <c r="B68" s="431"/>
      <c r="C68" s="206"/>
      <c r="D68" s="206"/>
      <c r="E68" s="207"/>
      <c r="F68" s="436"/>
      <c r="G68" s="437"/>
      <c r="H68" s="437"/>
      <c r="I68" s="437"/>
      <c r="J68" s="437"/>
      <c r="K68" s="437"/>
      <c r="L68" s="437"/>
      <c r="M68" s="438"/>
      <c r="N68" s="141"/>
      <c r="O68" s="212"/>
      <c r="P68" s="435"/>
      <c r="Q68" s="435"/>
      <c r="R68" s="435"/>
      <c r="S68" s="435"/>
      <c r="T68" s="435"/>
      <c r="U68" s="435"/>
      <c r="V68" s="436"/>
      <c r="W68" s="437"/>
      <c r="X68" s="437"/>
      <c r="Y68" s="437"/>
      <c r="Z68" s="437"/>
      <c r="AA68" s="437"/>
      <c r="AB68" s="437"/>
      <c r="AC68" s="437"/>
      <c r="AD68" s="438"/>
      <c r="AF68" s="81">
        <f>8*3000</f>
        <v>24000</v>
      </c>
    </row>
    <row r="69" spans="1:32" ht="27" customHeight="1" thickBot="1">
      <c r="A69" s="439"/>
      <c r="B69" s="440"/>
      <c r="C69" s="208"/>
      <c r="D69" s="209"/>
      <c r="E69" s="208"/>
      <c r="F69" s="490"/>
      <c r="G69" s="491"/>
      <c r="H69" s="491"/>
      <c r="I69" s="491"/>
      <c r="J69" s="491"/>
      <c r="K69" s="491"/>
      <c r="L69" s="491"/>
      <c r="M69" s="492"/>
      <c r="N69" s="105"/>
      <c r="O69" s="97"/>
      <c r="P69" s="444"/>
      <c r="Q69" s="444"/>
      <c r="R69" s="444"/>
      <c r="S69" s="444"/>
      <c r="T69" s="444"/>
      <c r="U69" s="444"/>
      <c r="V69" s="445"/>
      <c r="W69" s="445"/>
      <c r="X69" s="445"/>
      <c r="Y69" s="445"/>
      <c r="Z69" s="445"/>
      <c r="AA69" s="445"/>
      <c r="AB69" s="445"/>
      <c r="AC69" s="445"/>
      <c r="AD69" s="446"/>
      <c r="AF69" s="81">
        <f>16*3000</f>
        <v>48000</v>
      </c>
    </row>
    <row r="70" spans="1:32" ht="27.75" thickBot="1">
      <c r="A70" s="428" t="s">
        <v>495</v>
      </c>
      <c r="B70" s="428"/>
      <c r="C70" s="428"/>
      <c r="D70" s="428"/>
      <c r="E70" s="428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1">
        <v>24000</v>
      </c>
    </row>
    <row r="71" spans="1:32" ht="29.25" customHeight="1" thickBot="1">
      <c r="A71" s="429" t="s">
        <v>111</v>
      </c>
      <c r="B71" s="426"/>
      <c r="C71" s="210" t="s">
        <v>2</v>
      </c>
      <c r="D71" s="210" t="s">
        <v>37</v>
      </c>
      <c r="E71" s="210" t="s">
        <v>3</v>
      </c>
      <c r="F71" s="426" t="s">
        <v>109</v>
      </c>
      <c r="G71" s="426"/>
      <c r="H71" s="426"/>
      <c r="I71" s="426"/>
      <c r="J71" s="426"/>
      <c r="K71" s="426" t="s">
        <v>39</v>
      </c>
      <c r="L71" s="426"/>
      <c r="M71" s="210" t="s">
        <v>40</v>
      </c>
      <c r="N71" s="426" t="s">
        <v>41</v>
      </c>
      <c r="O71" s="426"/>
      <c r="P71" s="423" t="s">
        <v>42</v>
      </c>
      <c r="Q71" s="425"/>
      <c r="R71" s="423" t="s">
        <v>43</v>
      </c>
      <c r="S71" s="424"/>
      <c r="T71" s="424"/>
      <c r="U71" s="424"/>
      <c r="V71" s="424"/>
      <c r="W71" s="424"/>
      <c r="X71" s="424"/>
      <c r="Y71" s="424"/>
      <c r="Z71" s="424"/>
      <c r="AA71" s="425"/>
      <c r="AB71" s="426" t="s">
        <v>44</v>
      </c>
      <c r="AC71" s="426"/>
      <c r="AD71" s="427"/>
      <c r="AF71" s="81">
        <f>SUM(AF68:AF70)</f>
        <v>96000</v>
      </c>
    </row>
    <row r="72" spans="1:32" ht="25.5" customHeight="1">
      <c r="A72" s="414">
        <v>1</v>
      </c>
      <c r="B72" s="415"/>
      <c r="C72" s="98" t="s">
        <v>497</v>
      </c>
      <c r="D72" s="214"/>
      <c r="E72" s="211" t="s">
        <v>498</v>
      </c>
      <c r="F72" s="416" t="s">
        <v>496</v>
      </c>
      <c r="G72" s="406"/>
      <c r="H72" s="406"/>
      <c r="I72" s="406"/>
      <c r="J72" s="406"/>
      <c r="K72" s="406" t="s">
        <v>499</v>
      </c>
      <c r="L72" s="406"/>
      <c r="M72" s="51" t="s">
        <v>500</v>
      </c>
      <c r="N72" s="417" t="s">
        <v>501</v>
      </c>
      <c r="O72" s="417"/>
      <c r="P72" s="418">
        <v>100</v>
      </c>
      <c r="Q72" s="418"/>
      <c r="R72" s="419" t="s">
        <v>502</v>
      </c>
      <c r="S72" s="419"/>
      <c r="T72" s="419"/>
      <c r="U72" s="419"/>
      <c r="V72" s="419"/>
      <c r="W72" s="419"/>
      <c r="X72" s="419"/>
      <c r="Y72" s="419"/>
      <c r="Z72" s="419"/>
      <c r="AA72" s="419"/>
      <c r="AB72" s="406"/>
      <c r="AC72" s="406"/>
      <c r="AD72" s="407"/>
      <c r="AF72" s="50"/>
    </row>
    <row r="73" spans="1:32" ht="25.5" customHeight="1">
      <c r="A73" s="414">
        <v>2</v>
      </c>
      <c r="B73" s="415"/>
      <c r="C73" s="98" t="s">
        <v>497</v>
      </c>
      <c r="D73" s="214"/>
      <c r="E73" s="211" t="s">
        <v>498</v>
      </c>
      <c r="F73" s="420" t="s">
        <v>503</v>
      </c>
      <c r="G73" s="421"/>
      <c r="H73" s="421"/>
      <c r="I73" s="421"/>
      <c r="J73" s="422"/>
      <c r="K73" s="406" t="s">
        <v>504</v>
      </c>
      <c r="L73" s="406"/>
      <c r="M73" s="51" t="s">
        <v>505</v>
      </c>
      <c r="N73" s="417" t="s">
        <v>506</v>
      </c>
      <c r="O73" s="417"/>
      <c r="P73" s="418">
        <v>100</v>
      </c>
      <c r="Q73" s="418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06"/>
      <c r="AC73" s="406"/>
      <c r="AD73" s="407"/>
      <c r="AF73" s="50"/>
    </row>
    <row r="74" spans="1:32" ht="25.5" customHeight="1">
      <c r="A74" s="414">
        <v>3</v>
      </c>
      <c r="B74" s="415"/>
      <c r="C74" s="98"/>
      <c r="D74" s="214"/>
      <c r="E74" s="211"/>
      <c r="F74" s="416"/>
      <c r="G74" s="406"/>
      <c r="H74" s="406"/>
      <c r="I74" s="406"/>
      <c r="J74" s="406"/>
      <c r="K74" s="406"/>
      <c r="L74" s="406"/>
      <c r="M74" s="51"/>
      <c r="N74" s="417"/>
      <c r="O74" s="417"/>
      <c r="P74" s="418"/>
      <c r="Q74" s="418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06"/>
      <c r="AC74" s="406"/>
      <c r="AD74" s="407"/>
      <c r="AF74" s="50"/>
    </row>
    <row r="75" spans="1:32" ht="25.5" customHeight="1">
      <c r="A75" s="414">
        <v>4</v>
      </c>
      <c r="B75" s="415"/>
      <c r="C75" s="98"/>
      <c r="D75" s="214"/>
      <c r="E75" s="211"/>
      <c r="F75" s="420"/>
      <c r="G75" s="421"/>
      <c r="H75" s="421"/>
      <c r="I75" s="421"/>
      <c r="J75" s="422"/>
      <c r="K75" s="406"/>
      <c r="L75" s="406"/>
      <c r="M75" s="51"/>
      <c r="N75" s="417"/>
      <c r="O75" s="417"/>
      <c r="P75" s="418"/>
      <c r="Q75" s="418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06"/>
      <c r="AC75" s="406"/>
      <c r="AD75" s="407"/>
      <c r="AF75" s="50"/>
    </row>
    <row r="76" spans="1:32" ht="25.5" customHeight="1">
      <c r="A76" s="414">
        <v>5</v>
      </c>
      <c r="B76" s="415"/>
      <c r="C76" s="98"/>
      <c r="D76" s="214"/>
      <c r="E76" s="211"/>
      <c r="F76" s="420"/>
      <c r="G76" s="421"/>
      <c r="H76" s="421"/>
      <c r="I76" s="421"/>
      <c r="J76" s="422"/>
      <c r="K76" s="406"/>
      <c r="L76" s="406"/>
      <c r="M76" s="51"/>
      <c r="N76" s="417"/>
      <c r="O76" s="417"/>
      <c r="P76" s="418"/>
      <c r="Q76" s="418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06"/>
      <c r="AC76" s="406"/>
      <c r="AD76" s="407"/>
      <c r="AF76" s="50"/>
    </row>
    <row r="77" spans="1:32" ht="25.5" customHeight="1">
      <c r="A77" s="414">
        <v>6</v>
      </c>
      <c r="B77" s="415"/>
      <c r="C77" s="98"/>
      <c r="D77" s="214"/>
      <c r="E77" s="211"/>
      <c r="F77" s="420"/>
      <c r="G77" s="421"/>
      <c r="H77" s="421"/>
      <c r="I77" s="421"/>
      <c r="J77" s="422"/>
      <c r="K77" s="406"/>
      <c r="L77" s="406"/>
      <c r="M77" s="51"/>
      <c r="N77" s="417"/>
      <c r="O77" s="417"/>
      <c r="P77" s="418"/>
      <c r="Q77" s="418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06"/>
      <c r="AC77" s="406"/>
      <c r="AD77" s="407"/>
      <c r="AF77" s="50"/>
    </row>
    <row r="78" spans="1:32" ht="25.5" customHeight="1">
      <c r="A78" s="414">
        <v>7</v>
      </c>
      <c r="B78" s="415"/>
      <c r="C78" s="98"/>
      <c r="D78" s="214"/>
      <c r="E78" s="211"/>
      <c r="F78" s="420"/>
      <c r="G78" s="421"/>
      <c r="H78" s="421"/>
      <c r="I78" s="421"/>
      <c r="J78" s="422"/>
      <c r="K78" s="406"/>
      <c r="L78" s="406"/>
      <c r="M78" s="51"/>
      <c r="N78" s="417"/>
      <c r="O78" s="417"/>
      <c r="P78" s="418"/>
      <c r="Q78" s="418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06"/>
      <c r="AC78" s="406"/>
      <c r="AD78" s="407"/>
      <c r="AF78" s="50"/>
    </row>
    <row r="79" spans="1:32" ht="25.5" customHeight="1">
      <c r="A79" s="414">
        <v>8</v>
      </c>
      <c r="B79" s="415"/>
      <c r="C79" s="98"/>
      <c r="D79" s="214"/>
      <c r="E79" s="211"/>
      <c r="F79" s="416"/>
      <c r="G79" s="406"/>
      <c r="H79" s="406"/>
      <c r="I79" s="406"/>
      <c r="J79" s="406"/>
      <c r="K79" s="406"/>
      <c r="L79" s="406"/>
      <c r="M79" s="51"/>
      <c r="N79" s="417"/>
      <c r="O79" s="417"/>
      <c r="P79" s="418"/>
      <c r="Q79" s="418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06"/>
      <c r="AC79" s="406"/>
      <c r="AD79" s="407"/>
      <c r="AF79" s="50"/>
    </row>
    <row r="80" spans="1:32" ht="25.5" customHeight="1">
      <c r="A80" s="414">
        <v>9</v>
      </c>
      <c r="B80" s="415"/>
      <c r="C80" s="98"/>
      <c r="D80" s="214"/>
      <c r="E80" s="211"/>
      <c r="F80" s="416"/>
      <c r="G80" s="406"/>
      <c r="H80" s="406"/>
      <c r="I80" s="406"/>
      <c r="J80" s="406"/>
      <c r="K80" s="406"/>
      <c r="L80" s="406"/>
      <c r="M80" s="51"/>
      <c r="N80" s="417"/>
      <c r="O80" s="417"/>
      <c r="P80" s="418"/>
      <c r="Q80" s="418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06"/>
      <c r="AC80" s="406"/>
      <c r="AD80" s="407"/>
      <c r="AF80" s="50"/>
    </row>
    <row r="81" spans="1:32" ht="25.5" customHeight="1">
      <c r="A81" s="414">
        <v>10</v>
      </c>
      <c r="B81" s="415"/>
      <c r="C81" s="98"/>
      <c r="D81" s="214"/>
      <c r="E81" s="211"/>
      <c r="F81" s="416"/>
      <c r="G81" s="406"/>
      <c r="H81" s="406"/>
      <c r="I81" s="406"/>
      <c r="J81" s="406"/>
      <c r="K81" s="406"/>
      <c r="L81" s="406"/>
      <c r="M81" s="51"/>
      <c r="N81" s="417"/>
      <c r="O81" s="417"/>
      <c r="P81" s="418"/>
      <c r="Q81" s="418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06"/>
      <c r="AC81" s="406"/>
      <c r="AD81" s="407"/>
      <c r="AF81" s="50"/>
    </row>
    <row r="82" spans="1:32" ht="26.25" customHeight="1" thickBot="1">
      <c r="A82" s="386" t="s">
        <v>507</v>
      </c>
      <c r="B82" s="386"/>
      <c r="C82" s="386"/>
      <c r="D82" s="386"/>
      <c r="E82" s="386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408" t="s">
        <v>111</v>
      </c>
      <c r="B83" s="409"/>
      <c r="C83" s="213" t="s">
        <v>2</v>
      </c>
      <c r="D83" s="213" t="s">
        <v>37</v>
      </c>
      <c r="E83" s="213" t="s">
        <v>120</v>
      </c>
      <c r="F83" s="388" t="s">
        <v>38</v>
      </c>
      <c r="G83" s="388"/>
      <c r="H83" s="388"/>
      <c r="I83" s="388"/>
      <c r="J83" s="388"/>
      <c r="K83" s="410" t="s">
        <v>58</v>
      </c>
      <c r="L83" s="411"/>
      <c r="M83" s="411"/>
      <c r="N83" s="411"/>
      <c r="O83" s="411"/>
      <c r="P83" s="411"/>
      <c r="Q83" s="411"/>
      <c r="R83" s="411"/>
      <c r="S83" s="412"/>
      <c r="T83" s="388" t="s">
        <v>49</v>
      </c>
      <c r="U83" s="388"/>
      <c r="V83" s="410" t="s">
        <v>50</v>
      </c>
      <c r="W83" s="412"/>
      <c r="X83" s="411" t="s">
        <v>51</v>
      </c>
      <c r="Y83" s="411"/>
      <c r="Z83" s="411"/>
      <c r="AA83" s="411"/>
      <c r="AB83" s="411"/>
      <c r="AC83" s="411"/>
      <c r="AD83" s="413"/>
      <c r="AF83" s="50"/>
    </row>
    <row r="84" spans="1:32" ht="33.75" customHeight="1">
      <c r="A84" s="380">
        <v>1</v>
      </c>
      <c r="B84" s="381"/>
      <c r="C84" s="215"/>
      <c r="D84" s="215"/>
      <c r="E84" s="65"/>
      <c r="F84" s="395"/>
      <c r="G84" s="396"/>
      <c r="H84" s="396"/>
      <c r="I84" s="396"/>
      <c r="J84" s="397"/>
      <c r="K84" s="398"/>
      <c r="L84" s="399"/>
      <c r="M84" s="399"/>
      <c r="N84" s="399"/>
      <c r="O84" s="399"/>
      <c r="P84" s="399"/>
      <c r="Q84" s="399"/>
      <c r="R84" s="399"/>
      <c r="S84" s="400"/>
      <c r="T84" s="401"/>
      <c r="U84" s="402"/>
      <c r="V84" s="403"/>
      <c r="W84" s="403"/>
      <c r="X84" s="404"/>
      <c r="Y84" s="404"/>
      <c r="Z84" s="404"/>
      <c r="AA84" s="404"/>
      <c r="AB84" s="404"/>
      <c r="AC84" s="404"/>
      <c r="AD84" s="405"/>
      <c r="AF84" s="50"/>
    </row>
    <row r="85" spans="1:32" ht="30" customHeight="1">
      <c r="A85" s="373">
        <f>A84+1</f>
        <v>2</v>
      </c>
      <c r="B85" s="374"/>
      <c r="C85" s="214"/>
      <c r="D85" s="214"/>
      <c r="E85" s="32"/>
      <c r="F85" s="374"/>
      <c r="G85" s="374"/>
      <c r="H85" s="374"/>
      <c r="I85" s="374"/>
      <c r="J85" s="374"/>
      <c r="K85" s="389"/>
      <c r="L85" s="390"/>
      <c r="M85" s="390"/>
      <c r="N85" s="390"/>
      <c r="O85" s="390"/>
      <c r="P85" s="390"/>
      <c r="Q85" s="390"/>
      <c r="R85" s="390"/>
      <c r="S85" s="391"/>
      <c r="T85" s="392"/>
      <c r="U85" s="392"/>
      <c r="V85" s="392"/>
      <c r="W85" s="392"/>
      <c r="X85" s="393"/>
      <c r="Y85" s="393"/>
      <c r="Z85" s="393"/>
      <c r="AA85" s="393"/>
      <c r="AB85" s="393"/>
      <c r="AC85" s="393"/>
      <c r="AD85" s="394"/>
      <c r="AF85" s="50"/>
    </row>
    <row r="86" spans="1:32" ht="30" customHeight="1">
      <c r="A86" s="373">
        <f t="shared" ref="A86:A90" si="11">A85+1</f>
        <v>3</v>
      </c>
      <c r="B86" s="374"/>
      <c r="C86" s="214"/>
      <c r="D86" s="214"/>
      <c r="E86" s="32"/>
      <c r="F86" s="374"/>
      <c r="G86" s="374"/>
      <c r="H86" s="374"/>
      <c r="I86" s="374"/>
      <c r="J86" s="374"/>
      <c r="K86" s="389"/>
      <c r="L86" s="390"/>
      <c r="M86" s="390"/>
      <c r="N86" s="390"/>
      <c r="O86" s="390"/>
      <c r="P86" s="390"/>
      <c r="Q86" s="390"/>
      <c r="R86" s="390"/>
      <c r="S86" s="391"/>
      <c r="T86" s="392"/>
      <c r="U86" s="392"/>
      <c r="V86" s="392"/>
      <c r="W86" s="392"/>
      <c r="X86" s="393"/>
      <c r="Y86" s="393"/>
      <c r="Z86" s="393"/>
      <c r="AA86" s="393"/>
      <c r="AB86" s="393"/>
      <c r="AC86" s="393"/>
      <c r="AD86" s="394"/>
      <c r="AF86" s="50"/>
    </row>
    <row r="87" spans="1:32" ht="30" customHeight="1">
      <c r="A87" s="373">
        <f t="shared" si="11"/>
        <v>4</v>
      </c>
      <c r="B87" s="374"/>
      <c r="C87" s="214"/>
      <c r="D87" s="214"/>
      <c r="E87" s="32"/>
      <c r="F87" s="374"/>
      <c r="G87" s="374"/>
      <c r="H87" s="374"/>
      <c r="I87" s="374"/>
      <c r="J87" s="374"/>
      <c r="K87" s="389"/>
      <c r="L87" s="390"/>
      <c r="M87" s="390"/>
      <c r="N87" s="390"/>
      <c r="O87" s="390"/>
      <c r="P87" s="390"/>
      <c r="Q87" s="390"/>
      <c r="R87" s="390"/>
      <c r="S87" s="391"/>
      <c r="T87" s="392"/>
      <c r="U87" s="392"/>
      <c r="V87" s="392"/>
      <c r="W87" s="392"/>
      <c r="X87" s="393"/>
      <c r="Y87" s="393"/>
      <c r="Z87" s="393"/>
      <c r="AA87" s="393"/>
      <c r="AB87" s="393"/>
      <c r="AC87" s="393"/>
      <c r="AD87" s="394"/>
      <c r="AF87" s="50"/>
    </row>
    <row r="88" spans="1:32" ht="30" customHeight="1">
      <c r="A88" s="373">
        <f t="shared" si="11"/>
        <v>5</v>
      </c>
      <c r="B88" s="374"/>
      <c r="C88" s="214"/>
      <c r="D88" s="214"/>
      <c r="E88" s="32"/>
      <c r="F88" s="374"/>
      <c r="G88" s="374"/>
      <c r="H88" s="374"/>
      <c r="I88" s="374"/>
      <c r="J88" s="374"/>
      <c r="K88" s="389"/>
      <c r="L88" s="390"/>
      <c r="M88" s="390"/>
      <c r="N88" s="390"/>
      <c r="O88" s="390"/>
      <c r="P88" s="390"/>
      <c r="Q88" s="390"/>
      <c r="R88" s="390"/>
      <c r="S88" s="391"/>
      <c r="T88" s="392"/>
      <c r="U88" s="392"/>
      <c r="V88" s="392"/>
      <c r="W88" s="392"/>
      <c r="X88" s="393"/>
      <c r="Y88" s="393"/>
      <c r="Z88" s="393"/>
      <c r="AA88" s="393"/>
      <c r="AB88" s="393"/>
      <c r="AC88" s="393"/>
      <c r="AD88" s="394"/>
      <c r="AF88" s="50"/>
    </row>
    <row r="89" spans="1:32" ht="30" customHeight="1">
      <c r="A89" s="373">
        <f t="shared" si="11"/>
        <v>6</v>
      </c>
      <c r="B89" s="374"/>
      <c r="C89" s="214"/>
      <c r="D89" s="214"/>
      <c r="E89" s="32"/>
      <c r="F89" s="374"/>
      <c r="G89" s="374"/>
      <c r="H89" s="374"/>
      <c r="I89" s="374"/>
      <c r="J89" s="374"/>
      <c r="K89" s="389"/>
      <c r="L89" s="390"/>
      <c r="M89" s="390"/>
      <c r="N89" s="390"/>
      <c r="O89" s="390"/>
      <c r="P89" s="390"/>
      <c r="Q89" s="390"/>
      <c r="R89" s="390"/>
      <c r="S89" s="391"/>
      <c r="T89" s="392"/>
      <c r="U89" s="392"/>
      <c r="V89" s="392"/>
      <c r="W89" s="392"/>
      <c r="X89" s="393"/>
      <c r="Y89" s="393"/>
      <c r="Z89" s="393"/>
      <c r="AA89" s="393"/>
      <c r="AB89" s="393"/>
      <c r="AC89" s="393"/>
      <c r="AD89" s="394"/>
      <c r="AF89" s="50"/>
    </row>
    <row r="90" spans="1:32" ht="30" customHeight="1">
      <c r="A90" s="373">
        <f t="shared" si="11"/>
        <v>7</v>
      </c>
      <c r="B90" s="374"/>
      <c r="C90" s="214"/>
      <c r="D90" s="214"/>
      <c r="E90" s="32"/>
      <c r="F90" s="374"/>
      <c r="G90" s="374"/>
      <c r="H90" s="374"/>
      <c r="I90" s="374"/>
      <c r="J90" s="374"/>
      <c r="K90" s="389"/>
      <c r="L90" s="390"/>
      <c r="M90" s="390"/>
      <c r="N90" s="390"/>
      <c r="O90" s="390"/>
      <c r="P90" s="390"/>
      <c r="Q90" s="390"/>
      <c r="R90" s="390"/>
      <c r="S90" s="391"/>
      <c r="T90" s="392"/>
      <c r="U90" s="392"/>
      <c r="V90" s="392"/>
      <c r="W90" s="392"/>
      <c r="X90" s="393"/>
      <c r="Y90" s="393"/>
      <c r="Z90" s="393"/>
      <c r="AA90" s="393"/>
      <c r="AB90" s="393"/>
      <c r="AC90" s="393"/>
      <c r="AD90" s="394"/>
      <c r="AF90" s="50"/>
    </row>
    <row r="91" spans="1:32" ht="36" thickBot="1">
      <c r="A91" s="386" t="s">
        <v>508</v>
      </c>
      <c r="B91" s="386"/>
      <c r="C91" s="386"/>
      <c r="D91" s="386"/>
      <c r="E91" s="386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387" t="s">
        <v>111</v>
      </c>
      <c r="B92" s="388"/>
      <c r="C92" s="378" t="s">
        <v>52</v>
      </c>
      <c r="D92" s="378"/>
      <c r="E92" s="378" t="s">
        <v>53</v>
      </c>
      <c r="F92" s="378"/>
      <c r="G92" s="378"/>
      <c r="H92" s="378"/>
      <c r="I92" s="378"/>
      <c r="J92" s="378"/>
      <c r="K92" s="378" t="s">
        <v>54</v>
      </c>
      <c r="L92" s="378"/>
      <c r="M92" s="378"/>
      <c r="N92" s="378"/>
      <c r="O92" s="378"/>
      <c r="P92" s="378"/>
      <c r="Q92" s="378"/>
      <c r="R92" s="378"/>
      <c r="S92" s="378"/>
      <c r="T92" s="378" t="s">
        <v>55</v>
      </c>
      <c r="U92" s="378"/>
      <c r="V92" s="378" t="s">
        <v>56</v>
      </c>
      <c r="W92" s="378"/>
      <c r="X92" s="378"/>
      <c r="Y92" s="378" t="s">
        <v>51</v>
      </c>
      <c r="Z92" s="378"/>
      <c r="AA92" s="378"/>
      <c r="AB92" s="378"/>
      <c r="AC92" s="378"/>
      <c r="AD92" s="379"/>
      <c r="AF92" s="50"/>
    </row>
    <row r="93" spans="1:32" ht="30.75" customHeight="1">
      <c r="A93" s="380">
        <v>1</v>
      </c>
      <c r="B93" s="381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3"/>
      <c r="W93" s="383"/>
      <c r="X93" s="383"/>
      <c r="Y93" s="384"/>
      <c r="Z93" s="384"/>
      <c r="AA93" s="384"/>
      <c r="AB93" s="384"/>
      <c r="AC93" s="384"/>
      <c r="AD93" s="385"/>
      <c r="AF93" s="50"/>
    </row>
    <row r="94" spans="1:32" ht="30.75" customHeight="1">
      <c r="A94" s="373">
        <v>2</v>
      </c>
      <c r="B94" s="374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6"/>
      <c r="U94" s="376"/>
      <c r="V94" s="377"/>
      <c r="W94" s="377"/>
      <c r="X94" s="377"/>
      <c r="Y94" s="365"/>
      <c r="Z94" s="365"/>
      <c r="AA94" s="365"/>
      <c r="AB94" s="365"/>
      <c r="AC94" s="365"/>
      <c r="AD94" s="366"/>
      <c r="AF94" s="50"/>
    </row>
    <row r="95" spans="1:32" ht="30.75" customHeight="1" thickBot="1">
      <c r="A95" s="367">
        <v>3</v>
      </c>
      <c r="B95" s="368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70"/>
      <c r="W95" s="370"/>
      <c r="X95" s="370"/>
      <c r="Y95" s="371"/>
      <c r="Z95" s="371"/>
      <c r="AA95" s="371"/>
      <c r="AB95" s="371"/>
      <c r="AC95" s="371"/>
      <c r="AD95" s="372"/>
      <c r="AF95" s="50"/>
    </row>
  </sheetData>
  <mergeCells count="232"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 지정된 범위</vt:lpstr>
      </vt:variant>
      <vt:variant>
        <vt:i4>44</vt:i4>
      </vt:variant>
    </vt:vector>
  </HeadingPairs>
  <TitlesOfParts>
    <vt:vector size="67" baseType="lpstr">
      <vt:lpstr>01</vt:lpstr>
      <vt:lpstr>02</vt:lpstr>
      <vt:lpstr>03</vt:lpstr>
      <vt:lpstr>04</vt:lpstr>
      <vt:lpstr>05</vt:lpstr>
      <vt:lpstr>08</vt:lpstr>
      <vt:lpstr>09</vt:lpstr>
      <vt:lpstr>10</vt:lpstr>
      <vt:lpstr>11</vt:lpstr>
      <vt:lpstr>12</vt:lpstr>
      <vt:lpstr>15</vt:lpstr>
      <vt:lpstr>16</vt:lpstr>
      <vt:lpstr>17</vt:lpstr>
      <vt:lpstr>18</vt:lpstr>
      <vt:lpstr>19</vt:lpstr>
      <vt:lpstr>22</vt:lpstr>
      <vt:lpstr>23</vt:lpstr>
      <vt:lpstr>24</vt:lpstr>
      <vt:lpstr>25</vt:lpstr>
      <vt:lpstr>26</vt:lpstr>
      <vt:lpstr>29</vt:lpstr>
      <vt:lpstr>30</vt:lpstr>
      <vt:lpstr>총괄</vt:lpstr>
      <vt:lpstr>'01'!Print_Area</vt:lpstr>
      <vt:lpstr>'02'!Print_Area</vt:lpstr>
      <vt:lpstr>'03'!Print_Area</vt:lpstr>
      <vt:lpstr>'04'!Print_Area</vt:lpstr>
      <vt:lpstr>'05'!Print_Area</vt:lpstr>
      <vt:lpstr>'08'!Print_Area</vt:lpstr>
      <vt:lpstr>'09'!Print_Area</vt:lpstr>
      <vt:lpstr>'10'!Print_Area</vt:lpstr>
      <vt:lpstr>'11'!Print_Area</vt:lpstr>
      <vt:lpstr>'12'!Print_Area</vt:lpstr>
      <vt:lpstr>'15'!Print_Area</vt:lpstr>
      <vt:lpstr>'16'!Print_Area</vt:lpstr>
      <vt:lpstr>'17'!Print_Area</vt:lpstr>
      <vt:lpstr>'18'!Print_Area</vt:lpstr>
      <vt:lpstr>'19'!Print_Area</vt:lpstr>
      <vt:lpstr>'22'!Print_Area</vt:lpstr>
      <vt:lpstr>'23'!Print_Area</vt:lpstr>
      <vt:lpstr>'24'!Print_Area</vt:lpstr>
      <vt:lpstr>'25'!Print_Area</vt:lpstr>
      <vt:lpstr>'26'!Print_Area</vt:lpstr>
      <vt:lpstr>'29'!Print_Area</vt:lpstr>
      <vt:lpstr>'30'!Print_Area</vt:lpstr>
      <vt:lpstr>'01'!ㅁ1</vt:lpstr>
      <vt:lpstr>'02'!ㅁ1</vt:lpstr>
      <vt:lpstr>'03'!ㅁ1</vt:lpstr>
      <vt:lpstr>'04'!ㅁ1</vt:lpstr>
      <vt:lpstr>'05'!ㅁ1</vt:lpstr>
      <vt:lpstr>'08'!ㅁ1</vt:lpstr>
      <vt:lpstr>'09'!ㅁ1</vt:lpstr>
      <vt:lpstr>'10'!ㅁ1</vt:lpstr>
      <vt:lpstr>'11'!ㅁ1</vt:lpstr>
      <vt:lpstr>'12'!ㅁ1</vt:lpstr>
      <vt:lpstr>'15'!ㅁ1</vt:lpstr>
      <vt:lpstr>'16'!ㅁ1</vt:lpstr>
      <vt:lpstr>'17'!ㅁ1</vt:lpstr>
      <vt:lpstr>'18'!ㅁ1</vt:lpstr>
      <vt:lpstr>'19'!ㅁ1</vt:lpstr>
      <vt:lpstr>'22'!ㅁ1</vt:lpstr>
      <vt:lpstr>'23'!ㅁ1</vt:lpstr>
      <vt:lpstr>'24'!ㅁ1</vt:lpstr>
      <vt:lpstr>'25'!ㅁ1</vt:lpstr>
      <vt:lpstr>'26'!ㅁ1</vt:lpstr>
      <vt:lpstr>'29'!ㅁ1</vt:lpstr>
      <vt:lpstr>'30'!ㅁ1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2021-11-23T23:39:57Z</cp:lastPrinted>
  <dcterms:created xsi:type="dcterms:W3CDTF">2014-05-16T00:06:55Z</dcterms:created>
  <dcterms:modified xsi:type="dcterms:W3CDTF">2021-11-30T23:55:08Z</dcterms:modified>
</cp:coreProperties>
</file>