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3B8A6396-27CC-4DC9-870E-6875B3114F61}" xr6:coauthVersionLast="47" xr6:coauthVersionMax="47" xr10:uidLastSave="{00000000-0000-0000-0000-000000000000}"/>
  <bookViews>
    <workbookView xWindow="-120" yWindow="-120" windowWidth="29040" windowHeight="15840" activeTab="22" xr2:uid="{00000000-000D-0000-FFFF-FFFF00000000}"/>
  </bookViews>
  <sheets>
    <sheet name="01" sheetId="2159" r:id="rId1"/>
    <sheet name="02" sheetId="2160" r:id="rId2"/>
    <sheet name="03" sheetId="2161" r:id="rId3"/>
    <sheet name="04" sheetId="2162" r:id="rId4"/>
    <sheet name="06" sheetId="2163" r:id="rId5"/>
    <sheet name="07" sheetId="2164" r:id="rId6"/>
    <sheet name="08" sheetId="2165" r:id="rId7"/>
    <sheet name="09" sheetId="2166" r:id="rId8"/>
    <sheet name="10" sheetId="2167" r:id="rId9"/>
    <sheet name="13" sheetId="2168" r:id="rId10"/>
    <sheet name="14" sheetId="2169" r:id="rId11"/>
    <sheet name="15" sheetId="2170" r:id="rId12"/>
    <sheet name="16" sheetId="2171" r:id="rId13"/>
    <sheet name="17" sheetId="2172" r:id="rId14"/>
    <sheet name="20" sheetId="2173" r:id="rId15"/>
    <sheet name="21" sheetId="2174" r:id="rId16"/>
    <sheet name="22" sheetId="2175" r:id="rId17"/>
    <sheet name="23" sheetId="2176" r:id="rId18"/>
    <sheet name="24" sheetId="2177" r:id="rId19"/>
    <sheet name="27" sheetId="2178" r:id="rId20"/>
    <sheet name="28" sheetId="2179" r:id="rId21"/>
    <sheet name="29" sheetId="2180" r:id="rId22"/>
    <sheet name="30" sheetId="2181" r:id="rId23"/>
    <sheet name="총괄" sheetId="16" r:id="rId24"/>
  </sheets>
  <definedNames>
    <definedName name="_xlnm.Print_Area" localSheetId="0">'01'!$A$1:$AD$97</definedName>
    <definedName name="_xlnm.Print_Area" localSheetId="1">'02'!$A$1:$AD$95</definedName>
    <definedName name="_xlnm.Print_Area" localSheetId="2">'03'!$A$1:$AD$95</definedName>
    <definedName name="_xlnm.Print_Area" localSheetId="3">'04'!$A$1:$AD$95</definedName>
    <definedName name="_xlnm.Print_Area" localSheetId="4">'06'!$A$1:$AD$95</definedName>
    <definedName name="_xlnm.Print_Area" localSheetId="5">'07'!$A$1:$AD$95</definedName>
    <definedName name="_xlnm.Print_Area" localSheetId="6">'08'!$A$1:$AD$95</definedName>
    <definedName name="_xlnm.Print_Area" localSheetId="7">'09'!$A$1:$AD$95</definedName>
    <definedName name="_xlnm.Print_Area" localSheetId="8">'10'!$A$1:$AD$95</definedName>
    <definedName name="_xlnm.Print_Area" localSheetId="9">'13'!$A$1:$AD$95</definedName>
    <definedName name="_xlnm.Print_Area" localSheetId="10">'14'!$A$1:$AD$95</definedName>
    <definedName name="_xlnm.Print_Area" localSheetId="11">'15'!$A$1:$AD$95</definedName>
    <definedName name="_xlnm.Print_Area" localSheetId="12">'16'!$A$1:$AD$95</definedName>
    <definedName name="_xlnm.Print_Area" localSheetId="13">'17'!$A$1:$AD$95</definedName>
    <definedName name="_xlnm.Print_Area" localSheetId="14">'20'!$A$1:$AD$95</definedName>
    <definedName name="_xlnm.Print_Area" localSheetId="15">'21'!$A$1:$AD$95</definedName>
    <definedName name="_xlnm.Print_Area" localSheetId="16">'22'!$A$1:$AD$96</definedName>
    <definedName name="_xlnm.Print_Area" localSheetId="17">'23'!$A$1:$AD$95</definedName>
    <definedName name="_xlnm.Print_Area" localSheetId="18">'24'!$A$1:$AD$96</definedName>
    <definedName name="_xlnm.Print_Area" localSheetId="19">'27'!$A$1:$AD$95</definedName>
    <definedName name="_xlnm.Print_Area" localSheetId="20">'28'!$A$1:$AD$97</definedName>
    <definedName name="_xlnm.Print_Area" localSheetId="21">'29'!$A$1:$AD$97</definedName>
    <definedName name="_xlnm.Print_Area" localSheetId="22">'30'!$A$1:$AD$97</definedName>
    <definedName name="ㅁ1" localSheetId="0">'01'!$M$1048532:$M$1048576</definedName>
    <definedName name="ㅁ1" localSheetId="1">'02'!$M$1048530:$M$1048576</definedName>
    <definedName name="ㅁ1" localSheetId="2">'03'!$M$1048530:$M$1048576</definedName>
    <definedName name="ㅁ1" localSheetId="3">'04'!$M$1048530:$M$1048576</definedName>
    <definedName name="ㅁ1" localSheetId="4">'06'!$M$1048530:$M$1048576</definedName>
    <definedName name="ㅁ1" localSheetId="5">'07'!$M$1048530:$M$1048576</definedName>
    <definedName name="ㅁ1" localSheetId="6">'08'!$M$1048530:$M$1048576</definedName>
    <definedName name="ㅁ1" localSheetId="7">'09'!$M$1048530:$M$1048576</definedName>
    <definedName name="ㅁ1" localSheetId="8">'10'!$M$1048530:$M$1048576</definedName>
    <definedName name="ㅁ1" localSheetId="9">'13'!$M$1048530:$M$1048576</definedName>
    <definedName name="ㅁ1" localSheetId="10">'14'!$M$1048530:$M$1048576</definedName>
    <definedName name="ㅁ1" localSheetId="11">'15'!$M$1048530:$M$1048576</definedName>
    <definedName name="ㅁ1" localSheetId="12">'16'!$M$1048530:$M$1048576</definedName>
    <definedName name="ㅁ1" localSheetId="13">'17'!$M$1048530:$M$1048576</definedName>
    <definedName name="ㅁ1" localSheetId="14">'20'!$M$1048530:$M$1048576</definedName>
    <definedName name="ㅁ1" localSheetId="15">'21'!$M$1048530:$M$1048576</definedName>
    <definedName name="ㅁ1" localSheetId="16">'22'!$M$1048531:$M$1048576</definedName>
    <definedName name="ㅁ1" localSheetId="17">'23'!$M$1048530:$M$1048576</definedName>
    <definedName name="ㅁ1" localSheetId="18">'24'!$M$1048531:$M$1048576</definedName>
    <definedName name="ㅁ1" localSheetId="19">'27'!$M$1048530:$M$1048576</definedName>
    <definedName name="ㅁ1" localSheetId="20">'28'!$M$1048532:$M$1048576</definedName>
    <definedName name="ㅁ1" localSheetId="21">'29'!$M$1048532:$M$1048576</definedName>
    <definedName name="ㅁ1" localSheetId="22">'30'!$M$1048532:$M$1048576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7" i="16" l="1"/>
  <c r="AE26" i="16"/>
  <c r="AE25" i="16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3" i="2181"/>
  <c r="L22" i="2181"/>
  <c r="K22" i="2181" s="1"/>
  <c r="AF22" i="2181"/>
  <c r="Q22" i="2181"/>
  <c r="P22" i="2181" s="1"/>
  <c r="AC22" i="2181" s="1"/>
  <c r="O22" i="2181"/>
  <c r="L20" i="2181"/>
  <c r="L19" i="2181"/>
  <c r="K19" i="2181" s="1"/>
  <c r="L17" i="2181"/>
  <c r="K17" i="2181"/>
  <c r="K16" i="2181"/>
  <c r="L13" i="2181"/>
  <c r="O13" i="2181" s="1"/>
  <c r="L12" i="2181"/>
  <c r="L11" i="2181"/>
  <c r="L10" i="2181"/>
  <c r="AB10" i="2181" s="1"/>
  <c r="L9" i="2181"/>
  <c r="O9" i="2181" s="1"/>
  <c r="K8" i="2181"/>
  <c r="L7" i="2181"/>
  <c r="K7" i="2181"/>
  <c r="K23" i="2181"/>
  <c r="K21" i="2181"/>
  <c r="K20" i="2181"/>
  <c r="K14" i="2181"/>
  <c r="K13" i="2181"/>
  <c r="K12" i="2181"/>
  <c r="K11" i="2181"/>
  <c r="K10" i="2181"/>
  <c r="K9" i="2181"/>
  <c r="K6" i="2181"/>
  <c r="A87" i="2181"/>
  <c r="A88" i="2181" s="1"/>
  <c r="A89" i="2181" s="1"/>
  <c r="A90" i="2181" s="1"/>
  <c r="A91" i="2181" s="1"/>
  <c r="A92" i="2181" s="1"/>
  <c r="AF71" i="2181"/>
  <c r="AF70" i="2181"/>
  <c r="AA32" i="2181"/>
  <c r="Z32" i="2181"/>
  <c r="Y32" i="2181"/>
  <c r="X32" i="2181"/>
  <c r="W32" i="2181"/>
  <c r="V32" i="2181"/>
  <c r="U32" i="2181"/>
  <c r="T32" i="2181"/>
  <c r="S32" i="2181"/>
  <c r="R32" i="2181"/>
  <c r="N32" i="2181"/>
  <c r="J32" i="2181"/>
  <c r="AF31" i="2181"/>
  <c r="AB31" i="2181"/>
  <c r="Q31" i="2181"/>
  <c r="P31" i="2181"/>
  <c r="AC31" i="2181" s="1"/>
  <c r="AD31" i="2181" s="1"/>
  <c r="O31" i="2181"/>
  <c r="M31" i="2181"/>
  <c r="K31" i="2181"/>
  <c r="AF30" i="2181"/>
  <c r="AB30" i="2181"/>
  <c r="Q30" i="2181"/>
  <c r="P30" i="2181"/>
  <c r="AC30" i="2181" s="1"/>
  <c r="O30" i="2181"/>
  <c r="M30" i="2181"/>
  <c r="K30" i="2181"/>
  <c r="I30" i="2181"/>
  <c r="AF29" i="2181"/>
  <c r="AB29" i="2181"/>
  <c r="Q29" i="2181"/>
  <c r="P29" i="2181"/>
  <c r="AC29" i="2181" s="1"/>
  <c r="O29" i="2181"/>
  <c r="M29" i="2181"/>
  <c r="K29" i="2181"/>
  <c r="I29" i="2181"/>
  <c r="AF28" i="2181"/>
  <c r="AB28" i="2181"/>
  <c r="Q28" i="2181"/>
  <c r="P28" i="2181"/>
  <c r="AC28" i="2181" s="1"/>
  <c r="O28" i="2181"/>
  <c r="M28" i="2181"/>
  <c r="K28" i="2181"/>
  <c r="I28" i="2181"/>
  <c r="AF27" i="2181"/>
  <c r="AB27" i="2181"/>
  <c r="Q27" i="2181"/>
  <c r="P27" i="2181"/>
  <c r="AC27" i="2181" s="1"/>
  <c r="O27" i="2181"/>
  <c r="M27" i="2181"/>
  <c r="K27" i="2181"/>
  <c r="AF26" i="2181"/>
  <c r="AB26" i="2181"/>
  <c r="Q26" i="2181"/>
  <c r="P26" i="2181"/>
  <c r="AC26" i="2181" s="1"/>
  <c r="O26" i="2181"/>
  <c r="M26" i="2181"/>
  <c r="K26" i="2181"/>
  <c r="AF25" i="2181"/>
  <c r="AB25" i="2181"/>
  <c r="Q25" i="2181"/>
  <c r="P25" i="2181"/>
  <c r="AC25" i="2181" s="1"/>
  <c r="O25" i="2181"/>
  <c r="M25" i="2181"/>
  <c r="K25" i="2181"/>
  <c r="AF24" i="2181"/>
  <c r="AB24" i="2181"/>
  <c r="Q24" i="2181"/>
  <c r="P24" i="2181"/>
  <c r="AC24" i="2181" s="1"/>
  <c r="AD24" i="2181" s="1"/>
  <c r="O24" i="2181"/>
  <c r="M24" i="2181"/>
  <c r="K24" i="2181"/>
  <c r="AF23" i="2181"/>
  <c r="Q23" i="2181"/>
  <c r="P23" i="2181"/>
  <c r="AC23" i="2181" s="1"/>
  <c r="AF21" i="2181"/>
  <c r="AB21" i="2181"/>
  <c r="Q21" i="2181"/>
  <c r="P21" i="2181" s="1"/>
  <c r="AC21" i="2181" s="1"/>
  <c r="M21" i="2181"/>
  <c r="O21" i="2181"/>
  <c r="AF20" i="2181"/>
  <c r="Q20" i="2181"/>
  <c r="O20" i="2181"/>
  <c r="AB20" i="2181"/>
  <c r="AF19" i="2181"/>
  <c r="Q19" i="2181"/>
  <c r="M19" i="2181"/>
  <c r="AF18" i="2181"/>
  <c r="AB18" i="2181"/>
  <c r="Q18" i="2181"/>
  <c r="P18" i="2181"/>
  <c r="AC18" i="2181" s="1"/>
  <c r="O18" i="2181"/>
  <c r="M18" i="2181"/>
  <c r="K18" i="2181"/>
  <c r="AF17" i="2181"/>
  <c r="Q17" i="2181"/>
  <c r="P17" i="2181" s="1"/>
  <c r="AC17" i="2181" s="1"/>
  <c r="AF16" i="2181"/>
  <c r="AB16" i="2181"/>
  <c r="Q16" i="2181"/>
  <c r="P16" i="2181" s="1"/>
  <c r="AC16" i="2181" s="1"/>
  <c r="M16" i="2181"/>
  <c r="O16" i="2181"/>
  <c r="AF15" i="2181"/>
  <c r="AC15" i="2181"/>
  <c r="AB15" i="2181"/>
  <c r="Q15" i="2181"/>
  <c r="P15" i="2181"/>
  <c r="O15" i="2181"/>
  <c r="M15" i="2181"/>
  <c r="K15" i="2181"/>
  <c r="AF14" i="2181"/>
  <c r="AB14" i="2181"/>
  <c r="Q14" i="2181"/>
  <c r="P14" i="2181" s="1"/>
  <c r="AC14" i="2181" s="1"/>
  <c r="O14" i="2181"/>
  <c r="M14" i="2181"/>
  <c r="AF13" i="2181"/>
  <c r="Q13" i="2181"/>
  <c r="AF12" i="2181"/>
  <c r="AB12" i="2181"/>
  <c r="Q12" i="2181"/>
  <c r="P12" i="2181" s="1"/>
  <c r="AC12" i="2181" s="1"/>
  <c r="O12" i="2181"/>
  <c r="M12" i="2181"/>
  <c r="AF11" i="2181"/>
  <c r="Q11" i="2181"/>
  <c r="P11" i="2181"/>
  <c r="AC11" i="2181" s="1"/>
  <c r="AF10" i="2181"/>
  <c r="Q10" i="2181"/>
  <c r="M10" i="2181"/>
  <c r="AF9" i="2181"/>
  <c r="Q9" i="2181"/>
  <c r="AF8" i="2181"/>
  <c r="AB8" i="2181"/>
  <c r="Q8" i="2181"/>
  <c r="P8" i="2181"/>
  <c r="AC8" i="2181" s="1"/>
  <c r="M8" i="2181"/>
  <c r="O8" i="2181"/>
  <c r="AF7" i="2181"/>
  <c r="Q7" i="2181"/>
  <c r="P7" i="2181" s="1"/>
  <c r="AC7" i="2181" s="1"/>
  <c r="AF6" i="2181"/>
  <c r="AB6" i="2181"/>
  <c r="Q6" i="2181"/>
  <c r="P6" i="2181"/>
  <c r="AC6" i="2181" s="1"/>
  <c r="M6" i="2181"/>
  <c r="O6" i="2181"/>
  <c r="AD27" i="16"/>
  <c r="AD26" i="16"/>
  <c r="AD25" i="16"/>
  <c r="AD24" i="16"/>
  <c r="AD23" i="16"/>
  <c r="AD22" i="16"/>
  <c r="AD21" i="16"/>
  <c r="AD20" i="16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3" i="2180"/>
  <c r="L22" i="2180"/>
  <c r="L21" i="2180"/>
  <c r="L20" i="2180"/>
  <c r="AB20" i="2180" s="1"/>
  <c r="AF19" i="2180"/>
  <c r="AB19" i="2180"/>
  <c r="Q19" i="2180"/>
  <c r="P19" i="2180" s="1"/>
  <c r="AC19" i="2180" s="1"/>
  <c r="AD19" i="2180" s="1"/>
  <c r="O19" i="2180"/>
  <c r="M19" i="2180"/>
  <c r="K19" i="2180"/>
  <c r="L17" i="2180"/>
  <c r="K17" i="2180" s="1"/>
  <c r="L16" i="2180"/>
  <c r="K16" i="2180" s="1"/>
  <c r="L13" i="2180"/>
  <c r="L12" i="2180"/>
  <c r="L11" i="2180"/>
  <c r="K11" i="2180" s="1"/>
  <c r="L10" i="2180"/>
  <c r="K10" i="2180" s="1"/>
  <c r="L9" i="2180"/>
  <c r="K9" i="2180" s="1"/>
  <c r="L8" i="2180"/>
  <c r="K8" i="2180" s="1"/>
  <c r="L7" i="2180"/>
  <c r="O7" i="2180" s="1"/>
  <c r="L6" i="2180"/>
  <c r="K23" i="2180"/>
  <c r="K22" i="2180"/>
  <c r="K21" i="2180"/>
  <c r="K14" i="2180"/>
  <c r="K12" i="2180"/>
  <c r="K7" i="2180"/>
  <c r="K6" i="2180"/>
  <c r="A87" i="2180"/>
  <c r="A88" i="2180" s="1"/>
  <c r="A89" i="2180" s="1"/>
  <c r="A90" i="2180" s="1"/>
  <c r="A91" i="2180" s="1"/>
  <c r="A92" i="2180" s="1"/>
  <c r="AF71" i="2180"/>
  <c r="AF70" i="2180"/>
  <c r="AF73" i="2180" s="1"/>
  <c r="AA32" i="2180"/>
  <c r="Z32" i="2180"/>
  <c r="Y32" i="2180"/>
  <c r="X32" i="2180"/>
  <c r="W32" i="2180"/>
  <c r="V32" i="2180"/>
  <c r="U32" i="2180"/>
  <c r="T32" i="2180"/>
  <c r="S32" i="2180"/>
  <c r="R32" i="2180"/>
  <c r="N32" i="2180"/>
  <c r="J32" i="2180"/>
  <c r="AF31" i="2180"/>
  <c r="AB31" i="2180"/>
  <c r="Q31" i="2180"/>
  <c r="P31" i="2180"/>
  <c r="AC31" i="2180" s="1"/>
  <c r="AD31" i="2180" s="1"/>
  <c r="O31" i="2180"/>
  <c r="M31" i="2180"/>
  <c r="K31" i="2180"/>
  <c r="AF30" i="2180"/>
  <c r="AC30" i="2180"/>
  <c r="AB30" i="2180"/>
  <c r="Q30" i="2180"/>
  <c r="P30" i="2180"/>
  <c r="O30" i="2180"/>
  <c r="M30" i="2180"/>
  <c r="K30" i="2180"/>
  <c r="I30" i="2180"/>
  <c r="AF29" i="2180"/>
  <c r="AB29" i="2180"/>
  <c r="Q29" i="2180"/>
  <c r="P29" i="2180"/>
  <c r="AC29" i="2180" s="1"/>
  <c r="O29" i="2180"/>
  <c r="M29" i="2180"/>
  <c r="K29" i="2180"/>
  <c r="I29" i="2180"/>
  <c r="AF28" i="2180"/>
  <c r="AB28" i="2180"/>
  <c r="Q28" i="2180"/>
  <c r="P28" i="2180"/>
  <c r="AC28" i="2180" s="1"/>
  <c r="O28" i="2180"/>
  <c r="M28" i="2180"/>
  <c r="K28" i="2180"/>
  <c r="I28" i="2180"/>
  <c r="AF27" i="2180"/>
  <c r="AB27" i="2180"/>
  <c r="Q27" i="2180"/>
  <c r="P27" i="2180"/>
  <c r="AC27" i="2180" s="1"/>
  <c r="O27" i="2180"/>
  <c r="M27" i="2180"/>
  <c r="K27" i="2180"/>
  <c r="AF26" i="2180"/>
  <c r="AB26" i="2180"/>
  <c r="Q26" i="2180"/>
  <c r="P26" i="2180"/>
  <c r="AC26" i="2180" s="1"/>
  <c r="AD26" i="2180" s="1"/>
  <c r="O26" i="2180"/>
  <c r="M26" i="2180"/>
  <c r="K26" i="2180"/>
  <c r="AF25" i="2180"/>
  <c r="AB25" i="2180"/>
  <c r="Q25" i="2180"/>
  <c r="P25" i="2180"/>
  <c r="AC25" i="2180" s="1"/>
  <c r="AD25" i="2180" s="1"/>
  <c r="O25" i="2180"/>
  <c r="M25" i="2180"/>
  <c r="K25" i="2180"/>
  <c r="AF24" i="2180"/>
  <c r="AB24" i="2180"/>
  <c r="Q24" i="2180"/>
  <c r="P24" i="2180"/>
  <c r="AC24" i="2180" s="1"/>
  <c r="O24" i="2180"/>
  <c r="M24" i="2180"/>
  <c r="K24" i="2180"/>
  <c r="AF23" i="2180"/>
  <c r="AB23" i="2180"/>
  <c r="Q23" i="2180"/>
  <c r="P23" i="2180"/>
  <c r="AC23" i="2180" s="1"/>
  <c r="O23" i="2180"/>
  <c r="M23" i="2180"/>
  <c r="AF22" i="2180"/>
  <c r="Q22" i="2180"/>
  <c r="O22" i="2180"/>
  <c r="AF21" i="2180"/>
  <c r="Q21" i="2180"/>
  <c r="P21" i="2180"/>
  <c r="AC21" i="2180" s="1"/>
  <c r="AB21" i="2180"/>
  <c r="AF20" i="2180"/>
  <c r="Q20" i="2180"/>
  <c r="O20" i="2180"/>
  <c r="AF18" i="2180"/>
  <c r="AB18" i="2180"/>
  <c r="Q18" i="2180"/>
  <c r="P18" i="2180"/>
  <c r="AC18" i="2180" s="1"/>
  <c r="O18" i="2180"/>
  <c r="M18" i="2180"/>
  <c r="K18" i="2180"/>
  <c r="AF17" i="2180"/>
  <c r="Q17" i="2180"/>
  <c r="AF16" i="2180"/>
  <c r="Q16" i="2180"/>
  <c r="P16" i="2180" s="1"/>
  <c r="AC16" i="2180" s="1"/>
  <c r="O16" i="2180"/>
  <c r="AB16" i="2180"/>
  <c r="AF15" i="2180"/>
  <c r="AB15" i="2180"/>
  <c r="Q15" i="2180"/>
  <c r="P15" i="2180"/>
  <c r="AC15" i="2180" s="1"/>
  <c r="O15" i="2180"/>
  <c r="M15" i="2180"/>
  <c r="K15" i="2180"/>
  <c r="AF14" i="2180"/>
  <c r="AB14" i="2180"/>
  <c r="Q14" i="2180"/>
  <c r="P14" i="2180" s="1"/>
  <c r="AC14" i="2180" s="1"/>
  <c r="O14" i="2180"/>
  <c r="M14" i="2180"/>
  <c r="AF13" i="2180"/>
  <c r="AB13" i="2180"/>
  <c r="Q13" i="2180"/>
  <c r="O13" i="2180"/>
  <c r="M13" i="2180"/>
  <c r="AF12" i="2180"/>
  <c r="Q12" i="2180"/>
  <c r="O12" i="2180"/>
  <c r="AF11" i="2180"/>
  <c r="Q11" i="2180"/>
  <c r="AF10" i="2180"/>
  <c r="AB10" i="2180"/>
  <c r="Q10" i="2180"/>
  <c r="P10" i="2180" s="1"/>
  <c r="AC10" i="2180" s="1"/>
  <c r="O10" i="2180"/>
  <c r="M10" i="2180"/>
  <c r="AF9" i="2180"/>
  <c r="Q9" i="2180"/>
  <c r="O9" i="2180"/>
  <c r="AF8" i="2180"/>
  <c r="Q8" i="2180"/>
  <c r="P8" i="2180" s="1"/>
  <c r="AC8" i="2180" s="1"/>
  <c r="AB8" i="2180"/>
  <c r="AF7" i="2180"/>
  <c r="Q7" i="2180"/>
  <c r="AF6" i="2180"/>
  <c r="AB6" i="2180"/>
  <c r="Q6" i="2180"/>
  <c r="P6" i="2180" s="1"/>
  <c r="AC6" i="2180" s="1"/>
  <c r="O6" i="2180"/>
  <c r="M6" i="2180"/>
  <c r="AC27" i="16"/>
  <c r="AC26" i="16"/>
  <c r="AC25" i="16"/>
  <c r="AC24" i="16"/>
  <c r="AC23" i="16"/>
  <c r="AC22" i="16"/>
  <c r="AC21" i="16"/>
  <c r="AC20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3" i="2179"/>
  <c r="L22" i="2179"/>
  <c r="L21" i="2179"/>
  <c r="L20" i="2179"/>
  <c r="L18" i="2179"/>
  <c r="K18" i="2179" s="1"/>
  <c r="AF18" i="2179"/>
  <c r="Q18" i="2179"/>
  <c r="P18" i="2179" s="1"/>
  <c r="AC18" i="2179" s="1"/>
  <c r="M18" i="2179"/>
  <c r="AB18" i="2179"/>
  <c r="L17" i="2179"/>
  <c r="AB17" i="2179" s="1"/>
  <c r="L14" i="2179"/>
  <c r="M14" i="2179" s="1"/>
  <c r="L13" i="2179"/>
  <c r="M13" i="2179" s="1"/>
  <c r="L12" i="2179"/>
  <c r="K12" i="2179" s="1"/>
  <c r="AF12" i="2179"/>
  <c r="Q12" i="2179"/>
  <c r="M12" i="2179"/>
  <c r="AB12" i="2179"/>
  <c r="L11" i="2179"/>
  <c r="L10" i="2179"/>
  <c r="L9" i="2179"/>
  <c r="O9" i="2179" s="1"/>
  <c r="L8" i="2179"/>
  <c r="K8" i="2179" s="1"/>
  <c r="L7" i="2179"/>
  <c r="K7" i="2179" s="1"/>
  <c r="L6" i="2179"/>
  <c r="K6" i="2179" s="1"/>
  <c r="K23" i="2179"/>
  <c r="K22" i="2179"/>
  <c r="K21" i="2179"/>
  <c r="K20" i="2179"/>
  <c r="K15" i="2179"/>
  <c r="K14" i="2179"/>
  <c r="K13" i="2179"/>
  <c r="K10" i="2179"/>
  <c r="K9" i="2179"/>
  <c r="A87" i="2179"/>
  <c r="A88" i="2179" s="1"/>
  <c r="A89" i="2179" s="1"/>
  <c r="A90" i="2179" s="1"/>
  <c r="A91" i="2179" s="1"/>
  <c r="A92" i="2179" s="1"/>
  <c r="AF71" i="2179"/>
  <c r="AF70" i="2179"/>
  <c r="AF73" i="2179" s="1"/>
  <c r="AA32" i="2179"/>
  <c r="Z32" i="2179"/>
  <c r="Y32" i="2179"/>
  <c r="X32" i="2179"/>
  <c r="W32" i="2179"/>
  <c r="V32" i="2179"/>
  <c r="U32" i="2179"/>
  <c r="T32" i="2179"/>
  <c r="S32" i="2179"/>
  <c r="R32" i="2179"/>
  <c r="N32" i="2179"/>
  <c r="J32" i="2179"/>
  <c r="AF31" i="2179"/>
  <c r="AB31" i="2179"/>
  <c r="Q31" i="2179"/>
  <c r="P31" i="2179"/>
  <c r="AC31" i="2179" s="1"/>
  <c r="O31" i="2179"/>
  <c r="M31" i="2179"/>
  <c r="K31" i="2179"/>
  <c r="AF30" i="2179"/>
  <c r="AB30" i="2179"/>
  <c r="Q30" i="2179"/>
  <c r="P30" i="2179"/>
  <c r="AC30" i="2179" s="1"/>
  <c r="O30" i="2179"/>
  <c r="M30" i="2179"/>
  <c r="K30" i="2179"/>
  <c r="I30" i="2179"/>
  <c r="AF29" i="2179"/>
  <c r="AB29" i="2179"/>
  <c r="Q29" i="2179"/>
  <c r="P29" i="2179"/>
  <c r="AC29" i="2179" s="1"/>
  <c r="O29" i="2179"/>
  <c r="M29" i="2179"/>
  <c r="K29" i="2179"/>
  <c r="I29" i="2179"/>
  <c r="AF28" i="2179"/>
  <c r="AB28" i="2179"/>
  <c r="Q28" i="2179"/>
  <c r="P28" i="2179"/>
  <c r="AC28" i="2179" s="1"/>
  <c r="O28" i="2179"/>
  <c r="M28" i="2179"/>
  <c r="K28" i="2179"/>
  <c r="I28" i="2179"/>
  <c r="I32" i="2179" s="1"/>
  <c r="AF27" i="2179"/>
  <c r="AB27" i="2179"/>
  <c r="Q27" i="2179"/>
  <c r="P27" i="2179"/>
  <c r="AC27" i="2179" s="1"/>
  <c r="O27" i="2179"/>
  <c r="M27" i="2179"/>
  <c r="K27" i="2179"/>
  <c r="AF26" i="2179"/>
  <c r="AB26" i="2179"/>
  <c r="Q26" i="2179"/>
  <c r="P26" i="2179"/>
  <c r="AC26" i="2179" s="1"/>
  <c r="O26" i="2179"/>
  <c r="M26" i="2179"/>
  <c r="K26" i="2179"/>
  <c r="AF25" i="2179"/>
  <c r="AB25" i="2179"/>
  <c r="Q25" i="2179"/>
  <c r="P25" i="2179"/>
  <c r="AC25" i="2179" s="1"/>
  <c r="O25" i="2179"/>
  <c r="M25" i="2179"/>
  <c r="K25" i="2179"/>
  <c r="AF24" i="2179"/>
  <c r="AB24" i="2179"/>
  <c r="Q24" i="2179"/>
  <c r="P24" i="2179"/>
  <c r="AC24" i="2179" s="1"/>
  <c r="O24" i="2179"/>
  <c r="M24" i="2179"/>
  <c r="K24" i="2179"/>
  <c r="AF23" i="2179"/>
  <c r="Q23" i="2179"/>
  <c r="P23" i="2179" s="1"/>
  <c r="AC23" i="2179" s="1"/>
  <c r="O23" i="2179"/>
  <c r="AB23" i="2179"/>
  <c r="AF22" i="2179"/>
  <c r="AB22" i="2179"/>
  <c r="Q22" i="2179"/>
  <c r="O22" i="2179"/>
  <c r="M22" i="2179"/>
  <c r="P22" i="2179"/>
  <c r="AC22" i="2179" s="1"/>
  <c r="AF21" i="2179"/>
  <c r="AB21" i="2179"/>
  <c r="Q21" i="2179"/>
  <c r="M21" i="2179"/>
  <c r="P21" i="2179"/>
  <c r="AC21" i="2179" s="1"/>
  <c r="AF20" i="2179"/>
  <c r="Q20" i="2179"/>
  <c r="P20" i="2179"/>
  <c r="AC20" i="2179" s="1"/>
  <c r="AF19" i="2179"/>
  <c r="AB19" i="2179"/>
  <c r="Q19" i="2179"/>
  <c r="P19" i="2179"/>
  <c r="AC19" i="2179" s="1"/>
  <c r="O19" i="2179"/>
  <c r="M19" i="2179"/>
  <c r="K19" i="2179"/>
  <c r="AF17" i="2179"/>
  <c r="Q17" i="2179"/>
  <c r="M17" i="2179"/>
  <c r="AF16" i="2179"/>
  <c r="Q16" i="2179"/>
  <c r="P16" i="2179"/>
  <c r="AC16" i="2179" s="1"/>
  <c r="AF15" i="2179"/>
  <c r="Q15" i="2179"/>
  <c r="P15" i="2179"/>
  <c r="AC15" i="2179" s="1"/>
  <c r="O15" i="2179"/>
  <c r="AB15" i="2179"/>
  <c r="AF14" i="2179"/>
  <c r="AB14" i="2179"/>
  <c r="Q14" i="2179"/>
  <c r="P14" i="2179" s="1"/>
  <c r="AC14" i="2179" s="1"/>
  <c r="O14" i="2179"/>
  <c r="AF13" i="2179"/>
  <c r="Q13" i="2179"/>
  <c r="P13" i="2179"/>
  <c r="AC13" i="2179" s="1"/>
  <c r="AF11" i="2179"/>
  <c r="Q11" i="2179"/>
  <c r="AF10" i="2179"/>
  <c r="Q10" i="2179"/>
  <c r="O10" i="2179"/>
  <c r="AB10" i="2179"/>
  <c r="AF9" i="2179"/>
  <c r="AB9" i="2179"/>
  <c r="Q9" i="2179"/>
  <c r="M9" i="2179"/>
  <c r="AF8" i="2179"/>
  <c r="Q8" i="2179"/>
  <c r="P8" i="2179"/>
  <c r="AC8" i="2179" s="1"/>
  <c r="AF7" i="2179"/>
  <c r="Q7" i="2179"/>
  <c r="AF6" i="2179"/>
  <c r="Q6" i="2179"/>
  <c r="P6" i="2179" s="1"/>
  <c r="AC6" i="2179" s="1"/>
  <c r="O6" i="2179"/>
  <c r="AB6" i="2179"/>
  <c r="AB26" i="16"/>
  <c r="AB25" i="16"/>
  <c r="AB24" i="16"/>
  <c r="AB23" i="16"/>
  <c r="AB22" i="16"/>
  <c r="AB21" i="16"/>
  <c r="AB20" i="16"/>
  <c r="AB19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1" i="2178"/>
  <c r="K21" i="2178"/>
  <c r="L20" i="2178"/>
  <c r="L19" i="2178"/>
  <c r="K19" i="2178" s="1"/>
  <c r="L18" i="2178"/>
  <c r="K18" i="2178"/>
  <c r="L16" i="2178"/>
  <c r="K16" i="2178"/>
  <c r="L15" i="2178"/>
  <c r="P15" i="2178" s="1"/>
  <c r="AC15" i="2178" s="1"/>
  <c r="K15" i="2178"/>
  <c r="L14" i="2178"/>
  <c r="K14" i="2178" s="1"/>
  <c r="L13" i="2178"/>
  <c r="L12" i="2178"/>
  <c r="K12" i="2178" s="1"/>
  <c r="L11" i="2178"/>
  <c r="K11" i="2178" s="1"/>
  <c r="L10" i="2178"/>
  <c r="L9" i="2178"/>
  <c r="L8" i="2178"/>
  <c r="K8" i="2178" s="1"/>
  <c r="L7" i="2178"/>
  <c r="L6" i="2178"/>
  <c r="K6" i="2178" s="1"/>
  <c r="K20" i="2178"/>
  <c r="K17" i="2178"/>
  <c r="K13" i="2178"/>
  <c r="K10" i="2178"/>
  <c r="K7" i="2178"/>
  <c r="A85" i="2178"/>
  <c r="A86" i="2178" s="1"/>
  <c r="A87" i="2178" s="1"/>
  <c r="A88" i="2178" s="1"/>
  <c r="A89" i="2178" s="1"/>
  <c r="A90" i="2178" s="1"/>
  <c r="AF69" i="2178"/>
  <c r="AF68" i="2178"/>
  <c r="AA30" i="2178"/>
  <c r="Z30" i="2178"/>
  <c r="Y30" i="2178"/>
  <c r="X30" i="2178"/>
  <c r="W30" i="2178"/>
  <c r="V30" i="2178"/>
  <c r="U30" i="2178"/>
  <c r="T30" i="2178"/>
  <c r="S30" i="2178"/>
  <c r="R30" i="2178"/>
  <c r="N30" i="2178"/>
  <c r="J30" i="2178"/>
  <c r="AF29" i="2178"/>
  <c r="AB29" i="2178"/>
  <c r="Q29" i="2178"/>
  <c r="P29" i="2178"/>
  <c r="AC29" i="2178" s="1"/>
  <c r="O29" i="2178"/>
  <c r="M29" i="2178"/>
  <c r="K29" i="2178"/>
  <c r="AF28" i="2178"/>
  <c r="AB28" i="2178"/>
  <c r="Q28" i="2178"/>
  <c r="P28" i="2178"/>
  <c r="AC28" i="2178" s="1"/>
  <c r="O28" i="2178"/>
  <c r="M28" i="2178"/>
  <c r="K28" i="2178"/>
  <c r="I28" i="2178"/>
  <c r="AF27" i="2178"/>
  <c r="AC27" i="2178"/>
  <c r="AB27" i="2178"/>
  <c r="Q27" i="2178"/>
  <c r="P27" i="2178"/>
  <c r="O27" i="2178"/>
  <c r="M27" i="2178"/>
  <c r="K27" i="2178"/>
  <c r="I27" i="2178"/>
  <c r="AF26" i="2178"/>
  <c r="AB26" i="2178"/>
  <c r="Q26" i="2178"/>
  <c r="P26" i="2178"/>
  <c r="AC26" i="2178" s="1"/>
  <c r="O26" i="2178"/>
  <c r="M26" i="2178"/>
  <c r="K26" i="2178"/>
  <c r="I26" i="2178"/>
  <c r="AF25" i="2178"/>
  <c r="AB25" i="2178"/>
  <c r="Q25" i="2178"/>
  <c r="P25" i="2178"/>
  <c r="AC25" i="2178" s="1"/>
  <c r="AD25" i="2178" s="1"/>
  <c r="O25" i="2178"/>
  <c r="M25" i="2178"/>
  <c r="K25" i="2178"/>
  <c r="AF24" i="2178"/>
  <c r="AB24" i="2178"/>
  <c r="Q24" i="2178"/>
  <c r="P24" i="2178"/>
  <c r="AC24" i="2178" s="1"/>
  <c r="AD24" i="2178" s="1"/>
  <c r="O24" i="2178"/>
  <c r="M24" i="2178"/>
  <c r="K24" i="2178"/>
  <c r="AF23" i="2178"/>
  <c r="AB23" i="2178"/>
  <c r="Q23" i="2178"/>
  <c r="P23" i="2178"/>
  <c r="AC23" i="2178" s="1"/>
  <c r="AD23" i="2178" s="1"/>
  <c r="O23" i="2178"/>
  <c r="M23" i="2178"/>
  <c r="K23" i="2178"/>
  <c r="AF22" i="2178"/>
  <c r="AB22" i="2178"/>
  <c r="Q22" i="2178"/>
  <c r="P22" i="2178"/>
  <c r="AC22" i="2178" s="1"/>
  <c r="AD22" i="2178" s="1"/>
  <c r="O22" i="2178"/>
  <c r="M22" i="2178"/>
  <c r="K22" i="2178"/>
  <c r="AF21" i="2178"/>
  <c r="AB21" i="2178"/>
  <c r="Q21" i="2178"/>
  <c r="P21" i="2178"/>
  <c r="AC21" i="2178" s="1"/>
  <c r="O21" i="2178"/>
  <c r="M21" i="2178"/>
  <c r="AF20" i="2178"/>
  <c r="Q20" i="2178"/>
  <c r="O20" i="2178"/>
  <c r="AB20" i="2178"/>
  <c r="AF19" i="2178"/>
  <c r="AB19" i="2178"/>
  <c r="Q19" i="2178"/>
  <c r="P19" i="2178"/>
  <c r="AC19" i="2178" s="1"/>
  <c r="AD19" i="2178" s="1"/>
  <c r="M19" i="2178"/>
  <c r="O19" i="2178"/>
  <c r="AF18" i="2178"/>
  <c r="Q18" i="2178"/>
  <c r="P18" i="2178" s="1"/>
  <c r="AC18" i="2178" s="1"/>
  <c r="AF17" i="2178"/>
  <c r="AB17" i="2178"/>
  <c r="Q17" i="2178"/>
  <c r="P17" i="2178"/>
  <c r="AC17" i="2178" s="1"/>
  <c r="AD17" i="2178" s="1"/>
  <c r="O17" i="2178"/>
  <c r="M17" i="2178"/>
  <c r="AF16" i="2178"/>
  <c r="AB16" i="2178"/>
  <c r="Q16" i="2178"/>
  <c r="P16" i="2178"/>
  <c r="AC16" i="2178" s="1"/>
  <c r="M16" i="2178"/>
  <c r="O16" i="2178"/>
  <c r="AF15" i="2178"/>
  <c r="Q15" i="2178"/>
  <c r="AF14" i="2178"/>
  <c r="AB14" i="2178"/>
  <c r="Q14" i="2178"/>
  <c r="P14" i="2178" s="1"/>
  <c r="AC14" i="2178" s="1"/>
  <c r="M14" i="2178"/>
  <c r="O14" i="2178"/>
  <c r="AF13" i="2178"/>
  <c r="Q13" i="2178"/>
  <c r="O13" i="2178"/>
  <c r="AB13" i="2178"/>
  <c r="AF12" i="2178"/>
  <c r="AB12" i="2178"/>
  <c r="Q12" i="2178"/>
  <c r="P12" i="2178"/>
  <c r="AC12" i="2178" s="1"/>
  <c r="M12" i="2178"/>
  <c r="O12" i="2178"/>
  <c r="AF11" i="2178"/>
  <c r="Q11" i="2178"/>
  <c r="P11" i="2178"/>
  <c r="AC11" i="2178" s="1"/>
  <c r="AF10" i="2178"/>
  <c r="AB10" i="2178"/>
  <c r="Q10" i="2178"/>
  <c r="P10" i="2178"/>
  <c r="AC10" i="2178" s="1"/>
  <c r="M10" i="2178"/>
  <c r="O10" i="2178"/>
  <c r="AF9" i="2178"/>
  <c r="Q9" i="2178"/>
  <c r="AF8" i="2178"/>
  <c r="AB8" i="2178"/>
  <c r="Q8" i="2178"/>
  <c r="M8" i="2178"/>
  <c r="O8" i="2178"/>
  <c r="AF7" i="2178"/>
  <c r="Q7" i="2178"/>
  <c r="O7" i="2178"/>
  <c r="AB7" i="2178"/>
  <c r="AF6" i="2178"/>
  <c r="AB6" i="2178"/>
  <c r="Q6" i="2178"/>
  <c r="O6" i="2178"/>
  <c r="M6" i="2178"/>
  <c r="Y27" i="16"/>
  <c r="Y26" i="16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1" i="2177"/>
  <c r="K21" i="2177" s="1"/>
  <c r="L20" i="2177"/>
  <c r="K20" i="2177" s="1"/>
  <c r="L19" i="2177"/>
  <c r="K19" i="2177"/>
  <c r="L17" i="2177"/>
  <c r="L16" i="2177"/>
  <c r="AB16" i="2177" s="1"/>
  <c r="L15" i="2177"/>
  <c r="K15" i="2177"/>
  <c r="L14" i="2177"/>
  <c r="AB14" i="2177" s="1"/>
  <c r="L13" i="2177"/>
  <c r="L12" i="2177"/>
  <c r="M12" i="2177" s="1"/>
  <c r="AF12" i="2177"/>
  <c r="Q12" i="2177"/>
  <c r="K11" i="2177"/>
  <c r="L10" i="2177"/>
  <c r="AB10" i="2177" s="1"/>
  <c r="L9" i="2177"/>
  <c r="L8" i="2177"/>
  <c r="L7" i="2177"/>
  <c r="M7" i="2177" s="1"/>
  <c r="L6" i="2177"/>
  <c r="K6" i="2177" s="1"/>
  <c r="K17" i="2177"/>
  <c r="K16" i="2177"/>
  <c r="K14" i="2177"/>
  <c r="K13" i="2177"/>
  <c r="K8" i="2177"/>
  <c r="K7" i="2177"/>
  <c r="A87" i="2177"/>
  <c r="A88" i="2177" s="1"/>
  <c r="A89" i="2177" s="1"/>
  <c r="A90" i="2177" s="1"/>
  <c r="A91" i="2177" s="1"/>
  <c r="A86" i="2177"/>
  <c r="AF70" i="2177"/>
  <c r="AF69" i="2177"/>
  <c r="AF72" i="2177" s="1"/>
  <c r="AA31" i="2177"/>
  <c r="Z31" i="2177"/>
  <c r="Y31" i="2177"/>
  <c r="X31" i="2177"/>
  <c r="W31" i="2177"/>
  <c r="V31" i="2177"/>
  <c r="U31" i="2177"/>
  <c r="T31" i="2177"/>
  <c r="S31" i="2177"/>
  <c r="R31" i="2177"/>
  <c r="N31" i="2177"/>
  <c r="J31" i="2177"/>
  <c r="AF30" i="2177"/>
  <c r="AB30" i="2177"/>
  <c r="Q30" i="2177"/>
  <c r="P30" i="2177"/>
  <c r="AC30" i="2177" s="1"/>
  <c r="AD30" i="2177" s="1"/>
  <c r="O30" i="2177"/>
  <c r="M30" i="2177"/>
  <c r="K30" i="2177"/>
  <c r="AF29" i="2177"/>
  <c r="AB29" i="2177"/>
  <c r="Q29" i="2177"/>
  <c r="P29" i="2177"/>
  <c r="AC29" i="2177" s="1"/>
  <c r="AD29" i="2177" s="1"/>
  <c r="O29" i="2177"/>
  <c r="M29" i="2177"/>
  <c r="K29" i="2177"/>
  <c r="I29" i="2177"/>
  <c r="AF28" i="2177"/>
  <c r="AB28" i="2177"/>
  <c r="Q28" i="2177"/>
  <c r="P28" i="2177"/>
  <c r="AC28" i="2177" s="1"/>
  <c r="AD28" i="2177" s="1"/>
  <c r="O28" i="2177"/>
  <c r="M28" i="2177"/>
  <c r="K28" i="2177"/>
  <c r="I28" i="2177"/>
  <c r="AF27" i="2177"/>
  <c r="AB27" i="2177"/>
  <c r="Q27" i="2177"/>
  <c r="P27" i="2177"/>
  <c r="AC27" i="2177" s="1"/>
  <c r="AD27" i="2177" s="1"/>
  <c r="O27" i="2177"/>
  <c r="M27" i="2177"/>
  <c r="K27" i="2177"/>
  <c r="I27" i="2177"/>
  <c r="AF26" i="2177"/>
  <c r="AB26" i="2177"/>
  <c r="Q26" i="2177"/>
  <c r="P26" i="2177"/>
  <c r="AC26" i="2177" s="1"/>
  <c r="AD26" i="2177" s="1"/>
  <c r="O26" i="2177"/>
  <c r="M26" i="2177"/>
  <c r="K26" i="2177"/>
  <c r="AF25" i="2177"/>
  <c r="AB25" i="2177"/>
  <c r="Q25" i="2177"/>
  <c r="P25" i="2177"/>
  <c r="AC25" i="2177" s="1"/>
  <c r="AD25" i="2177" s="1"/>
  <c r="O25" i="2177"/>
  <c r="M25" i="2177"/>
  <c r="K25" i="2177"/>
  <c r="AF24" i="2177"/>
  <c r="AB24" i="2177"/>
  <c r="Q24" i="2177"/>
  <c r="P24" i="2177"/>
  <c r="AC24" i="2177" s="1"/>
  <c r="O24" i="2177"/>
  <c r="M24" i="2177"/>
  <c r="K24" i="2177"/>
  <c r="AF23" i="2177"/>
  <c r="AB23" i="2177"/>
  <c r="Q23" i="2177"/>
  <c r="P23" i="2177"/>
  <c r="AC23" i="2177" s="1"/>
  <c r="O23" i="2177"/>
  <c r="M23" i="2177"/>
  <c r="K23" i="2177"/>
  <c r="AF22" i="2177"/>
  <c r="AB22" i="2177"/>
  <c r="Q22" i="2177"/>
  <c r="P22" i="2177"/>
  <c r="AC22" i="2177" s="1"/>
  <c r="O22" i="2177"/>
  <c r="M22" i="2177"/>
  <c r="K22" i="2177"/>
  <c r="AF21" i="2177"/>
  <c r="AB21" i="2177"/>
  <c r="Q21" i="2177"/>
  <c r="M21" i="2177"/>
  <c r="O21" i="2177"/>
  <c r="AF20" i="2177"/>
  <c r="Q20" i="2177"/>
  <c r="AF19" i="2177"/>
  <c r="AB19" i="2177"/>
  <c r="Q19" i="2177"/>
  <c r="M19" i="2177"/>
  <c r="O19" i="2177"/>
  <c r="AF18" i="2177"/>
  <c r="AB18" i="2177"/>
  <c r="Q18" i="2177"/>
  <c r="P18" i="2177"/>
  <c r="AC18" i="2177" s="1"/>
  <c r="O18" i="2177"/>
  <c r="M18" i="2177"/>
  <c r="K18" i="2177"/>
  <c r="AF17" i="2177"/>
  <c r="Q17" i="2177"/>
  <c r="P17" i="2177"/>
  <c r="AC17" i="2177" s="1"/>
  <c r="AF16" i="2177"/>
  <c r="Q16" i="2177"/>
  <c r="P16" i="2177"/>
  <c r="AC16" i="2177" s="1"/>
  <c r="M16" i="2177"/>
  <c r="AF15" i="2177"/>
  <c r="Q15" i="2177"/>
  <c r="O15" i="2177"/>
  <c r="AB15" i="2177"/>
  <c r="AF14" i="2177"/>
  <c r="Q14" i="2177"/>
  <c r="P14" i="2177"/>
  <c r="AC14" i="2177" s="1"/>
  <c r="M14" i="2177"/>
  <c r="AF13" i="2177"/>
  <c r="Q13" i="2177"/>
  <c r="P13" i="2177"/>
  <c r="AC13" i="2177" s="1"/>
  <c r="AF11" i="2177"/>
  <c r="AB11" i="2177"/>
  <c r="Q11" i="2177"/>
  <c r="P11" i="2177"/>
  <c r="AC11" i="2177" s="1"/>
  <c r="M11" i="2177"/>
  <c r="O11" i="2177"/>
  <c r="AF10" i="2177"/>
  <c r="Q10" i="2177"/>
  <c r="O10" i="2177"/>
  <c r="AF9" i="2177"/>
  <c r="AB9" i="2177"/>
  <c r="Q9" i="2177"/>
  <c r="M9" i="2177"/>
  <c r="O9" i="2177"/>
  <c r="AF8" i="2177"/>
  <c r="Q8" i="2177"/>
  <c r="AF7" i="2177"/>
  <c r="AB7" i="2177"/>
  <c r="Q7" i="2177"/>
  <c r="P7" i="2177"/>
  <c r="AC7" i="2177" s="1"/>
  <c r="O7" i="2177"/>
  <c r="AF6" i="2177"/>
  <c r="Q6" i="2177"/>
  <c r="O6" i="2177"/>
  <c r="AB6" i="2177"/>
  <c r="AB22" i="2181" l="1"/>
  <c r="AD22" i="2181" s="1"/>
  <c r="M22" i="2181"/>
  <c r="AB13" i="2181"/>
  <c r="O19" i="2181"/>
  <c r="AD27" i="2181"/>
  <c r="AD28" i="2181"/>
  <c r="AD29" i="2181"/>
  <c r="AD30" i="2181"/>
  <c r="AB9" i="2181"/>
  <c r="P19" i="2181"/>
  <c r="AC19" i="2181" s="1"/>
  <c r="AD26" i="2181"/>
  <c r="AB19" i="2181"/>
  <c r="AD25" i="2181"/>
  <c r="P10" i="2181"/>
  <c r="AC10" i="2181" s="1"/>
  <c r="AD10" i="2181" s="1"/>
  <c r="AD18" i="2181"/>
  <c r="O10" i="2181"/>
  <c r="I32" i="2181"/>
  <c r="AF73" i="2181"/>
  <c r="Q32" i="2181"/>
  <c r="AD14" i="2181"/>
  <c r="AD15" i="2181"/>
  <c r="AD16" i="2181"/>
  <c r="AD21" i="2181"/>
  <c r="AD12" i="2181"/>
  <c r="AD19" i="2181"/>
  <c r="AD8" i="2181"/>
  <c r="AD6" i="2181"/>
  <c r="L32" i="2181"/>
  <c r="O32" i="2181" s="1"/>
  <c r="M7" i="2181"/>
  <c r="AB7" i="2181"/>
  <c r="K32" i="2181"/>
  <c r="P9" i="2181"/>
  <c r="AC9" i="2181" s="1"/>
  <c r="AD9" i="2181" s="1"/>
  <c r="M11" i="2181"/>
  <c r="AB11" i="2181"/>
  <c r="P13" i="2181"/>
  <c r="AC13" i="2181" s="1"/>
  <c r="AD13" i="2181" s="1"/>
  <c r="M17" i="2181"/>
  <c r="AB17" i="2181"/>
  <c r="P20" i="2181"/>
  <c r="AC20" i="2181" s="1"/>
  <c r="AD20" i="2181" s="1"/>
  <c r="M23" i="2181"/>
  <c r="AB23" i="2181"/>
  <c r="O7" i="2181"/>
  <c r="O11" i="2181"/>
  <c r="O17" i="2181"/>
  <c r="O23" i="2181"/>
  <c r="M9" i="2181"/>
  <c r="M13" i="2181"/>
  <c r="M20" i="2181"/>
  <c r="P20" i="2180"/>
  <c r="AC20" i="2180" s="1"/>
  <c r="AD20" i="2180" s="1"/>
  <c r="K20" i="2180"/>
  <c r="AB7" i="2180"/>
  <c r="AB11" i="2180"/>
  <c r="AD15" i="2180"/>
  <c r="AB17" i="2180"/>
  <c r="L32" i="2180"/>
  <c r="O32" i="2180" s="1"/>
  <c r="P11" i="2180"/>
  <c r="AC11" i="2180" s="1"/>
  <c r="P17" i="2180"/>
  <c r="AC17" i="2180" s="1"/>
  <c r="AD30" i="2180"/>
  <c r="P13" i="2180"/>
  <c r="AC13" i="2180" s="1"/>
  <c r="P7" i="2180"/>
  <c r="AC7" i="2180" s="1"/>
  <c r="AD28" i="2180"/>
  <c r="K13" i="2180"/>
  <c r="AD27" i="2180"/>
  <c r="AD24" i="2180"/>
  <c r="I32" i="2180"/>
  <c r="AD29" i="2180"/>
  <c r="Q32" i="2180"/>
  <c r="AD6" i="2180"/>
  <c r="AD10" i="2180"/>
  <c r="AD13" i="2180"/>
  <c r="AD14" i="2180"/>
  <c r="AD18" i="2180"/>
  <c r="AD23" i="2180"/>
  <c r="K32" i="2180"/>
  <c r="AD16" i="2180"/>
  <c r="M7" i="2180"/>
  <c r="O8" i="2180"/>
  <c r="AD8" i="2180" s="1"/>
  <c r="P9" i="2180"/>
  <c r="AC9" i="2180" s="1"/>
  <c r="O11" i="2180"/>
  <c r="AD11" i="2180" s="1"/>
  <c r="P12" i="2180"/>
  <c r="AC12" i="2180" s="1"/>
  <c r="M16" i="2180"/>
  <c r="O17" i="2180"/>
  <c r="M20" i="2180"/>
  <c r="O21" i="2180"/>
  <c r="AD21" i="2180" s="1"/>
  <c r="P22" i="2180"/>
  <c r="AC22" i="2180" s="1"/>
  <c r="AD7" i="2180"/>
  <c r="M9" i="2180"/>
  <c r="AB9" i="2180"/>
  <c r="M12" i="2180"/>
  <c r="AB12" i="2180"/>
  <c r="M22" i="2180"/>
  <c r="AB22" i="2180"/>
  <c r="M8" i="2180"/>
  <c r="M11" i="2180"/>
  <c r="M17" i="2180"/>
  <c r="M21" i="2180"/>
  <c r="O18" i="2179"/>
  <c r="AD18" i="2179"/>
  <c r="P17" i="2179"/>
  <c r="AC17" i="2179" s="1"/>
  <c r="AD31" i="2179"/>
  <c r="K17" i="2179"/>
  <c r="AD27" i="2179"/>
  <c r="AD28" i="2179"/>
  <c r="AD29" i="2179"/>
  <c r="AD30" i="2179"/>
  <c r="O12" i="2179"/>
  <c r="M8" i="2179"/>
  <c r="AB8" i="2179"/>
  <c r="P9" i="2179"/>
  <c r="AC9" i="2179" s="1"/>
  <c r="AD9" i="2179" s="1"/>
  <c r="AD22" i="2179"/>
  <c r="P11" i="2179"/>
  <c r="AC11" i="2179" s="1"/>
  <c r="AB13" i="2179"/>
  <c r="P7" i="2179"/>
  <c r="AC7" i="2179" s="1"/>
  <c r="AD19" i="2179"/>
  <c r="AD26" i="2179"/>
  <c r="P12" i="2179"/>
  <c r="AC12" i="2179" s="1"/>
  <c r="AD12" i="2179" s="1"/>
  <c r="AD25" i="2179"/>
  <c r="K11" i="2179"/>
  <c r="AD24" i="2179"/>
  <c r="P10" i="2179"/>
  <c r="AC10" i="2179" s="1"/>
  <c r="Q32" i="2179"/>
  <c r="AD14" i="2179"/>
  <c r="AD6" i="2179"/>
  <c r="AD10" i="2179"/>
  <c r="AD23" i="2179"/>
  <c r="AD15" i="2179"/>
  <c r="M7" i="2179"/>
  <c r="AB7" i="2179"/>
  <c r="O8" i="2179"/>
  <c r="M11" i="2179"/>
  <c r="AB11" i="2179"/>
  <c r="O13" i="2179"/>
  <c r="AD13" i="2179" s="1"/>
  <c r="M16" i="2179"/>
  <c r="AB16" i="2179"/>
  <c r="O17" i="2179"/>
  <c r="AD17" i="2179" s="1"/>
  <c r="M20" i="2179"/>
  <c r="AB20" i="2179"/>
  <c r="O21" i="2179"/>
  <c r="AD21" i="2179" s="1"/>
  <c r="L32" i="2179"/>
  <c r="O32" i="2179" s="1"/>
  <c r="M6" i="2179"/>
  <c r="O7" i="2179"/>
  <c r="M10" i="2179"/>
  <c r="O11" i="2179"/>
  <c r="M15" i="2179"/>
  <c r="O16" i="2179"/>
  <c r="AD16" i="2179" s="1"/>
  <c r="O20" i="2179"/>
  <c r="M23" i="2179"/>
  <c r="K16" i="2179"/>
  <c r="AD21" i="2178"/>
  <c r="AB18" i="16" s="1"/>
  <c r="AD28" i="2178"/>
  <c r="P8" i="2178"/>
  <c r="AC8" i="2178" s="1"/>
  <c r="P9" i="2178"/>
  <c r="AC9" i="2178" s="1"/>
  <c r="AD27" i="2178"/>
  <c r="I30" i="2178"/>
  <c r="AD26" i="2178"/>
  <c r="AD29" i="2178"/>
  <c r="AF71" i="2178"/>
  <c r="K9" i="2178"/>
  <c r="Q30" i="2178"/>
  <c r="P6" i="2178"/>
  <c r="AC6" i="2178" s="1"/>
  <c r="AD6" i="2178" s="1"/>
  <c r="AD16" i="2178"/>
  <c r="AD8" i="2178"/>
  <c r="AD10" i="2178"/>
  <c r="AD14" i="2178"/>
  <c r="AD12" i="2178"/>
  <c r="L30" i="2178"/>
  <c r="O30" i="2178" s="1"/>
  <c r="P7" i="2178"/>
  <c r="M9" i="2178"/>
  <c r="AB9" i="2178"/>
  <c r="M11" i="2178"/>
  <c r="AB11" i="2178"/>
  <c r="P13" i="2178"/>
  <c r="AC13" i="2178" s="1"/>
  <c r="AD13" i="2178" s="1"/>
  <c r="M15" i="2178"/>
  <c r="AB15" i="2178"/>
  <c r="M18" i="2178"/>
  <c r="AB18" i="2178"/>
  <c r="P20" i="2178"/>
  <c r="AC20" i="2178" s="1"/>
  <c r="AD20" i="2178" s="1"/>
  <c r="O9" i="2178"/>
  <c r="O11" i="2178"/>
  <c r="O15" i="2178"/>
  <c r="O18" i="2178"/>
  <c r="M7" i="2178"/>
  <c r="K30" i="2178"/>
  <c r="M13" i="2178"/>
  <c r="M20" i="2178"/>
  <c r="P21" i="2177"/>
  <c r="AC21" i="2177" s="1"/>
  <c r="AD21" i="2177" s="1"/>
  <c r="P20" i="2177"/>
  <c r="AC20" i="2177" s="1"/>
  <c r="P19" i="2177"/>
  <c r="AC19" i="2177" s="1"/>
  <c r="AD19" i="2177" s="1"/>
  <c r="O16" i="2177"/>
  <c r="O14" i="2177"/>
  <c r="AD14" i="2177" s="1"/>
  <c r="K12" i="2177"/>
  <c r="AB12" i="2177"/>
  <c r="O12" i="2177"/>
  <c r="P12" i="2177"/>
  <c r="AC12" i="2177" s="1"/>
  <c r="AD22" i="2177"/>
  <c r="I31" i="2177"/>
  <c r="AD18" i="2177"/>
  <c r="AD24" i="2177"/>
  <c r="AD23" i="2177"/>
  <c r="K10" i="2177"/>
  <c r="P9" i="2177"/>
  <c r="AC9" i="2177" s="1"/>
  <c r="AD9" i="2177" s="1"/>
  <c r="K9" i="2177"/>
  <c r="Q31" i="2177"/>
  <c r="P8" i="2177"/>
  <c r="AC8" i="2177" s="1"/>
  <c r="AD16" i="2177"/>
  <c r="AD7" i="2177"/>
  <c r="AD11" i="2177"/>
  <c r="P6" i="2177"/>
  <c r="M8" i="2177"/>
  <c r="AB8" i="2177"/>
  <c r="P10" i="2177"/>
  <c r="AC10" i="2177" s="1"/>
  <c r="AD10" i="2177" s="1"/>
  <c r="M13" i="2177"/>
  <c r="AB13" i="2177"/>
  <c r="P15" i="2177"/>
  <c r="AC15" i="2177" s="1"/>
  <c r="AD15" i="2177" s="1"/>
  <c r="M17" i="2177"/>
  <c r="AB17" i="2177"/>
  <c r="AD17" i="2177" s="1"/>
  <c r="M20" i="2177"/>
  <c r="AB20" i="2177"/>
  <c r="L31" i="2177"/>
  <c r="O31" i="2177" s="1"/>
  <c r="O8" i="2177"/>
  <c r="O13" i="2177"/>
  <c r="O17" i="2177"/>
  <c r="O20" i="2177"/>
  <c r="M6" i="2177"/>
  <c r="M10" i="2177"/>
  <c r="M15" i="2177"/>
  <c r="AD7" i="2181" l="1"/>
  <c r="P32" i="2181"/>
  <c r="AD17" i="2181"/>
  <c r="AD23" i="2181"/>
  <c r="M32" i="2181"/>
  <c r="AD11" i="2181"/>
  <c r="AC32" i="2181"/>
  <c r="AB32" i="2181"/>
  <c r="AD17" i="2180"/>
  <c r="AB32" i="2180"/>
  <c r="AD22" i="2180"/>
  <c r="AD9" i="2180"/>
  <c r="M32" i="2180"/>
  <c r="AD12" i="2180"/>
  <c r="AC32" i="2180"/>
  <c r="P32" i="2180"/>
  <c r="AD8" i="2179"/>
  <c r="AC32" i="2179"/>
  <c r="P32" i="2179"/>
  <c r="K32" i="2179"/>
  <c r="AD20" i="2179"/>
  <c r="AD7" i="2179"/>
  <c r="AD11" i="2179"/>
  <c r="AB32" i="2179"/>
  <c r="M32" i="2179"/>
  <c r="AD15" i="2178"/>
  <c r="AD9" i="2178"/>
  <c r="M30" i="2178"/>
  <c r="AD18" i="2178"/>
  <c r="AD11" i="2178"/>
  <c r="P30" i="2178"/>
  <c r="AC7" i="2178"/>
  <c r="AB30" i="2178"/>
  <c r="AD12" i="2177"/>
  <c r="AD13" i="2177"/>
  <c r="AD20" i="2177"/>
  <c r="AD8" i="2177"/>
  <c r="M31" i="2177"/>
  <c r="AC6" i="2177"/>
  <c r="P31" i="2177"/>
  <c r="AB31" i="2177"/>
  <c r="K31" i="2177"/>
  <c r="AD32" i="2181" l="1"/>
  <c r="AE22" i="2181" s="1"/>
  <c r="AE31" i="2181"/>
  <c r="AE8" i="2181"/>
  <c r="AE29" i="2181"/>
  <c r="AE26" i="2181"/>
  <c r="AE24" i="2181"/>
  <c r="AE20" i="2181"/>
  <c r="AE18" i="2181"/>
  <c r="AE15" i="2181"/>
  <c r="AE13" i="2181"/>
  <c r="AE9" i="2181"/>
  <c r="AE27" i="2181"/>
  <c r="AE25" i="2181"/>
  <c r="AE14" i="2181"/>
  <c r="AE7" i="2181"/>
  <c r="AE30" i="2181"/>
  <c r="AE21" i="2181"/>
  <c r="AE16" i="2181"/>
  <c r="AE10" i="2181"/>
  <c r="AE6" i="2181"/>
  <c r="AE23" i="2181"/>
  <c r="AE19" i="2181"/>
  <c r="AE17" i="2181"/>
  <c r="AE11" i="2181"/>
  <c r="AD32" i="2180"/>
  <c r="AE31" i="2180" s="1"/>
  <c r="AE24" i="2180"/>
  <c r="AE23" i="2180"/>
  <c r="AE8" i="2180"/>
  <c r="AD32" i="2179"/>
  <c r="AE12" i="2179" s="1"/>
  <c r="AD7" i="2178"/>
  <c r="AD30" i="2178" s="1"/>
  <c r="AB27" i="16" s="1"/>
  <c r="AC30" i="2178"/>
  <c r="AC31" i="2177"/>
  <c r="AD6" i="2177"/>
  <c r="AD31" i="2177" s="1"/>
  <c r="AE12" i="2177" s="1"/>
  <c r="AE12" i="2181" l="1"/>
  <c r="AE28" i="2181"/>
  <c r="AE20" i="2180"/>
  <c r="AE29" i="2180"/>
  <c r="AE18" i="2180"/>
  <c r="AE6" i="2180"/>
  <c r="AE13" i="2180"/>
  <c r="AE26" i="2180"/>
  <c r="AE7" i="2180"/>
  <c r="AE10" i="2180"/>
  <c r="AE17" i="2180"/>
  <c r="AE16" i="2180"/>
  <c r="AE27" i="2180"/>
  <c r="AE21" i="2180"/>
  <c r="AE9" i="2180"/>
  <c r="AE12" i="2180"/>
  <c r="AE11" i="2180"/>
  <c r="AE14" i="2180"/>
  <c r="AE25" i="2180"/>
  <c r="AE15" i="2180"/>
  <c r="AE22" i="2180"/>
  <c r="AE30" i="2180"/>
  <c r="AE28" i="2180"/>
  <c r="AE19" i="2180"/>
  <c r="AE27" i="2179"/>
  <c r="AE17" i="2179"/>
  <c r="AE29" i="2179"/>
  <c r="AE19" i="2179"/>
  <c r="AE30" i="2179"/>
  <c r="AE11" i="2179"/>
  <c r="AE6" i="2179"/>
  <c r="AE23" i="2179"/>
  <c r="AE9" i="2179"/>
  <c r="AE8" i="2179"/>
  <c r="AE24" i="2179"/>
  <c r="AE16" i="2179"/>
  <c r="AE18" i="2179"/>
  <c r="AE15" i="2179"/>
  <c r="AE22" i="2179"/>
  <c r="AE28" i="2179"/>
  <c r="AE7" i="2179"/>
  <c r="AE21" i="2179"/>
  <c r="AE31" i="2179"/>
  <c r="AE10" i="2179"/>
  <c r="AE25" i="2179"/>
  <c r="AE14" i="2179"/>
  <c r="AE13" i="2179"/>
  <c r="AE26" i="2179"/>
  <c r="AE20" i="2179"/>
  <c r="AE29" i="2178"/>
  <c r="AE26" i="2178"/>
  <c r="AE19" i="2178"/>
  <c r="AE16" i="2178"/>
  <c r="AE12" i="2178"/>
  <c r="AE10" i="2178"/>
  <c r="AE6" i="2178"/>
  <c r="AE18" i="2178"/>
  <c r="AE27" i="2178"/>
  <c r="AE24" i="2178"/>
  <c r="AE22" i="2178"/>
  <c r="AE20" i="2178"/>
  <c r="AE13" i="2178"/>
  <c r="AE7" i="2178"/>
  <c r="AE23" i="2178"/>
  <c r="AE21" i="2178"/>
  <c r="AE11" i="2178"/>
  <c r="AE9" i="2178"/>
  <c r="AE28" i="2178"/>
  <c r="AE17" i="2178"/>
  <c r="AE14" i="2178"/>
  <c r="AE8" i="2178"/>
  <c r="AE25" i="2178"/>
  <c r="AE15" i="2178"/>
  <c r="AE28" i="2177"/>
  <c r="AE25" i="2177"/>
  <c r="AE23" i="2177"/>
  <c r="AE21" i="2177"/>
  <c r="AE14" i="2177"/>
  <c r="AE9" i="2177"/>
  <c r="AE6" i="2177"/>
  <c r="AE29" i="2177"/>
  <c r="AE18" i="2177"/>
  <c r="AE15" i="2177"/>
  <c r="AE10" i="2177"/>
  <c r="AE27" i="2177"/>
  <c r="AE8" i="2177"/>
  <c r="AE26" i="2177"/>
  <c r="AE24" i="2177"/>
  <c r="AE22" i="2177"/>
  <c r="AE19" i="2177"/>
  <c r="AE16" i="2177"/>
  <c r="AE11" i="2177"/>
  <c r="AE7" i="2177"/>
  <c r="AE30" i="2177"/>
  <c r="AE20" i="2177"/>
  <c r="AE17" i="2177"/>
  <c r="AE13" i="2177"/>
  <c r="AD30" i="2176" l="1"/>
  <c r="X27" i="16" s="1"/>
  <c r="X26" i="16"/>
  <c r="X25" i="16"/>
  <c r="X24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2176"/>
  <c r="L19" i="2176"/>
  <c r="L18" i="2176"/>
  <c r="K18" i="2176"/>
  <c r="L16" i="2176"/>
  <c r="L15" i="2176"/>
  <c r="L14" i="2176"/>
  <c r="L13" i="2176"/>
  <c r="L12" i="2176"/>
  <c r="L11" i="2176"/>
  <c r="K11" i="2176"/>
  <c r="L10" i="2176"/>
  <c r="L9" i="2176"/>
  <c r="L8" i="2176"/>
  <c r="L7" i="2176"/>
  <c r="L6" i="2176"/>
  <c r="K26" i="2176" l="1"/>
  <c r="K19" i="2176"/>
  <c r="K17" i="2176"/>
  <c r="K16" i="2176"/>
  <c r="K15" i="2176"/>
  <c r="K13" i="2176"/>
  <c r="K12" i="2176"/>
  <c r="K10" i="2176"/>
  <c r="K9" i="2176"/>
  <c r="K8" i="2176"/>
  <c r="K7" i="2176"/>
  <c r="K6" i="2176"/>
  <c r="A85" i="2176"/>
  <c r="A86" i="2176" s="1"/>
  <c r="A87" i="2176" s="1"/>
  <c r="A88" i="2176" s="1"/>
  <c r="A89" i="2176" s="1"/>
  <c r="A90" i="2176" s="1"/>
  <c r="AF69" i="2176"/>
  <c r="AF68" i="2176"/>
  <c r="AF71" i="2176" s="1"/>
  <c r="AA30" i="2176"/>
  <c r="Z30" i="2176"/>
  <c r="Y30" i="2176"/>
  <c r="X30" i="2176"/>
  <c r="W30" i="2176"/>
  <c r="V30" i="2176"/>
  <c r="U30" i="2176"/>
  <c r="T30" i="2176"/>
  <c r="S30" i="2176"/>
  <c r="R30" i="2176"/>
  <c r="N30" i="2176"/>
  <c r="J30" i="2176"/>
  <c r="AF29" i="2176"/>
  <c r="AB29" i="2176"/>
  <c r="Q29" i="2176"/>
  <c r="P29" i="2176"/>
  <c r="AC29" i="2176" s="1"/>
  <c r="AD29" i="2176" s="1"/>
  <c r="O29" i="2176"/>
  <c r="M29" i="2176"/>
  <c r="K29" i="2176"/>
  <c r="AF28" i="2176"/>
  <c r="AB28" i="2176"/>
  <c r="Q28" i="2176"/>
  <c r="P28" i="2176"/>
  <c r="AC28" i="2176" s="1"/>
  <c r="AD28" i="2176" s="1"/>
  <c r="O28" i="2176"/>
  <c r="M28" i="2176"/>
  <c r="K28" i="2176"/>
  <c r="I28" i="2176"/>
  <c r="AF27" i="2176"/>
  <c r="AB27" i="2176"/>
  <c r="Q27" i="2176"/>
  <c r="P27" i="2176"/>
  <c r="AC27" i="2176" s="1"/>
  <c r="AD27" i="2176" s="1"/>
  <c r="O27" i="2176"/>
  <c r="M27" i="2176"/>
  <c r="K27" i="2176"/>
  <c r="I27" i="2176"/>
  <c r="AF26" i="2176"/>
  <c r="Q26" i="2176"/>
  <c r="P26" i="2176"/>
  <c r="AC26" i="2176" s="1"/>
  <c r="I26" i="2176"/>
  <c r="I30" i="2176" s="1"/>
  <c r="AF25" i="2176"/>
  <c r="AB25" i="2176"/>
  <c r="Q25" i="2176"/>
  <c r="P25" i="2176"/>
  <c r="AC25" i="2176" s="1"/>
  <c r="O25" i="2176"/>
  <c r="M25" i="2176"/>
  <c r="K25" i="2176"/>
  <c r="AF24" i="2176"/>
  <c r="AB24" i="2176"/>
  <c r="Q24" i="2176"/>
  <c r="P24" i="2176"/>
  <c r="AC24" i="2176" s="1"/>
  <c r="AD24" i="2176" s="1"/>
  <c r="O24" i="2176"/>
  <c r="M24" i="2176"/>
  <c r="K24" i="2176"/>
  <c r="AF23" i="2176"/>
  <c r="AB23" i="2176"/>
  <c r="Q23" i="2176"/>
  <c r="P23" i="2176"/>
  <c r="AC23" i="2176" s="1"/>
  <c r="O23" i="2176"/>
  <c r="M23" i="2176"/>
  <c r="K23" i="2176"/>
  <c r="AF22" i="2176"/>
  <c r="AB22" i="2176"/>
  <c r="Q22" i="2176"/>
  <c r="P22" i="2176"/>
  <c r="AC22" i="2176" s="1"/>
  <c r="O22" i="2176"/>
  <c r="M22" i="2176"/>
  <c r="K22" i="2176"/>
  <c r="AF21" i="2176"/>
  <c r="AB21" i="2176"/>
  <c r="Q21" i="2176"/>
  <c r="P21" i="2176"/>
  <c r="AC21" i="2176" s="1"/>
  <c r="AD21" i="2176" s="1"/>
  <c r="O21" i="2176"/>
  <c r="M21" i="2176"/>
  <c r="K21" i="2176"/>
  <c r="AF20" i="2176"/>
  <c r="AB20" i="2176"/>
  <c r="Q20" i="2176"/>
  <c r="P20" i="2176"/>
  <c r="AC20" i="2176" s="1"/>
  <c r="AD20" i="2176" s="1"/>
  <c r="O20" i="2176"/>
  <c r="M20" i="2176"/>
  <c r="K20" i="2176"/>
  <c r="AF19" i="2176"/>
  <c r="Q19" i="2176"/>
  <c r="P19" i="2176"/>
  <c r="AC19" i="2176" s="1"/>
  <c r="O19" i="2176"/>
  <c r="AF18" i="2176"/>
  <c r="Q18" i="2176"/>
  <c r="P18" i="2176" s="1"/>
  <c r="AC18" i="2176" s="1"/>
  <c r="O18" i="2176"/>
  <c r="M18" i="2176"/>
  <c r="AB18" i="2176"/>
  <c r="AF17" i="2176"/>
  <c r="AB17" i="2176"/>
  <c r="Q17" i="2176"/>
  <c r="O17" i="2176"/>
  <c r="M17" i="2176"/>
  <c r="P17" i="2176"/>
  <c r="AC17" i="2176" s="1"/>
  <c r="AD17" i="2176" s="1"/>
  <c r="AF16" i="2176"/>
  <c r="Q16" i="2176"/>
  <c r="AB16" i="2176"/>
  <c r="AF15" i="2176"/>
  <c r="Q15" i="2176"/>
  <c r="P15" i="2176"/>
  <c r="AC15" i="2176" s="1"/>
  <c r="O15" i="2176"/>
  <c r="AF14" i="2176"/>
  <c r="AB14" i="2176"/>
  <c r="Q14" i="2176"/>
  <c r="P14" i="2176"/>
  <c r="AC14" i="2176" s="1"/>
  <c r="O14" i="2176"/>
  <c r="M14" i="2176"/>
  <c r="K14" i="2176"/>
  <c r="AF13" i="2176"/>
  <c r="Q13" i="2176"/>
  <c r="AB13" i="2176"/>
  <c r="AF12" i="2176"/>
  <c r="Q12" i="2176"/>
  <c r="P12" i="2176"/>
  <c r="AC12" i="2176" s="1"/>
  <c r="O12" i="2176"/>
  <c r="AF11" i="2176"/>
  <c r="AC11" i="2176"/>
  <c r="AB11" i="2176"/>
  <c r="Q11" i="2176"/>
  <c r="P11" i="2176"/>
  <c r="O11" i="2176"/>
  <c r="M11" i="2176"/>
  <c r="AF10" i="2176"/>
  <c r="AB10" i="2176"/>
  <c r="Q10" i="2176"/>
  <c r="O10" i="2176"/>
  <c r="M10" i="2176"/>
  <c r="P10" i="2176"/>
  <c r="AC10" i="2176" s="1"/>
  <c r="AF9" i="2176"/>
  <c r="Q9" i="2176"/>
  <c r="P9" i="2176" s="1"/>
  <c r="AC9" i="2176" s="1"/>
  <c r="AF8" i="2176"/>
  <c r="AB8" i="2176"/>
  <c r="Q8" i="2176"/>
  <c r="P8" i="2176" s="1"/>
  <c r="AC8" i="2176" s="1"/>
  <c r="O8" i="2176"/>
  <c r="M8" i="2176"/>
  <c r="AF7" i="2176"/>
  <c r="Q7" i="2176"/>
  <c r="P7" i="2176"/>
  <c r="AC7" i="2176" s="1"/>
  <c r="AF6" i="2176"/>
  <c r="Q6" i="2176"/>
  <c r="P6" i="2176"/>
  <c r="AC6" i="2176" s="1"/>
  <c r="O6" i="2176"/>
  <c r="W27" i="16"/>
  <c r="W26" i="16"/>
  <c r="W25" i="16"/>
  <c r="W24" i="16"/>
  <c r="W23" i="16"/>
  <c r="W22" i="16"/>
  <c r="W21" i="16"/>
  <c r="W20" i="16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AD14" i="2176" l="1"/>
  <c r="AD23" i="2176"/>
  <c r="AD22" i="2176"/>
  <c r="Q30" i="2176"/>
  <c r="AD10" i="2176"/>
  <c r="AD8" i="2176"/>
  <c r="AD25" i="2176"/>
  <c r="AD11" i="2176"/>
  <c r="AD18" i="2176"/>
  <c r="AB7" i="2176"/>
  <c r="AD7" i="2176" s="1"/>
  <c r="AB9" i="2176"/>
  <c r="M13" i="2176"/>
  <c r="M16" i="2176"/>
  <c r="M6" i="2176"/>
  <c r="AB6" i="2176"/>
  <c r="O7" i="2176"/>
  <c r="O9" i="2176"/>
  <c r="M12" i="2176"/>
  <c r="AB12" i="2176"/>
  <c r="AD12" i="2176" s="1"/>
  <c r="O13" i="2176"/>
  <c r="M15" i="2176"/>
  <c r="AB15" i="2176"/>
  <c r="AD15" i="2176" s="1"/>
  <c r="O16" i="2176"/>
  <c r="M19" i="2176"/>
  <c r="AB19" i="2176"/>
  <c r="AD19" i="2176" s="1"/>
  <c r="M26" i="2176"/>
  <c r="AB26" i="2176"/>
  <c r="L30" i="2176"/>
  <c r="O30" i="2176" s="1"/>
  <c r="M7" i="2176"/>
  <c r="M9" i="2176"/>
  <c r="K30" i="2176"/>
  <c r="P13" i="2176"/>
  <c r="AC13" i="2176" s="1"/>
  <c r="AD13" i="2176" s="1"/>
  <c r="P16" i="2176"/>
  <c r="AC16" i="2176" s="1"/>
  <c r="O26" i="2176"/>
  <c r="K21" i="2175"/>
  <c r="L20" i="2175"/>
  <c r="L19" i="2175"/>
  <c r="L18" i="2175"/>
  <c r="K18" i="2175" s="1"/>
  <c r="L17" i="2175"/>
  <c r="L16" i="2175"/>
  <c r="K16" i="2175" s="1"/>
  <c r="L14" i="2175"/>
  <c r="L13" i="2175"/>
  <c r="L12" i="2175"/>
  <c r="K12" i="2175" s="1"/>
  <c r="L11" i="2175"/>
  <c r="P11" i="2175" s="1"/>
  <c r="AC11" i="2175" s="1"/>
  <c r="L10" i="2175"/>
  <c r="K10" i="2175" s="1"/>
  <c r="AF10" i="2175"/>
  <c r="Q10" i="2175"/>
  <c r="P10" i="2175" s="1"/>
  <c r="AC10" i="2175" s="1"/>
  <c r="O10" i="2175"/>
  <c r="M10" i="2175"/>
  <c r="L8" i="2175"/>
  <c r="K8" i="2175" s="1"/>
  <c r="L7" i="2175"/>
  <c r="K7" i="2175" s="1"/>
  <c r="L6" i="2175"/>
  <c r="AB6" i="2175" s="1"/>
  <c r="L27" i="2175"/>
  <c r="K27" i="2175" s="1"/>
  <c r="K20" i="2175"/>
  <c r="K19" i="2175"/>
  <c r="K17" i="2175"/>
  <c r="K14" i="2175"/>
  <c r="K13" i="2175"/>
  <c r="K9" i="2175"/>
  <c r="A86" i="2175"/>
  <c r="A87" i="2175" s="1"/>
  <c r="A88" i="2175" s="1"/>
  <c r="A89" i="2175" s="1"/>
  <c r="A90" i="2175" s="1"/>
  <c r="A91" i="2175" s="1"/>
  <c r="AF72" i="2175"/>
  <c r="AF70" i="2175"/>
  <c r="AF69" i="2175"/>
  <c r="AA31" i="2175"/>
  <c r="Z31" i="2175"/>
  <c r="Y31" i="2175"/>
  <c r="X31" i="2175"/>
  <c r="W31" i="2175"/>
  <c r="V31" i="2175"/>
  <c r="U31" i="2175"/>
  <c r="T31" i="2175"/>
  <c r="S31" i="2175"/>
  <c r="R31" i="2175"/>
  <c r="N31" i="2175"/>
  <c r="J31" i="2175"/>
  <c r="AF30" i="2175"/>
  <c r="AC30" i="2175"/>
  <c r="AB30" i="2175"/>
  <c r="Q30" i="2175"/>
  <c r="P30" i="2175"/>
  <c r="O30" i="2175"/>
  <c r="M30" i="2175"/>
  <c r="K30" i="2175"/>
  <c r="AF29" i="2175"/>
  <c r="AB29" i="2175"/>
  <c r="Q29" i="2175"/>
  <c r="P29" i="2175"/>
  <c r="AC29" i="2175" s="1"/>
  <c r="O29" i="2175"/>
  <c r="M29" i="2175"/>
  <c r="K29" i="2175"/>
  <c r="I29" i="2175"/>
  <c r="AF28" i="2175"/>
  <c r="AB28" i="2175"/>
  <c r="Q28" i="2175"/>
  <c r="P28" i="2175"/>
  <c r="AC28" i="2175" s="1"/>
  <c r="O28" i="2175"/>
  <c r="M28" i="2175"/>
  <c r="K28" i="2175"/>
  <c r="I28" i="2175"/>
  <c r="AF27" i="2175"/>
  <c r="Q27" i="2175"/>
  <c r="AB27" i="2175"/>
  <c r="I27" i="2175"/>
  <c r="I31" i="2175" s="1"/>
  <c r="AF26" i="2175"/>
  <c r="AC26" i="2175"/>
  <c r="AD26" i="2175" s="1"/>
  <c r="AB26" i="2175"/>
  <c r="Q26" i="2175"/>
  <c r="P26" i="2175"/>
  <c r="O26" i="2175"/>
  <c r="M26" i="2175"/>
  <c r="K26" i="2175"/>
  <c r="AF25" i="2175"/>
  <c r="AC25" i="2175"/>
  <c r="AD25" i="2175" s="1"/>
  <c r="AB25" i="2175"/>
  <c r="Q25" i="2175"/>
  <c r="P25" i="2175"/>
  <c r="O25" i="2175"/>
  <c r="M25" i="2175"/>
  <c r="K25" i="2175"/>
  <c r="AF24" i="2175"/>
  <c r="AC24" i="2175"/>
  <c r="AB24" i="2175"/>
  <c r="Q24" i="2175"/>
  <c r="P24" i="2175"/>
  <c r="O24" i="2175"/>
  <c r="M24" i="2175"/>
  <c r="K24" i="2175"/>
  <c r="AF23" i="2175"/>
  <c r="AC23" i="2175"/>
  <c r="AB23" i="2175"/>
  <c r="Q23" i="2175"/>
  <c r="P23" i="2175"/>
  <c r="O23" i="2175"/>
  <c r="M23" i="2175"/>
  <c r="K23" i="2175"/>
  <c r="AF22" i="2175"/>
  <c r="AC22" i="2175"/>
  <c r="AD22" i="2175" s="1"/>
  <c r="AB22" i="2175"/>
  <c r="Q22" i="2175"/>
  <c r="P22" i="2175"/>
  <c r="O22" i="2175"/>
  <c r="M22" i="2175"/>
  <c r="K22" i="2175"/>
  <c r="AF21" i="2175"/>
  <c r="Q21" i="2175"/>
  <c r="O21" i="2175"/>
  <c r="AF20" i="2175"/>
  <c r="Q20" i="2175"/>
  <c r="P20" i="2175"/>
  <c r="AC20" i="2175" s="1"/>
  <c r="AB20" i="2175"/>
  <c r="AF19" i="2175"/>
  <c r="Q19" i="2175"/>
  <c r="P19" i="2175" s="1"/>
  <c r="AC19" i="2175" s="1"/>
  <c r="O19" i="2175"/>
  <c r="AB19" i="2175"/>
  <c r="AF18" i="2175"/>
  <c r="AB18" i="2175"/>
  <c r="Q18" i="2175"/>
  <c r="O18" i="2175"/>
  <c r="M18" i="2175"/>
  <c r="AF17" i="2175"/>
  <c r="Q17" i="2175"/>
  <c r="O17" i="2175"/>
  <c r="AF16" i="2175"/>
  <c r="Q16" i="2175"/>
  <c r="P16" i="2175"/>
  <c r="AC16" i="2175" s="1"/>
  <c r="AF15" i="2175"/>
  <c r="AB15" i="2175"/>
  <c r="Q15" i="2175"/>
  <c r="P15" i="2175"/>
  <c r="AC15" i="2175" s="1"/>
  <c r="O15" i="2175"/>
  <c r="M15" i="2175"/>
  <c r="K15" i="2175"/>
  <c r="AF14" i="2175"/>
  <c r="Q14" i="2175"/>
  <c r="AB14" i="2175"/>
  <c r="AF13" i="2175"/>
  <c r="Q13" i="2175"/>
  <c r="P13" i="2175"/>
  <c r="AC13" i="2175" s="1"/>
  <c r="AB13" i="2175"/>
  <c r="AF12" i="2175"/>
  <c r="Q12" i="2175"/>
  <c r="P12" i="2175" s="1"/>
  <c r="AC12" i="2175" s="1"/>
  <c r="O12" i="2175"/>
  <c r="AB12" i="2175"/>
  <c r="AF11" i="2175"/>
  <c r="Q11" i="2175"/>
  <c r="AF9" i="2175"/>
  <c r="Q9" i="2175"/>
  <c r="O9" i="2175"/>
  <c r="AF8" i="2175"/>
  <c r="Q8" i="2175"/>
  <c r="P8" i="2175" s="1"/>
  <c r="AC8" i="2175" s="1"/>
  <c r="M8" i="2175"/>
  <c r="AF7" i="2175"/>
  <c r="Q7" i="2175"/>
  <c r="O7" i="2175"/>
  <c r="AF6" i="2175"/>
  <c r="Q6" i="2175"/>
  <c r="P6" i="2175"/>
  <c r="AC6" i="2175" s="1"/>
  <c r="O6" i="2175"/>
  <c r="M6" i="2175"/>
  <c r="V27" i="16"/>
  <c r="V26" i="1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AD26" i="2176" l="1"/>
  <c r="AD9" i="2176"/>
  <c r="AB30" i="2176"/>
  <c r="AD16" i="2176"/>
  <c r="AD6" i="2176"/>
  <c r="AC30" i="2176"/>
  <c r="M30" i="2176"/>
  <c r="P30" i="2176"/>
  <c r="P18" i="2175"/>
  <c r="AC18" i="2175" s="1"/>
  <c r="AB16" i="2175"/>
  <c r="M11" i="2175"/>
  <c r="AB11" i="2175"/>
  <c r="AD11" i="2175" s="1"/>
  <c r="K11" i="2175"/>
  <c r="O11" i="2175"/>
  <c r="AB10" i="2175"/>
  <c r="AD10" i="2175" s="1"/>
  <c r="AD30" i="2175"/>
  <c r="AB7" i="2175"/>
  <c r="AD15" i="2175"/>
  <c r="AD29" i="2175"/>
  <c r="AD24" i="2175"/>
  <c r="AD18" i="2175"/>
  <c r="AD28" i="2175"/>
  <c r="P7" i="2175"/>
  <c r="AC7" i="2175" s="1"/>
  <c r="Q31" i="2175"/>
  <c r="AD6" i="2175"/>
  <c r="K6" i="2175"/>
  <c r="K31" i="2175" s="1"/>
  <c r="L31" i="2175"/>
  <c r="O31" i="2175" s="1"/>
  <c r="O27" i="2175"/>
  <c r="P27" i="2175"/>
  <c r="AC27" i="2175" s="1"/>
  <c r="AD23" i="2175"/>
  <c r="AD12" i="2175"/>
  <c r="AD19" i="2175"/>
  <c r="AD7" i="2175"/>
  <c r="M14" i="2175"/>
  <c r="AB8" i="2175"/>
  <c r="M13" i="2175"/>
  <c r="O14" i="2175"/>
  <c r="M16" i="2175"/>
  <c r="M7" i="2175"/>
  <c r="O8" i="2175"/>
  <c r="P9" i="2175"/>
  <c r="AC9" i="2175" s="1"/>
  <c r="M12" i="2175"/>
  <c r="O13" i="2175"/>
  <c r="AD13" i="2175" s="1"/>
  <c r="P14" i="2175"/>
  <c r="AC14" i="2175" s="1"/>
  <c r="O16" i="2175"/>
  <c r="P17" i="2175"/>
  <c r="AC17" i="2175" s="1"/>
  <c r="M19" i="2175"/>
  <c r="O20" i="2175"/>
  <c r="AD20" i="2175" s="1"/>
  <c r="P21" i="2175"/>
  <c r="AC21" i="2175" s="1"/>
  <c r="M27" i="2175"/>
  <c r="AB9" i="2175"/>
  <c r="M17" i="2175"/>
  <c r="AB17" i="2175"/>
  <c r="M21" i="2175"/>
  <c r="AB21" i="2175"/>
  <c r="M9" i="2175"/>
  <c r="M20" i="2175"/>
  <c r="AE29" i="2176" l="1"/>
  <c r="AD16" i="2175"/>
  <c r="AD14" i="2175"/>
  <c r="AD27" i="2175"/>
  <c r="M31" i="2175"/>
  <c r="AB31" i="2175"/>
  <c r="AD8" i="2175"/>
  <c r="AD9" i="2175"/>
  <c r="AC31" i="2175"/>
  <c r="AD21" i="2175"/>
  <c r="AD17" i="2175"/>
  <c r="P31" i="2175"/>
  <c r="AE11" i="2176" l="1"/>
  <c r="AE20" i="2176"/>
  <c r="AE12" i="2176"/>
  <c r="AE24" i="2176"/>
  <c r="AE10" i="2176"/>
  <c r="AE18" i="2176"/>
  <c r="AE21" i="2176"/>
  <c r="AE9" i="2176"/>
  <c r="AE16" i="2176"/>
  <c r="AE6" i="2176"/>
  <c r="AE15" i="2176"/>
  <c r="AE7" i="2176"/>
  <c r="AE8" i="2176"/>
  <c r="AE22" i="2176"/>
  <c r="AE13" i="2176"/>
  <c r="AE23" i="2176"/>
  <c r="AE25" i="2176"/>
  <c r="AE14" i="2176"/>
  <c r="AE19" i="2176"/>
  <c r="AE17" i="2176"/>
  <c r="AE28" i="2176"/>
  <c r="AE27" i="2176"/>
  <c r="AE26" i="2176"/>
  <c r="AD31" i="2175"/>
  <c r="AE30" i="2175" l="1"/>
  <c r="AE10" i="2175"/>
  <c r="AE17" i="2175"/>
  <c r="AE12" i="2175"/>
  <c r="AE16" i="2175"/>
  <c r="AE26" i="2175"/>
  <c r="AE29" i="2175"/>
  <c r="AE15" i="2175"/>
  <c r="AE9" i="2175"/>
  <c r="AE20" i="2175"/>
  <c r="AE19" i="2175"/>
  <c r="AE27" i="2175"/>
  <c r="AE7" i="2175"/>
  <c r="AE11" i="2175"/>
  <c r="AE13" i="2175"/>
  <c r="AE23" i="2175"/>
  <c r="AE24" i="2175"/>
  <c r="AE21" i="2175"/>
  <c r="AE18" i="2175"/>
  <c r="AE25" i="2175"/>
  <c r="AE8" i="2175"/>
  <c r="AE6" i="2175"/>
  <c r="AE14" i="2175"/>
  <c r="AE28" i="2175"/>
  <c r="AE22" i="2175"/>
  <c r="L20" i="2174"/>
  <c r="K20" i="2174" s="1"/>
  <c r="L19" i="2174"/>
  <c r="L18" i="2174"/>
  <c r="L17" i="2174"/>
  <c r="K17" i="2174" s="1"/>
  <c r="L16" i="2174"/>
  <c r="L15" i="2174"/>
  <c r="K15" i="2174" s="1"/>
  <c r="K14" i="2174"/>
  <c r="L13" i="2174"/>
  <c r="L12" i="2174"/>
  <c r="L11" i="2174"/>
  <c r="K11" i="2174" s="1"/>
  <c r="L10" i="2174"/>
  <c r="K10" i="2174" s="1"/>
  <c r="L9" i="2174"/>
  <c r="K9" i="2174" s="1"/>
  <c r="L8" i="2174"/>
  <c r="K8" i="2174" s="1"/>
  <c r="L7" i="2174"/>
  <c r="K7" i="2174" s="1"/>
  <c r="L6" i="2174"/>
  <c r="K6" i="2174" s="1"/>
  <c r="L26" i="2174"/>
  <c r="K26" i="2174" s="1"/>
  <c r="K19" i="2174"/>
  <c r="K18" i="2174"/>
  <c r="K16" i="2174"/>
  <c r="K12" i="2174"/>
  <c r="A86" i="2174"/>
  <c r="A87" i="2174" s="1"/>
  <c r="A88" i="2174" s="1"/>
  <c r="A89" i="2174" s="1"/>
  <c r="A90" i="2174" s="1"/>
  <c r="A85" i="2174"/>
  <c r="AF69" i="2174"/>
  <c r="AF68" i="2174"/>
  <c r="AF71" i="2174" s="1"/>
  <c r="AA30" i="2174"/>
  <c r="Z30" i="2174"/>
  <c r="Y30" i="2174"/>
  <c r="X30" i="2174"/>
  <c r="W30" i="2174"/>
  <c r="V30" i="2174"/>
  <c r="U30" i="2174"/>
  <c r="T30" i="2174"/>
  <c r="S30" i="2174"/>
  <c r="R30" i="2174"/>
  <c r="N30" i="2174"/>
  <c r="J30" i="2174"/>
  <c r="AF29" i="2174"/>
  <c r="AB29" i="2174"/>
  <c r="Q29" i="2174"/>
  <c r="P29" i="2174"/>
  <c r="AC29" i="2174" s="1"/>
  <c r="AD29" i="2174" s="1"/>
  <c r="O29" i="2174"/>
  <c r="M29" i="2174"/>
  <c r="K29" i="2174"/>
  <c r="AF28" i="2174"/>
  <c r="AB28" i="2174"/>
  <c r="Q28" i="2174"/>
  <c r="P28" i="2174"/>
  <c r="AC28" i="2174" s="1"/>
  <c r="AD28" i="2174" s="1"/>
  <c r="O28" i="2174"/>
  <c r="M28" i="2174"/>
  <c r="K28" i="2174"/>
  <c r="I28" i="2174"/>
  <c r="AF27" i="2174"/>
  <c r="AB27" i="2174"/>
  <c r="Q27" i="2174"/>
  <c r="P27" i="2174"/>
  <c r="AC27" i="2174" s="1"/>
  <c r="AD27" i="2174" s="1"/>
  <c r="O27" i="2174"/>
  <c r="M27" i="2174"/>
  <c r="K27" i="2174"/>
  <c r="I27" i="2174"/>
  <c r="AF26" i="2174"/>
  <c r="Q26" i="2174"/>
  <c r="I26" i="2174"/>
  <c r="I30" i="2174" s="1"/>
  <c r="AF25" i="2174"/>
  <c r="AB25" i="2174"/>
  <c r="Q25" i="2174"/>
  <c r="P25" i="2174"/>
  <c r="AC25" i="2174" s="1"/>
  <c r="O25" i="2174"/>
  <c r="M25" i="2174"/>
  <c r="K25" i="2174"/>
  <c r="AF24" i="2174"/>
  <c r="AB24" i="2174"/>
  <c r="Q24" i="2174"/>
  <c r="P24" i="2174"/>
  <c r="AC24" i="2174" s="1"/>
  <c r="O24" i="2174"/>
  <c r="M24" i="2174"/>
  <c r="K24" i="2174"/>
  <c r="AF23" i="2174"/>
  <c r="AB23" i="2174"/>
  <c r="Q23" i="2174"/>
  <c r="P23" i="2174"/>
  <c r="AC23" i="2174" s="1"/>
  <c r="AD23" i="2174" s="1"/>
  <c r="O23" i="2174"/>
  <c r="M23" i="2174"/>
  <c r="K23" i="2174"/>
  <c r="AF22" i="2174"/>
  <c r="AB22" i="2174"/>
  <c r="Q22" i="2174"/>
  <c r="P22" i="2174"/>
  <c r="AC22" i="2174" s="1"/>
  <c r="O22" i="2174"/>
  <c r="M22" i="2174"/>
  <c r="K22" i="2174"/>
  <c r="AF21" i="2174"/>
  <c r="AB21" i="2174"/>
  <c r="Q21" i="2174"/>
  <c r="P21" i="2174"/>
  <c r="AC21" i="2174" s="1"/>
  <c r="O21" i="2174"/>
  <c r="M21" i="2174"/>
  <c r="K21" i="2174"/>
  <c r="AF20" i="2174"/>
  <c r="AB20" i="2174"/>
  <c r="Q20" i="2174"/>
  <c r="M20" i="2174"/>
  <c r="O20" i="2174"/>
  <c r="AF19" i="2174"/>
  <c r="Q19" i="2174"/>
  <c r="AB19" i="2174"/>
  <c r="AF18" i="2174"/>
  <c r="Q18" i="2174"/>
  <c r="P18" i="2174"/>
  <c r="AC18" i="2174" s="1"/>
  <c r="O18" i="2174"/>
  <c r="AF17" i="2174"/>
  <c r="AB17" i="2174"/>
  <c r="Q17" i="2174"/>
  <c r="P17" i="2174"/>
  <c r="AC17" i="2174" s="1"/>
  <c r="O17" i="2174"/>
  <c r="M17" i="2174"/>
  <c r="AF16" i="2174"/>
  <c r="Q16" i="2174"/>
  <c r="AB16" i="2174"/>
  <c r="AF15" i="2174"/>
  <c r="Q15" i="2174"/>
  <c r="O15" i="2174"/>
  <c r="AF14" i="2174"/>
  <c r="AB14" i="2174"/>
  <c r="Q14" i="2174"/>
  <c r="P14" i="2174"/>
  <c r="AC14" i="2174" s="1"/>
  <c r="O14" i="2174"/>
  <c r="M14" i="2174"/>
  <c r="AF13" i="2174"/>
  <c r="AB13" i="2174"/>
  <c r="Q13" i="2174"/>
  <c r="P13" i="2174" s="1"/>
  <c r="AC13" i="2174" s="1"/>
  <c r="O13" i="2174"/>
  <c r="M13" i="2174"/>
  <c r="K13" i="2174"/>
  <c r="AF12" i="2174"/>
  <c r="Q12" i="2174"/>
  <c r="P12" i="2174"/>
  <c r="AC12" i="2174" s="1"/>
  <c r="O12" i="2174"/>
  <c r="M12" i="2174"/>
  <c r="AB12" i="2174"/>
  <c r="AF11" i="2174"/>
  <c r="AB11" i="2174"/>
  <c r="Q11" i="2174"/>
  <c r="M11" i="2174"/>
  <c r="O11" i="2174"/>
  <c r="AF10" i="2174"/>
  <c r="Q10" i="2174"/>
  <c r="AB10" i="2174"/>
  <c r="AF9" i="2174"/>
  <c r="Q9" i="2174"/>
  <c r="AF8" i="2174"/>
  <c r="Q8" i="2174"/>
  <c r="AF7" i="2174"/>
  <c r="AB7" i="2174"/>
  <c r="Q7" i="2174"/>
  <c r="P7" i="2174" s="1"/>
  <c r="AC7" i="2174" s="1"/>
  <c r="O7" i="2174"/>
  <c r="M7" i="2174"/>
  <c r="AF6" i="2174"/>
  <c r="Q6" i="2174"/>
  <c r="P6" i="2174"/>
  <c r="AC6" i="2174" s="1"/>
  <c r="O6" i="2174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2173"/>
  <c r="K20" i="2173" s="1"/>
  <c r="L19" i="2173"/>
  <c r="L18" i="2173"/>
  <c r="K18" i="2173" s="1"/>
  <c r="L16" i="2173"/>
  <c r="K16" i="2173"/>
  <c r="L15" i="2173"/>
  <c r="K15" i="2173"/>
  <c r="K14" i="2173"/>
  <c r="K13" i="2173"/>
  <c r="L12" i="2173"/>
  <c r="L11" i="2173"/>
  <c r="K11" i="2173" s="1"/>
  <c r="L10" i="2173"/>
  <c r="K10" i="2173" s="1"/>
  <c r="L9" i="2173"/>
  <c r="L8" i="2173"/>
  <c r="L6" i="2173"/>
  <c r="L26" i="2173"/>
  <c r="P15" i="2174" l="1"/>
  <c r="AC15" i="2174" s="1"/>
  <c r="O9" i="2174"/>
  <c r="P9" i="2174"/>
  <c r="AC9" i="2174" s="1"/>
  <c r="P8" i="2174"/>
  <c r="AC8" i="2174" s="1"/>
  <c r="O8" i="2174"/>
  <c r="Q30" i="2174"/>
  <c r="P26" i="2174"/>
  <c r="AC26" i="2174" s="1"/>
  <c r="O26" i="2174"/>
  <c r="AB26" i="2174"/>
  <c r="AD13" i="2174"/>
  <c r="AD17" i="2174"/>
  <c r="AD22" i="2174"/>
  <c r="AD14" i="2174"/>
  <c r="AD21" i="2174"/>
  <c r="AD25" i="2174"/>
  <c r="AD7" i="2174"/>
  <c r="AD24" i="2174"/>
  <c r="AD12" i="2174"/>
  <c r="M6" i="2174"/>
  <c r="AB6" i="2174"/>
  <c r="M9" i="2174"/>
  <c r="AB9" i="2174"/>
  <c r="AD9" i="2174" s="1"/>
  <c r="O10" i="2174"/>
  <c r="P11" i="2174"/>
  <c r="AC11" i="2174" s="1"/>
  <c r="AD11" i="2174" s="1"/>
  <c r="M15" i="2174"/>
  <c r="AB15" i="2174"/>
  <c r="O16" i="2174"/>
  <c r="M18" i="2174"/>
  <c r="AB18" i="2174"/>
  <c r="AD18" i="2174" s="1"/>
  <c r="O19" i="2174"/>
  <c r="P20" i="2174"/>
  <c r="AC20" i="2174" s="1"/>
  <c r="AD20" i="2174" s="1"/>
  <c r="M26" i="2174"/>
  <c r="L30" i="2174"/>
  <c r="O30" i="2174" s="1"/>
  <c r="M8" i="2174"/>
  <c r="AB8" i="2174"/>
  <c r="AD8" i="2174" s="1"/>
  <c r="P10" i="2174"/>
  <c r="AC10" i="2174" s="1"/>
  <c r="AD10" i="2174" s="1"/>
  <c r="P16" i="2174"/>
  <c r="AC16" i="2174" s="1"/>
  <c r="P19" i="2174"/>
  <c r="AC19" i="2174" s="1"/>
  <c r="AD19" i="2174" s="1"/>
  <c r="K30" i="2174"/>
  <c r="M10" i="2174"/>
  <c r="M16" i="2174"/>
  <c r="M19" i="2174"/>
  <c r="K28" i="2173"/>
  <c r="K27" i="2173"/>
  <c r="K26" i="2173"/>
  <c r="K19" i="2173"/>
  <c r="K12" i="2173"/>
  <c r="K9" i="2173"/>
  <c r="K8" i="2173"/>
  <c r="K6" i="2173"/>
  <c r="A85" i="2173"/>
  <c r="A86" i="2173" s="1"/>
  <c r="A87" i="2173" s="1"/>
  <c r="A88" i="2173" s="1"/>
  <c r="A89" i="2173" s="1"/>
  <c r="A90" i="2173" s="1"/>
  <c r="AF69" i="2173"/>
  <c r="AF68" i="2173"/>
  <c r="AF71" i="2173" s="1"/>
  <c r="AA30" i="2173"/>
  <c r="Z30" i="2173"/>
  <c r="Y30" i="2173"/>
  <c r="X30" i="2173"/>
  <c r="W30" i="2173"/>
  <c r="V30" i="2173"/>
  <c r="U30" i="2173"/>
  <c r="T30" i="2173"/>
  <c r="S30" i="2173"/>
  <c r="R30" i="2173"/>
  <c r="N30" i="2173"/>
  <c r="J30" i="2173"/>
  <c r="AF29" i="2173"/>
  <c r="AB29" i="2173"/>
  <c r="Q29" i="2173"/>
  <c r="P29" i="2173"/>
  <c r="AC29" i="2173" s="1"/>
  <c r="AD29" i="2173" s="1"/>
  <c r="O29" i="2173"/>
  <c r="M29" i="2173"/>
  <c r="K29" i="2173"/>
  <c r="AF28" i="2173"/>
  <c r="AB28" i="2173"/>
  <c r="Q28" i="2173"/>
  <c r="P28" i="2173"/>
  <c r="AC28" i="2173" s="1"/>
  <c r="AD28" i="2173" s="1"/>
  <c r="O28" i="2173"/>
  <c r="M28" i="2173"/>
  <c r="I28" i="2173"/>
  <c r="AF27" i="2173"/>
  <c r="AB27" i="2173"/>
  <c r="Q27" i="2173"/>
  <c r="P27" i="2173"/>
  <c r="AC27" i="2173" s="1"/>
  <c r="O27" i="2173"/>
  <c r="M27" i="2173"/>
  <c r="I27" i="2173"/>
  <c r="AF26" i="2173"/>
  <c r="AB26" i="2173"/>
  <c r="Q26" i="2173"/>
  <c r="P26" i="2173"/>
  <c r="AC26" i="2173" s="1"/>
  <c r="O26" i="2173"/>
  <c r="M26" i="2173"/>
  <c r="I26" i="2173"/>
  <c r="I30" i="2173" s="1"/>
  <c r="AF25" i="2173"/>
  <c r="AB25" i="2173"/>
  <c r="Q25" i="2173"/>
  <c r="P25" i="2173"/>
  <c r="AC25" i="2173" s="1"/>
  <c r="O25" i="2173"/>
  <c r="M25" i="2173"/>
  <c r="K25" i="2173"/>
  <c r="AF24" i="2173"/>
  <c r="AB24" i="2173"/>
  <c r="Q24" i="2173"/>
  <c r="P24" i="2173"/>
  <c r="AC24" i="2173" s="1"/>
  <c r="AD24" i="2173" s="1"/>
  <c r="O24" i="2173"/>
  <c r="M24" i="2173"/>
  <c r="K24" i="2173"/>
  <c r="AF23" i="2173"/>
  <c r="AB23" i="2173"/>
  <c r="Q23" i="2173"/>
  <c r="P23" i="2173"/>
  <c r="AC23" i="2173" s="1"/>
  <c r="O23" i="2173"/>
  <c r="M23" i="2173"/>
  <c r="K23" i="2173"/>
  <c r="AF22" i="2173"/>
  <c r="AB22" i="2173"/>
  <c r="Q22" i="2173"/>
  <c r="P22" i="2173"/>
  <c r="AC22" i="2173" s="1"/>
  <c r="O22" i="2173"/>
  <c r="M22" i="2173"/>
  <c r="K22" i="2173"/>
  <c r="AF21" i="2173"/>
  <c r="AB21" i="2173"/>
  <c r="Q21" i="2173"/>
  <c r="P21" i="2173"/>
  <c r="AC21" i="2173" s="1"/>
  <c r="O21" i="2173"/>
  <c r="M21" i="2173"/>
  <c r="K21" i="2173"/>
  <c r="AF20" i="2173"/>
  <c r="AB20" i="2173"/>
  <c r="Q20" i="2173"/>
  <c r="P20" i="2173" s="1"/>
  <c r="AC20" i="2173" s="1"/>
  <c r="M20" i="2173"/>
  <c r="O20" i="2173"/>
  <c r="AF19" i="2173"/>
  <c r="Q19" i="2173"/>
  <c r="P19" i="2173" s="1"/>
  <c r="AC19" i="2173" s="1"/>
  <c r="AF18" i="2173"/>
  <c r="AB18" i="2173"/>
  <c r="Q18" i="2173"/>
  <c r="P18" i="2173" s="1"/>
  <c r="AC18" i="2173" s="1"/>
  <c r="O18" i="2173"/>
  <c r="M18" i="2173"/>
  <c r="AF17" i="2173"/>
  <c r="AB17" i="2173"/>
  <c r="Q17" i="2173"/>
  <c r="P17" i="2173"/>
  <c r="AC17" i="2173" s="1"/>
  <c r="AD17" i="2173" s="1"/>
  <c r="O17" i="2173"/>
  <c r="M17" i="2173"/>
  <c r="K17" i="2173"/>
  <c r="AF16" i="2173"/>
  <c r="Q16" i="2173"/>
  <c r="P16" i="2173"/>
  <c r="AC16" i="2173" s="1"/>
  <c r="AF15" i="2173"/>
  <c r="AB15" i="2173"/>
  <c r="Q15" i="2173"/>
  <c r="P15" i="2173"/>
  <c r="AC15" i="2173" s="1"/>
  <c r="O15" i="2173"/>
  <c r="M15" i="2173"/>
  <c r="AF14" i="2173"/>
  <c r="AB14" i="2173"/>
  <c r="Q14" i="2173"/>
  <c r="P14" i="2173" s="1"/>
  <c r="AC14" i="2173" s="1"/>
  <c r="O14" i="2173"/>
  <c r="M14" i="2173"/>
  <c r="AF13" i="2173"/>
  <c r="Q13" i="2173"/>
  <c r="P13" i="2173"/>
  <c r="AC13" i="2173" s="1"/>
  <c r="AF12" i="2173"/>
  <c r="AB12" i="2173"/>
  <c r="Q12" i="2173"/>
  <c r="P12" i="2173"/>
  <c r="AC12" i="2173" s="1"/>
  <c r="O12" i="2173"/>
  <c r="M12" i="2173"/>
  <c r="AF11" i="2173"/>
  <c r="AB11" i="2173"/>
  <c r="Q11" i="2173"/>
  <c r="P11" i="2173"/>
  <c r="AC11" i="2173" s="1"/>
  <c r="O11" i="2173"/>
  <c r="M11" i="2173"/>
  <c r="AF10" i="2173"/>
  <c r="Q10" i="2173"/>
  <c r="P10" i="2173"/>
  <c r="AC10" i="2173" s="1"/>
  <c r="AF9" i="2173"/>
  <c r="AB9" i="2173"/>
  <c r="Q9" i="2173"/>
  <c r="P9" i="2173"/>
  <c r="AC9" i="2173" s="1"/>
  <c r="O9" i="2173"/>
  <c r="M9" i="2173"/>
  <c r="AF8" i="2173"/>
  <c r="Q8" i="2173"/>
  <c r="O8" i="2173"/>
  <c r="AB8" i="2173"/>
  <c r="AF7" i="2173"/>
  <c r="AB7" i="2173"/>
  <c r="Q7" i="2173"/>
  <c r="P7" i="2173"/>
  <c r="AC7" i="2173" s="1"/>
  <c r="O7" i="2173"/>
  <c r="M7" i="2173"/>
  <c r="K7" i="2173"/>
  <c r="AF6" i="2173"/>
  <c r="AB6" i="2173"/>
  <c r="Q6" i="2173"/>
  <c r="P6" i="2173"/>
  <c r="AC6" i="2173" s="1"/>
  <c r="O6" i="2173"/>
  <c r="M6" i="2173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2172"/>
  <c r="O20" i="2172" s="1"/>
  <c r="K20" i="2172"/>
  <c r="L19" i="2172"/>
  <c r="L18" i="2172"/>
  <c r="AB18" i="2172" s="1"/>
  <c r="L16" i="2172"/>
  <c r="K16" i="2172" s="1"/>
  <c r="L15" i="2172"/>
  <c r="AB15" i="2172" s="1"/>
  <c r="L13" i="2172"/>
  <c r="L12" i="2172"/>
  <c r="L10" i="2172"/>
  <c r="AB10" i="2172" s="1"/>
  <c r="L9" i="2172"/>
  <c r="L8" i="2172"/>
  <c r="AB8" i="2172" s="1"/>
  <c r="L6" i="2172"/>
  <c r="AB6" i="2172" s="1"/>
  <c r="L28" i="2172"/>
  <c r="K28" i="2172" s="1"/>
  <c r="L27" i="2172"/>
  <c r="K27" i="2172" s="1"/>
  <c r="L26" i="2172"/>
  <c r="K26" i="2172"/>
  <c r="K24" i="2172"/>
  <c r="K19" i="2172"/>
  <c r="K18" i="2172"/>
  <c r="K15" i="2172"/>
  <c r="K13" i="2172"/>
  <c r="K12" i="2172"/>
  <c r="K10" i="2172"/>
  <c r="K9" i="2172"/>
  <c r="K8" i="2172"/>
  <c r="K6" i="2172"/>
  <c r="A85" i="2172"/>
  <c r="A86" i="2172" s="1"/>
  <c r="A87" i="2172" s="1"/>
  <c r="A88" i="2172" s="1"/>
  <c r="A89" i="2172" s="1"/>
  <c r="A90" i="2172" s="1"/>
  <c r="AF69" i="2172"/>
  <c r="AF71" i="2172" s="1"/>
  <c r="AF68" i="2172"/>
  <c r="AA30" i="2172"/>
  <c r="Z30" i="2172"/>
  <c r="Y30" i="2172"/>
  <c r="X30" i="2172"/>
  <c r="W30" i="2172"/>
  <c r="V30" i="2172"/>
  <c r="U30" i="2172"/>
  <c r="T30" i="2172"/>
  <c r="S30" i="2172"/>
  <c r="R30" i="2172"/>
  <c r="N30" i="2172"/>
  <c r="J30" i="2172"/>
  <c r="AF29" i="2172"/>
  <c r="AB29" i="2172"/>
  <c r="Q29" i="2172"/>
  <c r="P29" i="2172"/>
  <c r="AC29" i="2172" s="1"/>
  <c r="AD29" i="2172" s="1"/>
  <c r="O29" i="2172"/>
  <c r="M29" i="2172"/>
  <c r="K29" i="2172"/>
  <c r="AF28" i="2172"/>
  <c r="Q28" i="2172"/>
  <c r="O28" i="2172"/>
  <c r="I28" i="2172"/>
  <c r="AF27" i="2172"/>
  <c r="Q27" i="2172"/>
  <c r="O27" i="2172"/>
  <c r="I27" i="2172"/>
  <c r="AF26" i="2172"/>
  <c r="Q26" i="2172"/>
  <c r="O26" i="2172"/>
  <c r="I26" i="2172"/>
  <c r="I30" i="2172" s="1"/>
  <c r="AF25" i="2172"/>
  <c r="AB25" i="2172"/>
  <c r="Q25" i="2172"/>
  <c r="P25" i="2172"/>
  <c r="AC25" i="2172" s="1"/>
  <c r="AD25" i="2172" s="1"/>
  <c r="O25" i="2172"/>
  <c r="M25" i="2172"/>
  <c r="K25" i="2172"/>
  <c r="AF24" i="2172"/>
  <c r="AB24" i="2172"/>
  <c r="Q24" i="2172"/>
  <c r="P24" i="2172"/>
  <c r="AC24" i="2172" s="1"/>
  <c r="O24" i="2172"/>
  <c r="M24" i="2172"/>
  <c r="AF23" i="2172"/>
  <c r="AC23" i="2172"/>
  <c r="AB23" i="2172"/>
  <c r="Q23" i="2172"/>
  <c r="P23" i="2172"/>
  <c r="O23" i="2172"/>
  <c r="M23" i="2172"/>
  <c r="K23" i="2172"/>
  <c r="AF22" i="2172"/>
  <c r="AB22" i="2172"/>
  <c r="Q22" i="2172"/>
  <c r="P22" i="2172"/>
  <c r="AC22" i="2172" s="1"/>
  <c r="O22" i="2172"/>
  <c r="M22" i="2172"/>
  <c r="K22" i="2172"/>
  <c r="AF21" i="2172"/>
  <c r="AB21" i="2172"/>
  <c r="Q21" i="2172"/>
  <c r="P21" i="2172"/>
  <c r="AC21" i="2172" s="1"/>
  <c r="AD21" i="2172" s="1"/>
  <c r="O21" i="2172"/>
  <c r="M21" i="2172"/>
  <c r="K21" i="2172"/>
  <c r="AF20" i="2172"/>
  <c r="AB20" i="2172"/>
  <c r="Q20" i="2172"/>
  <c r="P20" i="2172" s="1"/>
  <c r="AC20" i="2172" s="1"/>
  <c r="AF19" i="2172"/>
  <c r="Q19" i="2172"/>
  <c r="O19" i="2172"/>
  <c r="P19" i="2172"/>
  <c r="AC19" i="2172" s="1"/>
  <c r="AF18" i="2172"/>
  <c r="Q18" i="2172"/>
  <c r="M18" i="2172"/>
  <c r="O18" i="2172"/>
  <c r="AF17" i="2172"/>
  <c r="AB17" i="2172"/>
  <c r="Q17" i="2172"/>
  <c r="P17" i="2172"/>
  <c r="AC17" i="2172" s="1"/>
  <c r="O17" i="2172"/>
  <c r="M17" i="2172"/>
  <c r="K17" i="2172"/>
  <c r="AF16" i="2172"/>
  <c r="Q16" i="2172"/>
  <c r="O16" i="2172"/>
  <c r="M16" i="2172"/>
  <c r="P16" i="2172"/>
  <c r="AC16" i="2172" s="1"/>
  <c r="AF15" i="2172"/>
  <c r="Q15" i="2172"/>
  <c r="M15" i="2172"/>
  <c r="O15" i="2172"/>
  <c r="AF14" i="2172"/>
  <c r="AB14" i="2172"/>
  <c r="Q14" i="2172"/>
  <c r="P14" i="2172"/>
  <c r="AC14" i="2172" s="1"/>
  <c r="O14" i="2172"/>
  <c r="M14" i="2172"/>
  <c r="K14" i="2172"/>
  <c r="AF13" i="2172"/>
  <c r="AB13" i="2172"/>
  <c r="Q13" i="2172"/>
  <c r="O13" i="2172"/>
  <c r="M13" i="2172"/>
  <c r="P13" i="2172"/>
  <c r="AC13" i="2172" s="1"/>
  <c r="AD13" i="2172" s="1"/>
  <c r="AF12" i="2172"/>
  <c r="AB12" i="2172"/>
  <c r="Q12" i="2172"/>
  <c r="M12" i="2172"/>
  <c r="O12" i="2172"/>
  <c r="AF11" i="2172"/>
  <c r="AB11" i="2172"/>
  <c r="Q11" i="2172"/>
  <c r="P11" i="2172"/>
  <c r="AC11" i="2172" s="1"/>
  <c r="O11" i="2172"/>
  <c r="M11" i="2172"/>
  <c r="K11" i="2172"/>
  <c r="AF10" i="2172"/>
  <c r="Q10" i="2172"/>
  <c r="O10" i="2172"/>
  <c r="M10" i="2172"/>
  <c r="P10" i="2172"/>
  <c r="AC10" i="2172" s="1"/>
  <c r="AF9" i="2172"/>
  <c r="Q9" i="2172"/>
  <c r="M9" i="2172"/>
  <c r="O9" i="2172"/>
  <c r="AF8" i="2172"/>
  <c r="Q8" i="2172"/>
  <c r="AF7" i="2172"/>
  <c r="AB7" i="2172"/>
  <c r="Q7" i="2172"/>
  <c r="P7" i="2172"/>
  <c r="AC7" i="2172" s="1"/>
  <c r="O7" i="2172"/>
  <c r="M7" i="2172"/>
  <c r="K7" i="2172"/>
  <c r="AF6" i="2172"/>
  <c r="Q6" i="2172"/>
  <c r="M6" i="2172"/>
  <c r="O6" i="2172"/>
  <c r="Q27" i="16"/>
  <c r="Q26" i="16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K20" i="2171"/>
  <c r="L19" i="2171"/>
  <c r="L18" i="2171"/>
  <c r="L16" i="2171"/>
  <c r="L15" i="2171"/>
  <c r="L12" i="2171"/>
  <c r="K12" i="2171" s="1"/>
  <c r="L13" i="2171"/>
  <c r="K13" i="2171" s="1"/>
  <c r="L10" i="2171"/>
  <c r="L9" i="2171"/>
  <c r="L8" i="2171"/>
  <c r="L6" i="2171"/>
  <c r="L28" i="2171"/>
  <c r="L27" i="2171"/>
  <c r="L26" i="2171"/>
  <c r="L24" i="2171"/>
  <c r="AD15" i="2174" l="1"/>
  <c r="AD26" i="2174"/>
  <c r="AD16" i="2174"/>
  <c r="P30" i="2174"/>
  <c r="AB30" i="2174"/>
  <c r="AD6" i="2174"/>
  <c r="M30" i="2174"/>
  <c r="AC30" i="2174"/>
  <c r="AD20" i="2173"/>
  <c r="AD11" i="2173"/>
  <c r="AD9" i="2173"/>
  <c r="Q30" i="2173"/>
  <c r="AD12" i="2173"/>
  <c r="AD23" i="2173"/>
  <c r="AD27" i="2173"/>
  <c r="AD7" i="2173"/>
  <c r="AD14" i="2173"/>
  <c r="AD15" i="2173"/>
  <c r="AD22" i="2173"/>
  <c r="AD26" i="2173"/>
  <c r="AD18" i="2173"/>
  <c r="AD21" i="2173"/>
  <c r="AD25" i="2173"/>
  <c r="AD6" i="2173"/>
  <c r="L30" i="2173"/>
  <c r="O30" i="2173" s="1"/>
  <c r="K30" i="2173"/>
  <c r="P8" i="2173"/>
  <c r="AC8" i="2173" s="1"/>
  <c r="AD8" i="2173" s="1"/>
  <c r="M10" i="2173"/>
  <c r="AB10" i="2173"/>
  <c r="M13" i="2173"/>
  <c r="AB13" i="2173"/>
  <c r="M16" i="2173"/>
  <c r="AB16" i="2173"/>
  <c r="M19" i="2173"/>
  <c r="AB19" i="2173"/>
  <c r="O16" i="2173"/>
  <c r="O19" i="2173"/>
  <c r="O10" i="2173"/>
  <c r="O13" i="2173"/>
  <c r="M8" i="2173"/>
  <c r="M20" i="2172"/>
  <c r="Q30" i="2172"/>
  <c r="AD14" i="2172"/>
  <c r="AD20" i="2172"/>
  <c r="AD24" i="2172"/>
  <c r="AD10" i="2172"/>
  <c r="AD17" i="2172"/>
  <c r="AD23" i="2172"/>
  <c r="AD7" i="2172"/>
  <c r="AD11" i="2172"/>
  <c r="AD22" i="2172"/>
  <c r="P6" i="2172"/>
  <c r="O8" i="2172"/>
  <c r="P9" i="2172"/>
  <c r="AC9" i="2172" s="1"/>
  <c r="P12" i="2172"/>
  <c r="AC12" i="2172" s="1"/>
  <c r="AD12" i="2172" s="1"/>
  <c r="P15" i="2172"/>
  <c r="AC15" i="2172" s="1"/>
  <c r="AD15" i="2172" s="1"/>
  <c r="P18" i="2172"/>
  <c r="AC18" i="2172" s="1"/>
  <c r="AD18" i="2172" s="1"/>
  <c r="P26" i="2172"/>
  <c r="AC26" i="2172" s="1"/>
  <c r="P27" i="2172"/>
  <c r="AC27" i="2172" s="1"/>
  <c r="P28" i="2172"/>
  <c r="AC28" i="2172" s="1"/>
  <c r="L30" i="2172"/>
  <c r="O30" i="2172" s="1"/>
  <c r="P8" i="2172"/>
  <c r="AC8" i="2172" s="1"/>
  <c r="AB16" i="2172"/>
  <c r="M19" i="2172"/>
  <c r="AB19" i="2172"/>
  <c r="AD19" i="2172" s="1"/>
  <c r="AB9" i="2172"/>
  <c r="M26" i="2172"/>
  <c r="AB26" i="2172"/>
  <c r="M27" i="2172"/>
  <c r="AB27" i="2172"/>
  <c r="M28" i="2172"/>
  <c r="AB28" i="2172"/>
  <c r="M8" i="2172"/>
  <c r="M12" i="2171"/>
  <c r="K9" i="2171"/>
  <c r="K28" i="2171"/>
  <c r="K27" i="2171"/>
  <c r="K26" i="2171"/>
  <c r="K24" i="2171"/>
  <c r="K21" i="2171"/>
  <c r="K19" i="2171"/>
  <c r="K18" i="2171"/>
  <c r="K16" i="2171"/>
  <c r="K15" i="2171"/>
  <c r="K10" i="2171"/>
  <c r="K8" i="2171"/>
  <c r="K6" i="2171"/>
  <c r="A85" i="2171"/>
  <c r="A86" i="2171" s="1"/>
  <c r="A87" i="2171" s="1"/>
  <c r="A88" i="2171" s="1"/>
  <c r="A89" i="2171" s="1"/>
  <c r="A90" i="2171" s="1"/>
  <c r="AF69" i="2171"/>
  <c r="AF68" i="2171"/>
  <c r="AF71" i="2171" s="1"/>
  <c r="AA30" i="2171"/>
  <c r="Z30" i="2171"/>
  <c r="Y30" i="2171"/>
  <c r="X30" i="2171"/>
  <c r="W30" i="2171"/>
  <c r="V30" i="2171"/>
  <c r="U30" i="2171"/>
  <c r="T30" i="2171"/>
  <c r="S30" i="2171"/>
  <c r="R30" i="2171"/>
  <c r="N30" i="2171"/>
  <c r="J30" i="2171"/>
  <c r="AF29" i="2171"/>
  <c r="AB29" i="2171"/>
  <c r="Q29" i="2171"/>
  <c r="P29" i="2171"/>
  <c r="AC29" i="2171" s="1"/>
  <c r="AD29" i="2171" s="1"/>
  <c r="O29" i="2171"/>
  <c r="M29" i="2171"/>
  <c r="K29" i="2171"/>
  <c r="AF28" i="2171"/>
  <c r="AB28" i="2171"/>
  <c r="Q28" i="2171"/>
  <c r="M28" i="2171"/>
  <c r="O28" i="2171"/>
  <c r="I28" i="2171"/>
  <c r="AF27" i="2171"/>
  <c r="AB27" i="2171"/>
  <c r="Q27" i="2171"/>
  <c r="M27" i="2171"/>
  <c r="O27" i="2171"/>
  <c r="I27" i="2171"/>
  <c r="AF26" i="2171"/>
  <c r="AB26" i="2171"/>
  <c r="Q26" i="2171"/>
  <c r="M26" i="2171"/>
  <c r="O26" i="2171"/>
  <c r="I26" i="2171"/>
  <c r="I30" i="2171" s="1"/>
  <c r="AF25" i="2171"/>
  <c r="AB25" i="2171"/>
  <c r="Q25" i="2171"/>
  <c r="P25" i="2171"/>
  <c r="AC25" i="2171" s="1"/>
  <c r="AD25" i="2171" s="1"/>
  <c r="O25" i="2171"/>
  <c r="M25" i="2171"/>
  <c r="K25" i="2171"/>
  <c r="AF24" i="2171"/>
  <c r="Q24" i="2171"/>
  <c r="P24" i="2171" s="1"/>
  <c r="AC24" i="2171" s="1"/>
  <c r="O24" i="2171"/>
  <c r="AF23" i="2171"/>
  <c r="AB23" i="2171"/>
  <c r="Q23" i="2171"/>
  <c r="P23" i="2171"/>
  <c r="AC23" i="2171" s="1"/>
  <c r="AD23" i="2171" s="1"/>
  <c r="O23" i="2171"/>
  <c r="M23" i="2171"/>
  <c r="K23" i="2171"/>
  <c r="AF22" i="2171"/>
  <c r="AB22" i="2171"/>
  <c r="Q22" i="2171"/>
  <c r="P22" i="2171"/>
  <c r="AC22" i="2171" s="1"/>
  <c r="O22" i="2171"/>
  <c r="M22" i="2171"/>
  <c r="K22" i="2171"/>
  <c r="AF21" i="2171"/>
  <c r="AC21" i="2171"/>
  <c r="AD21" i="2171" s="1"/>
  <c r="AB21" i="2171"/>
  <c r="Q21" i="2171"/>
  <c r="P21" i="2171"/>
  <c r="O21" i="2171"/>
  <c r="M21" i="2171"/>
  <c r="AF20" i="2171"/>
  <c r="AB20" i="2171"/>
  <c r="Q20" i="2171"/>
  <c r="P20" i="2171" s="1"/>
  <c r="AC20" i="2171" s="1"/>
  <c r="O20" i="2171"/>
  <c r="M20" i="2171"/>
  <c r="AF19" i="2171"/>
  <c r="Q19" i="2171"/>
  <c r="P19" i="2171"/>
  <c r="AC19" i="2171" s="1"/>
  <c r="AF18" i="2171"/>
  <c r="Q18" i="2171"/>
  <c r="P18" i="2171"/>
  <c r="AC18" i="2171" s="1"/>
  <c r="O18" i="2171"/>
  <c r="AF17" i="2171"/>
  <c r="AC17" i="2171"/>
  <c r="AD17" i="2171" s="1"/>
  <c r="AB17" i="2171"/>
  <c r="Q17" i="2171"/>
  <c r="P17" i="2171"/>
  <c r="O17" i="2171"/>
  <c r="M17" i="2171"/>
  <c r="K17" i="2171"/>
  <c r="AF16" i="2171"/>
  <c r="Q16" i="2171"/>
  <c r="P16" i="2171" s="1"/>
  <c r="AC16" i="2171" s="1"/>
  <c r="AF15" i="2171"/>
  <c r="Q15" i="2171"/>
  <c r="P15" i="2171"/>
  <c r="AC15" i="2171" s="1"/>
  <c r="O15" i="2171"/>
  <c r="AF14" i="2171"/>
  <c r="AC14" i="2171"/>
  <c r="AB14" i="2171"/>
  <c r="Q14" i="2171"/>
  <c r="P14" i="2171"/>
  <c r="O14" i="2171"/>
  <c r="M14" i="2171"/>
  <c r="K14" i="2171"/>
  <c r="AF13" i="2171"/>
  <c r="Q13" i="2171"/>
  <c r="P13" i="2171"/>
  <c r="AC13" i="2171" s="1"/>
  <c r="AF12" i="2171"/>
  <c r="Q12" i="2171"/>
  <c r="P12" i="2171"/>
  <c r="AC12" i="2171" s="1"/>
  <c r="O12" i="2171"/>
  <c r="AF11" i="2171"/>
  <c r="AB11" i="2171"/>
  <c r="Q11" i="2171"/>
  <c r="P11" i="2171"/>
  <c r="AC11" i="2171" s="1"/>
  <c r="AD11" i="2171" s="1"/>
  <c r="O11" i="2171"/>
  <c r="M11" i="2171"/>
  <c r="K11" i="2171"/>
  <c r="AF10" i="2171"/>
  <c r="Q10" i="2171"/>
  <c r="P10" i="2171"/>
  <c r="AC10" i="2171" s="1"/>
  <c r="AF9" i="2171"/>
  <c r="Q9" i="2171"/>
  <c r="P9" i="2171" s="1"/>
  <c r="AC9" i="2171" s="1"/>
  <c r="O9" i="2171"/>
  <c r="AF8" i="2171"/>
  <c r="AB8" i="2171"/>
  <c r="Q8" i="2171"/>
  <c r="P8" i="2171"/>
  <c r="AC8" i="2171" s="1"/>
  <c r="O8" i="2171"/>
  <c r="M8" i="2171"/>
  <c r="AF7" i="2171"/>
  <c r="AC7" i="2171"/>
  <c r="AD7" i="2171" s="1"/>
  <c r="AB7" i="2171"/>
  <c r="Q7" i="2171"/>
  <c r="P7" i="2171"/>
  <c r="O7" i="2171"/>
  <c r="M7" i="2171"/>
  <c r="K7" i="2171"/>
  <c r="AF6" i="2171"/>
  <c r="Q6" i="2171"/>
  <c r="P6" i="2171"/>
  <c r="AC6" i="2171" s="1"/>
  <c r="O6" i="2171"/>
  <c r="AD30" i="2174" l="1"/>
  <c r="AE26" i="2174" s="1"/>
  <c r="AD16" i="2173"/>
  <c r="AC30" i="2173"/>
  <c r="AB30" i="2173"/>
  <c r="M30" i="2173"/>
  <c r="AD19" i="2173"/>
  <c r="AD13" i="2173"/>
  <c r="P30" i="2173"/>
  <c r="AD10" i="2173"/>
  <c r="M30" i="2172"/>
  <c r="AB30" i="2172"/>
  <c r="AD27" i="2172"/>
  <c r="AD16" i="2172"/>
  <c r="AD9" i="2172"/>
  <c r="AC6" i="2172"/>
  <c r="P30" i="2172"/>
  <c r="AD28" i="2172"/>
  <c r="AD26" i="2172"/>
  <c r="K30" i="2172"/>
  <c r="AD8" i="2172"/>
  <c r="AD20" i="2171"/>
  <c r="AD8" i="2171"/>
  <c r="Q30" i="2171"/>
  <c r="AD14" i="2171"/>
  <c r="AD22" i="2171"/>
  <c r="M10" i="2171"/>
  <c r="M16" i="2171"/>
  <c r="AB19" i="2171"/>
  <c r="M6" i="2171"/>
  <c r="AB6" i="2171"/>
  <c r="M9" i="2171"/>
  <c r="AB9" i="2171"/>
  <c r="AD9" i="2171" s="1"/>
  <c r="O10" i="2171"/>
  <c r="AB12" i="2171"/>
  <c r="AD12" i="2171" s="1"/>
  <c r="O13" i="2171"/>
  <c r="M15" i="2171"/>
  <c r="AB15" i="2171"/>
  <c r="AD15" i="2171" s="1"/>
  <c r="O16" i="2171"/>
  <c r="M18" i="2171"/>
  <c r="AB18" i="2171"/>
  <c r="AD18" i="2171" s="1"/>
  <c r="O19" i="2171"/>
  <c r="M24" i="2171"/>
  <c r="AB24" i="2171"/>
  <c r="AD24" i="2171" s="1"/>
  <c r="P26" i="2171"/>
  <c r="AC26" i="2171" s="1"/>
  <c r="AD26" i="2171" s="1"/>
  <c r="P27" i="2171"/>
  <c r="AC27" i="2171" s="1"/>
  <c r="AD27" i="2171" s="1"/>
  <c r="P28" i="2171"/>
  <c r="AC28" i="2171" s="1"/>
  <c r="AD28" i="2171" s="1"/>
  <c r="L30" i="2171"/>
  <c r="O30" i="2171" s="1"/>
  <c r="AB10" i="2171"/>
  <c r="AD10" i="2171" s="1"/>
  <c r="M13" i="2171"/>
  <c r="AB13" i="2171"/>
  <c r="AB16" i="2171"/>
  <c r="M19" i="2171"/>
  <c r="K30" i="2171"/>
  <c r="AE17" i="2174" l="1"/>
  <c r="AE22" i="2174"/>
  <c r="AE16" i="2174"/>
  <c r="AE21" i="2174"/>
  <c r="AE8" i="2174"/>
  <c r="AE24" i="2174"/>
  <c r="AE23" i="2174"/>
  <c r="AE12" i="2174"/>
  <c r="AE11" i="2174"/>
  <c r="AE28" i="2174"/>
  <c r="AE27" i="2174"/>
  <c r="AE15" i="2174"/>
  <c r="AE25" i="2174"/>
  <c r="AE6" i="2174"/>
  <c r="AE7" i="2174"/>
  <c r="AE19" i="2174"/>
  <c r="AE9" i="2174"/>
  <c r="AE14" i="2174"/>
  <c r="AE20" i="2174"/>
  <c r="AE13" i="2174"/>
  <c r="AE10" i="2174"/>
  <c r="AE18" i="2174"/>
  <c r="AE29" i="2174"/>
  <c r="AD30" i="2173"/>
  <c r="AE29" i="2173" s="1"/>
  <c r="AC30" i="2172"/>
  <c r="AD6" i="2172"/>
  <c r="AD30" i="2172" s="1"/>
  <c r="AD19" i="2171"/>
  <c r="AD13" i="2171"/>
  <c r="AD16" i="2171"/>
  <c r="P30" i="2171"/>
  <c r="M30" i="2171"/>
  <c r="AB30" i="2171"/>
  <c r="AD6" i="2171"/>
  <c r="AC30" i="2171"/>
  <c r="AE6" i="2173" l="1"/>
  <c r="AE14" i="2173"/>
  <c r="AE17" i="2173"/>
  <c r="AE24" i="2173"/>
  <c r="AE19" i="2173"/>
  <c r="AE15" i="2173"/>
  <c r="AE25" i="2173"/>
  <c r="AE11" i="2173"/>
  <c r="AE13" i="2173"/>
  <c r="AE20" i="2173"/>
  <c r="AE18" i="2173"/>
  <c r="AE26" i="2173"/>
  <c r="AE16" i="2173"/>
  <c r="AE22" i="2173"/>
  <c r="AE9" i="2173"/>
  <c r="AE21" i="2173"/>
  <c r="AE27" i="2173"/>
  <c r="AE8" i="2173"/>
  <c r="AE12" i="2173"/>
  <c r="AE23" i="2173"/>
  <c r="AE28" i="2173"/>
  <c r="AE10" i="2173"/>
  <c r="AE7" i="2173"/>
  <c r="AE29" i="2172"/>
  <c r="AE24" i="2172"/>
  <c r="AE7" i="2172"/>
  <c r="AE22" i="2172"/>
  <c r="AE20" i="2172"/>
  <c r="AE17" i="2172"/>
  <c r="AE14" i="2172"/>
  <c r="AE11" i="2172"/>
  <c r="AE8" i="2172"/>
  <c r="AE28" i="2172"/>
  <c r="AE27" i="2172"/>
  <c r="AE26" i="2172"/>
  <c r="AE25" i="2172"/>
  <c r="AE18" i="2172"/>
  <c r="AE15" i="2172"/>
  <c r="AE12" i="2172"/>
  <c r="AE9" i="2172"/>
  <c r="AE6" i="2172"/>
  <c r="AE23" i="2172"/>
  <c r="AE21" i="2172"/>
  <c r="AE19" i="2172"/>
  <c r="AE16" i="2172"/>
  <c r="AE13" i="2172"/>
  <c r="AE10" i="2172"/>
  <c r="AD30" i="2171"/>
  <c r="AE19" i="2171" s="1"/>
  <c r="AE16" i="2171" l="1"/>
  <c r="AE11" i="2171"/>
  <c r="AE8" i="2171"/>
  <c r="AE20" i="2171"/>
  <c r="AE25" i="2171"/>
  <c r="AE29" i="2171"/>
  <c r="AE12" i="2171"/>
  <c r="AE21" i="2171"/>
  <c r="AE28" i="2171"/>
  <c r="AE15" i="2171"/>
  <c r="AE23" i="2171"/>
  <c r="AE10" i="2171"/>
  <c r="AE22" i="2171"/>
  <c r="AE18" i="2171"/>
  <c r="AE14" i="2171"/>
  <c r="AE6" i="2171"/>
  <c r="AE26" i="2171"/>
  <c r="AE13" i="2171"/>
  <c r="AE9" i="2171"/>
  <c r="AE24" i="2171"/>
  <c r="AE17" i="2171"/>
  <c r="AE7" i="2171"/>
  <c r="AE27" i="2171"/>
  <c r="P27" i="16"/>
  <c r="P26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8" i="2170"/>
  <c r="L27" i="2170"/>
  <c r="L26" i="2170"/>
  <c r="L24" i="2170"/>
  <c r="K24" i="2170" s="1"/>
  <c r="L21" i="2170"/>
  <c r="L20" i="2170"/>
  <c r="L19" i="2170"/>
  <c r="L18" i="2170"/>
  <c r="L16" i="2170"/>
  <c r="L15" i="2170"/>
  <c r="L13" i="2170"/>
  <c r="L12" i="2170"/>
  <c r="K12" i="2170" s="1"/>
  <c r="L10" i="2170"/>
  <c r="L9" i="2170"/>
  <c r="L8" i="2170"/>
  <c r="L6" i="2170"/>
  <c r="K28" i="2170" l="1"/>
  <c r="K27" i="2170"/>
  <c r="K26" i="2170"/>
  <c r="K21" i="2170"/>
  <c r="K20" i="2170"/>
  <c r="K19" i="2170"/>
  <c r="K18" i="2170"/>
  <c r="K16" i="2170"/>
  <c r="K15" i="2170"/>
  <c r="K13" i="2170"/>
  <c r="K10" i="2170"/>
  <c r="K9" i="2170"/>
  <c r="K8" i="2170"/>
  <c r="K6" i="2170"/>
  <c r="A85" i="2170"/>
  <c r="A86" i="2170" s="1"/>
  <c r="A87" i="2170" s="1"/>
  <c r="A88" i="2170" s="1"/>
  <c r="A89" i="2170" s="1"/>
  <c r="A90" i="2170" s="1"/>
  <c r="AF69" i="2170"/>
  <c r="AF68" i="2170"/>
  <c r="AF71" i="2170" s="1"/>
  <c r="AA30" i="2170"/>
  <c r="Z30" i="2170"/>
  <c r="Y30" i="2170"/>
  <c r="X30" i="2170"/>
  <c r="W30" i="2170"/>
  <c r="V30" i="2170"/>
  <c r="U30" i="2170"/>
  <c r="T30" i="2170"/>
  <c r="S30" i="2170"/>
  <c r="R30" i="2170"/>
  <c r="N30" i="2170"/>
  <c r="J30" i="2170"/>
  <c r="AF29" i="2170"/>
  <c r="AB29" i="2170"/>
  <c r="Q29" i="2170"/>
  <c r="P29" i="2170"/>
  <c r="AC29" i="2170" s="1"/>
  <c r="AD29" i="2170" s="1"/>
  <c r="O29" i="2170"/>
  <c r="M29" i="2170"/>
  <c r="K29" i="2170"/>
  <c r="AF28" i="2170"/>
  <c r="AB28" i="2170"/>
  <c r="Q28" i="2170"/>
  <c r="P28" i="2170"/>
  <c r="AC28" i="2170" s="1"/>
  <c r="M28" i="2170"/>
  <c r="O28" i="2170"/>
  <c r="I28" i="2170"/>
  <c r="AF27" i="2170"/>
  <c r="AB27" i="2170"/>
  <c r="Q27" i="2170"/>
  <c r="P27" i="2170"/>
  <c r="AC27" i="2170" s="1"/>
  <c r="M27" i="2170"/>
  <c r="O27" i="2170"/>
  <c r="I27" i="2170"/>
  <c r="AF26" i="2170"/>
  <c r="AB26" i="2170"/>
  <c r="Q26" i="2170"/>
  <c r="P26" i="2170"/>
  <c r="AC26" i="2170" s="1"/>
  <c r="M26" i="2170"/>
  <c r="O26" i="2170"/>
  <c r="I26" i="2170"/>
  <c r="I30" i="2170" s="1"/>
  <c r="AF25" i="2170"/>
  <c r="AB25" i="2170"/>
  <c r="Q25" i="2170"/>
  <c r="P25" i="2170"/>
  <c r="AC25" i="2170" s="1"/>
  <c r="O25" i="2170"/>
  <c r="M25" i="2170"/>
  <c r="K25" i="2170"/>
  <c r="AF24" i="2170"/>
  <c r="AB24" i="2170"/>
  <c r="Q24" i="2170"/>
  <c r="P24" i="2170" s="1"/>
  <c r="AC24" i="2170" s="1"/>
  <c r="O24" i="2170"/>
  <c r="M24" i="2170"/>
  <c r="AF23" i="2170"/>
  <c r="AB23" i="2170"/>
  <c r="Q23" i="2170"/>
  <c r="P23" i="2170"/>
  <c r="AC23" i="2170" s="1"/>
  <c r="AD23" i="2170" s="1"/>
  <c r="O23" i="2170"/>
  <c r="M23" i="2170"/>
  <c r="K23" i="2170"/>
  <c r="AF22" i="2170"/>
  <c r="AB22" i="2170"/>
  <c r="Q22" i="2170"/>
  <c r="P22" i="2170"/>
  <c r="AC22" i="2170" s="1"/>
  <c r="O22" i="2170"/>
  <c r="M22" i="2170"/>
  <c r="K22" i="2170"/>
  <c r="AF21" i="2170"/>
  <c r="AB21" i="2170"/>
  <c r="Q21" i="2170"/>
  <c r="P21" i="2170"/>
  <c r="AC21" i="2170" s="1"/>
  <c r="M21" i="2170"/>
  <c r="O21" i="2170"/>
  <c r="AF20" i="2170"/>
  <c r="Q20" i="2170"/>
  <c r="O20" i="2170"/>
  <c r="AB20" i="2170"/>
  <c r="AF19" i="2170"/>
  <c r="AB19" i="2170"/>
  <c r="Q19" i="2170"/>
  <c r="P19" i="2170"/>
  <c r="AC19" i="2170" s="1"/>
  <c r="O19" i="2170"/>
  <c r="M19" i="2170"/>
  <c r="AF18" i="2170"/>
  <c r="Q18" i="2170"/>
  <c r="P18" i="2170"/>
  <c r="AC18" i="2170" s="1"/>
  <c r="AF17" i="2170"/>
  <c r="AB17" i="2170"/>
  <c r="Q17" i="2170"/>
  <c r="P17" i="2170"/>
  <c r="AC17" i="2170" s="1"/>
  <c r="AD17" i="2170" s="1"/>
  <c r="O17" i="2170"/>
  <c r="M17" i="2170"/>
  <c r="K17" i="2170"/>
  <c r="AF16" i="2170"/>
  <c r="AB16" i="2170"/>
  <c r="Q16" i="2170"/>
  <c r="P16" i="2170" s="1"/>
  <c r="AC16" i="2170" s="1"/>
  <c r="O16" i="2170"/>
  <c r="M16" i="2170"/>
  <c r="AF15" i="2170"/>
  <c r="Q15" i="2170"/>
  <c r="P15" i="2170"/>
  <c r="AC15" i="2170" s="1"/>
  <c r="AF14" i="2170"/>
  <c r="AB14" i="2170"/>
  <c r="Q14" i="2170"/>
  <c r="P14" i="2170"/>
  <c r="AC14" i="2170" s="1"/>
  <c r="AD14" i="2170" s="1"/>
  <c r="O14" i="2170"/>
  <c r="M14" i="2170"/>
  <c r="K14" i="2170"/>
  <c r="AF13" i="2170"/>
  <c r="AB13" i="2170"/>
  <c r="Q13" i="2170"/>
  <c r="P13" i="2170"/>
  <c r="AC13" i="2170" s="1"/>
  <c r="O13" i="2170"/>
  <c r="M13" i="2170"/>
  <c r="AF12" i="2170"/>
  <c r="Q12" i="2170"/>
  <c r="P12" i="2170"/>
  <c r="AC12" i="2170" s="1"/>
  <c r="AF11" i="2170"/>
  <c r="AB11" i="2170"/>
  <c r="Q11" i="2170"/>
  <c r="P11" i="2170"/>
  <c r="AC11" i="2170" s="1"/>
  <c r="AD11" i="2170" s="1"/>
  <c r="O11" i="2170"/>
  <c r="M11" i="2170"/>
  <c r="K11" i="2170"/>
  <c r="AF10" i="2170"/>
  <c r="AB10" i="2170"/>
  <c r="Q10" i="2170"/>
  <c r="P10" i="2170"/>
  <c r="AC10" i="2170" s="1"/>
  <c r="O10" i="2170"/>
  <c r="M10" i="2170"/>
  <c r="AF9" i="2170"/>
  <c r="Q9" i="2170"/>
  <c r="P9" i="2170" s="1"/>
  <c r="AC9" i="2170" s="1"/>
  <c r="AF8" i="2170"/>
  <c r="AB8" i="2170"/>
  <c r="Q8" i="2170"/>
  <c r="P8" i="2170"/>
  <c r="AC8" i="2170" s="1"/>
  <c r="M8" i="2170"/>
  <c r="O8" i="2170"/>
  <c r="AF7" i="2170"/>
  <c r="AB7" i="2170"/>
  <c r="Q7" i="2170"/>
  <c r="P7" i="2170"/>
  <c r="AC7" i="2170" s="1"/>
  <c r="AD7" i="2170" s="1"/>
  <c r="O7" i="2170"/>
  <c r="M7" i="2170"/>
  <c r="K7" i="2170"/>
  <c r="AF6" i="2170"/>
  <c r="Q6" i="2170"/>
  <c r="P6" i="2170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8" i="2169"/>
  <c r="L27" i="2169"/>
  <c r="L26" i="2169"/>
  <c r="L21" i="2169"/>
  <c r="L20" i="2169"/>
  <c r="K20" i="2169" s="1"/>
  <c r="L19" i="2169"/>
  <c r="L18" i="2169"/>
  <c r="L16" i="2169"/>
  <c r="L15" i="2169"/>
  <c r="L13" i="2169"/>
  <c r="L12" i="2169"/>
  <c r="L10" i="2169"/>
  <c r="L9" i="2169"/>
  <c r="K9" i="2169"/>
  <c r="L8" i="2169"/>
  <c r="L6" i="2169"/>
  <c r="K28" i="2169"/>
  <c r="K27" i="2169"/>
  <c r="K21" i="2169"/>
  <c r="K19" i="2169"/>
  <c r="K18" i="2169"/>
  <c r="K16" i="2169"/>
  <c r="K15" i="2169"/>
  <c r="K13" i="2169"/>
  <c r="K12" i="2169"/>
  <c r="K11" i="2169"/>
  <c r="K10" i="2169"/>
  <c r="K8" i="2169"/>
  <c r="K6" i="2169"/>
  <c r="A85" i="2169"/>
  <c r="A86" i="2169" s="1"/>
  <c r="A87" i="2169" s="1"/>
  <c r="A88" i="2169" s="1"/>
  <c r="A89" i="2169" s="1"/>
  <c r="A90" i="2169" s="1"/>
  <c r="AF69" i="2169"/>
  <c r="AF68" i="2169"/>
  <c r="AF71" i="2169" s="1"/>
  <c r="AA30" i="2169"/>
  <c r="Z30" i="2169"/>
  <c r="Y30" i="2169"/>
  <c r="X30" i="2169"/>
  <c r="W30" i="2169"/>
  <c r="V30" i="2169"/>
  <c r="U30" i="2169"/>
  <c r="T30" i="2169"/>
  <c r="S30" i="2169"/>
  <c r="R30" i="2169"/>
  <c r="N30" i="2169"/>
  <c r="J30" i="2169"/>
  <c r="AF29" i="2169"/>
  <c r="AB29" i="2169"/>
  <c r="Q29" i="2169"/>
  <c r="P29" i="2169"/>
  <c r="AC29" i="2169" s="1"/>
  <c r="AD29" i="2169" s="1"/>
  <c r="O29" i="2169"/>
  <c r="M29" i="2169"/>
  <c r="K29" i="2169"/>
  <c r="AF28" i="2169"/>
  <c r="AB28" i="2169"/>
  <c r="Q28" i="2169"/>
  <c r="P28" i="2169"/>
  <c r="AC28" i="2169" s="1"/>
  <c r="O28" i="2169"/>
  <c r="M28" i="2169"/>
  <c r="I28" i="2169"/>
  <c r="AF27" i="2169"/>
  <c r="AB27" i="2169"/>
  <c r="Q27" i="2169"/>
  <c r="P27" i="2169"/>
  <c r="AC27" i="2169" s="1"/>
  <c r="O27" i="2169"/>
  <c r="M27" i="2169"/>
  <c r="I27" i="2169"/>
  <c r="AF26" i="2169"/>
  <c r="AB26" i="2169"/>
  <c r="Q26" i="2169"/>
  <c r="P26" i="2169"/>
  <c r="AC26" i="2169" s="1"/>
  <c r="O26" i="2169"/>
  <c r="M26" i="2169"/>
  <c r="K26" i="2169"/>
  <c r="I26" i="2169"/>
  <c r="I30" i="2169" s="1"/>
  <c r="AF25" i="2169"/>
  <c r="AB25" i="2169"/>
  <c r="Q25" i="2169"/>
  <c r="P25" i="2169"/>
  <c r="AC25" i="2169" s="1"/>
  <c r="AD25" i="2169" s="1"/>
  <c r="O25" i="2169"/>
  <c r="M25" i="2169"/>
  <c r="K25" i="2169"/>
  <c r="AF24" i="2169"/>
  <c r="AB24" i="2169"/>
  <c r="Q24" i="2169"/>
  <c r="P24" i="2169"/>
  <c r="AC24" i="2169" s="1"/>
  <c r="AD24" i="2169" s="1"/>
  <c r="O24" i="2169"/>
  <c r="M24" i="2169"/>
  <c r="K24" i="2169"/>
  <c r="AF23" i="2169"/>
  <c r="AB23" i="2169"/>
  <c r="Q23" i="2169"/>
  <c r="P23" i="2169"/>
  <c r="AC23" i="2169" s="1"/>
  <c r="AD23" i="2169" s="1"/>
  <c r="O23" i="2169"/>
  <c r="M23" i="2169"/>
  <c r="K23" i="2169"/>
  <c r="AF22" i="2169"/>
  <c r="AB22" i="2169"/>
  <c r="Q22" i="2169"/>
  <c r="P22" i="2169"/>
  <c r="AC22" i="2169" s="1"/>
  <c r="AD22" i="2169" s="1"/>
  <c r="O22" i="2169"/>
  <c r="M22" i="2169"/>
  <c r="K22" i="2169"/>
  <c r="AF21" i="2169"/>
  <c r="Q21" i="2169"/>
  <c r="AB21" i="2169"/>
  <c r="AF20" i="2169"/>
  <c r="AB20" i="2169"/>
  <c r="Q20" i="2169"/>
  <c r="P20" i="2169" s="1"/>
  <c r="AC20" i="2169" s="1"/>
  <c r="M20" i="2169"/>
  <c r="O20" i="2169"/>
  <c r="AF19" i="2169"/>
  <c r="Q19" i="2169"/>
  <c r="P19" i="2169"/>
  <c r="AC19" i="2169" s="1"/>
  <c r="AF18" i="2169"/>
  <c r="AB18" i="2169"/>
  <c r="Q18" i="2169"/>
  <c r="P18" i="2169"/>
  <c r="AC18" i="2169" s="1"/>
  <c r="O18" i="2169"/>
  <c r="M18" i="2169"/>
  <c r="AF17" i="2169"/>
  <c r="AC17" i="2169"/>
  <c r="AB17" i="2169"/>
  <c r="Q17" i="2169"/>
  <c r="P17" i="2169"/>
  <c r="O17" i="2169"/>
  <c r="M17" i="2169"/>
  <c r="K17" i="2169"/>
  <c r="AF16" i="2169"/>
  <c r="Q16" i="2169"/>
  <c r="P16" i="2169"/>
  <c r="AC16" i="2169" s="1"/>
  <c r="AF15" i="2169"/>
  <c r="AB15" i="2169"/>
  <c r="Q15" i="2169"/>
  <c r="P15" i="2169" s="1"/>
  <c r="AC15" i="2169" s="1"/>
  <c r="O15" i="2169"/>
  <c r="M15" i="2169"/>
  <c r="AF14" i="2169"/>
  <c r="AC14" i="2169"/>
  <c r="AB14" i="2169"/>
  <c r="Q14" i="2169"/>
  <c r="P14" i="2169"/>
  <c r="O14" i="2169"/>
  <c r="M14" i="2169"/>
  <c r="K14" i="2169"/>
  <c r="AF13" i="2169"/>
  <c r="Q13" i="2169"/>
  <c r="P13" i="2169" s="1"/>
  <c r="AC13" i="2169" s="1"/>
  <c r="AF12" i="2169"/>
  <c r="AB12" i="2169"/>
  <c r="Q12" i="2169"/>
  <c r="P12" i="2169"/>
  <c r="AC12" i="2169" s="1"/>
  <c r="O12" i="2169"/>
  <c r="M12" i="2169"/>
  <c r="AF11" i="2169"/>
  <c r="AB11" i="2169"/>
  <c r="Q11" i="2169"/>
  <c r="P11" i="2169" s="1"/>
  <c r="AC11" i="2169" s="1"/>
  <c r="O11" i="2169"/>
  <c r="M11" i="2169"/>
  <c r="AF10" i="2169"/>
  <c r="Q10" i="2169"/>
  <c r="P10" i="2169"/>
  <c r="AC10" i="2169" s="1"/>
  <c r="AF9" i="2169"/>
  <c r="AB9" i="2169"/>
  <c r="Q9" i="2169"/>
  <c r="P9" i="2169"/>
  <c r="AC9" i="2169" s="1"/>
  <c r="O9" i="2169"/>
  <c r="M9" i="2169"/>
  <c r="AF8" i="2169"/>
  <c r="Q8" i="2169"/>
  <c r="O8" i="2169"/>
  <c r="AB8" i="2169"/>
  <c r="AF7" i="2169"/>
  <c r="AB7" i="2169"/>
  <c r="Q7" i="2169"/>
  <c r="P7" i="2169"/>
  <c r="AC7" i="2169" s="1"/>
  <c r="AD7" i="2169" s="1"/>
  <c r="O7" i="2169"/>
  <c r="M7" i="2169"/>
  <c r="K7" i="2169"/>
  <c r="AF6" i="2169"/>
  <c r="AB6" i="2169"/>
  <c r="Q6" i="2169"/>
  <c r="P6" i="2169"/>
  <c r="AC6" i="2169" s="1"/>
  <c r="O6" i="2169"/>
  <c r="M6" i="2169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8" i="2168"/>
  <c r="K28" i="2168" s="1"/>
  <c r="L27" i="2168"/>
  <c r="L21" i="2168"/>
  <c r="L20" i="2168"/>
  <c r="K20" i="2168" s="1"/>
  <c r="L19" i="2168"/>
  <c r="L18" i="2168"/>
  <c r="L16" i="2168"/>
  <c r="L15" i="2168"/>
  <c r="K15" i="2168" s="1"/>
  <c r="L13" i="2168"/>
  <c r="L12" i="2168"/>
  <c r="O12" i="2168" s="1"/>
  <c r="K11" i="2168"/>
  <c r="L10" i="2168"/>
  <c r="O10" i="2168" s="1"/>
  <c r="L9" i="2168"/>
  <c r="K9" i="2168" s="1"/>
  <c r="L8" i="2168"/>
  <c r="L6" i="2168"/>
  <c r="K27" i="2168"/>
  <c r="K26" i="2168"/>
  <c r="K21" i="2168"/>
  <c r="K19" i="2168"/>
  <c r="K16" i="2168"/>
  <c r="K13" i="2168"/>
  <c r="K12" i="2168"/>
  <c r="K10" i="2168"/>
  <c r="K8" i="2168"/>
  <c r="K7" i="2168"/>
  <c r="K6" i="2168"/>
  <c r="A87" i="2168"/>
  <c r="A88" i="2168" s="1"/>
  <c r="A89" i="2168" s="1"/>
  <c r="A90" i="2168" s="1"/>
  <c r="A86" i="2168"/>
  <c r="A85" i="2168"/>
  <c r="AF69" i="2168"/>
  <c r="AF68" i="2168"/>
  <c r="AF71" i="2168" s="1"/>
  <c r="AA30" i="2168"/>
  <c r="Z30" i="2168"/>
  <c r="Y30" i="2168"/>
  <c r="X30" i="2168"/>
  <c r="W30" i="2168"/>
  <c r="V30" i="2168"/>
  <c r="U30" i="2168"/>
  <c r="T30" i="2168"/>
  <c r="S30" i="2168"/>
  <c r="R30" i="2168"/>
  <c r="N30" i="2168"/>
  <c r="J30" i="2168"/>
  <c r="AF29" i="2168"/>
  <c r="AC29" i="2168"/>
  <c r="AD29" i="2168" s="1"/>
  <c r="AB29" i="2168"/>
  <c r="Q29" i="2168"/>
  <c r="P29" i="2168"/>
  <c r="O29" i="2168"/>
  <c r="M29" i="2168"/>
  <c r="K29" i="2168"/>
  <c r="AF28" i="2168"/>
  <c r="Q28" i="2168"/>
  <c r="P28" i="2168"/>
  <c r="AC28" i="2168" s="1"/>
  <c r="O28" i="2168"/>
  <c r="AB28" i="2168"/>
  <c r="I28" i="2168"/>
  <c r="AF27" i="2168"/>
  <c r="Q27" i="2168"/>
  <c r="P27" i="2168"/>
  <c r="AC27" i="2168" s="1"/>
  <c r="O27" i="2168"/>
  <c r="AB27" i="2168"/>
  <c r="I27" i="2168"/>
  <c r="AF26" i="2168"/>
  <c r="Q26" i="2168"/>
  <c r="P26" i="2168"/>
  <c r="AC26" i="2168" s="1"/>
  <c r="O26" i="2168"/>
  <c r="AB26" i="2168"/>
  <c r="I26" i="2168"/>
  <c r="I30" i="2168" s="1"/>
  <c r="AF25" i="2168"/>
  <c r="AB25" i="2168"/>
  <c r="Q25" i="2168"/>
  <c r="P25" i="2168"/>
  <c r="AC25" i="2168" s="1"/>
  <c r="AD25" i="2168" s="1"/>
  <c r="O25" i="2168"/>
  <c r="M25" i="2168"/>
  <c r="K25" i="2168"/>
  <c r="AF24" i="2168"/>
  <c r="AB24" i="2168"/>
  <c r="Q24" i="2168"/>
  <c r="P24" i="2168"/>
  <c r="AC24" i="2168" s="1"/>
  <c r="AD24" i="2168" s="1"/>
  <c r="O24" i="2168"/>
  <c r="M24" i="2168"/>
  <c r="K24" i="2168"/>
  <c r="AF23" i="2168"/>
  <c r="AB23" i="2168"/>
  <c r="Q23" i="2168"/>
  <c r="P23" i="2168"/>
  <c r="AC23" i="2168" s="1"/>
  <c r="AD23" i="2168" s="1"/>
  <c r="O23" i="2168"/>
  <c r="M23" i="2168"/>
  <c r="K23" i="2168"/>
  <c r="AF22" i="2168"/>
  <c r="AB22" i="2168"/>
  <c r="Q22" i="2168"/>
  <c r="P22" i="2168"/>
  <c r="AC22" i="2168" s="1"/>
  <c r="AD22" i="2168" s="1"/>
  <c r="O22" i="2168"/>
  <c r="M22" i="2168"/>
  <c r="K22" i="2168"/>
  <c r="AF21" i="2168"/>
  <c r="Q21" i="2168"/>
  <c r="P21" i="2168"/>
  <c r="AC21" i="2168" s="1"/>
  <c r="O21" i="2168"/>
  <c r="AB21" i="2168"/>
  <c r="AF20" i="2168"/>
  <c r="Q20" i="2168"/>
  <c r="AF19" i="2168"/>
  <c r="Q19" i="2168"/>
  <c r="P19" i="2168" s="1"/>
  <c r="AC19" i="2168" s="1"/>
  <c r="AF18" i="2168"/>
  <c r="Q18" i="2168"/>
  <c r="AF17" i="2168"/>
  <c r="AB17" i="2168"/>
  <c r="Q17" i="2168"/>
  <c r="P17" i="2168"/>
  <c r="AC17" i="2168" s="1"/>
  <c r="AD17" i="2168" s="1"/>
  <c r="O17" i="2168"/>
  <c r="M17" i="2168"/>
  <c r="K17" i="2168"/>
  <c r="AF16" i="2168"/>
  <c r="Q16" i="2168"/>
  <c r="P16" i="2168"/>
  <c r="AC16" i="2168" s="1"/>
  <c r="AF15" i="2168"/>
  <c r="Q15" i="2168"/>
  <c r="P15" i="2168"/>
  <c r="AC15" i="2168" s="1"/>
  <c r="O15" i="2168"/>
  <c r="AF14" i="2168"/>
  <c r="AC14" i="2168"/>
  <c r="AB14" i="2168"/>
  <c r="Q14" i="2168"/>
  <c r="P14" i="2168"/>
  <c r="O14" i="2168"/>
  <c r="M14" i="2168"/>
  <c r="K14" i="2168"/>
  <c r="AF13" i="2168"/>
  <c r="Q13" i="2168"/>
  <c r="P13" i="2168"/>
  <c r="AC13" i="2168" s="1"/>
  <c r="AF12" i="2168"/>
  <c r="Q12" i="2168"/>
  <c r="P12" i="2168"/>
  <c r="AC12" i="2168" s="1"/>
  <c r="AF11" i="2168"/>
  <c r="Q11" i="2168"/>
  <c r="P11" i="2168" s="1"/>
  <c r="AC11" i="2168" s="1"/>
  <c r="O11" i="2168"/>
  <c r="AB11" i="2168"/>
  <c r="AF10" i="2168"/>
  <c r="AB10" i="2168"/>
  <c r="Q10" i="2168"/>
  <c r="M10" i="2168"/>
  <c r="AF9" i="2168"/>
  <c r="Q9" i="2168"/>
  <c r="P9" i="2168"/>
  <c r="AC9" i="2168" s="1"/>
  <c r="AF8" i="2168"/>
  <c r="Q8" i="2168"/>
  <c r="P8" i="2168"/>
  <c r="AC8" i="2168" s="1"/>
  <c r="O8" i="2168"/>
  <c r="AF7" i="2168"/>
  <c r="AB7" i="2168"/>
  <c r="Q7" i="2168"/>
  <c r="P7" i="2168"/>
  <c r="AC7" i="2168" s="1"/>
  <c r="AD7" i="2168" s="1"/>
  <c r="O7" i="2168"/>
  <c r="M7" i="2168"/>
  <c r="AF6" i="2168"/>
  <c r="Q6" i="2168"/>
  <c r="P6" i="2168"/>
  <c r="L21" i="2167"/>
  <c r="L20" i="2167"/>
  <c r="K20" i="2167"/>
  <c r="L19" i="2167"/>
  <c r="L18" i="2167"/>
  <c r="L16" i="2167"/>
  <c r="L15" i="2167"/>
  <c r="L13" i="2167"/>
  <c r="L12" i="2167"/>
  <c r="L11" i="2167"/>
  <c r="L10" i="2167"/>
  <c r="K10" i="2167"/>
  <c r="L9" i="2167"/>
  <c r="L8" i="2167"/>
  <c r="K7" i="2167"/>
  <c r="L6" i="2167"/>
  <c r="L28" i="2167"/>
  <c r="L27" i="2167"/>
  <c r="L26" i="2167"/>
  <c r="AD24" i="2170" l="1"/>
  <c r="AD19" i="2170"/>
  <c r="Q30" i="2170"/>
  <c r="AD16" i="2170"/>
  <c r="AD13" i="2170"/>
  <c r="AD10" i="2170"/>
  <c r="AD22" i="2170"/>
  <c r="AD25" i="2170"/>
  <c r="AD8" i="2170"/>
  <c r="AD21" i="2170"/>
  <c r="AD26" i="2170"/>
  <c r="AD27" i="2170"/>
  <c r="AD28" i="2170"/>
  <c r="AC6" i="2170"/>
  <c r="L30" i="2170"/>
  <c r="O30" i="2170" s="1"/>
  <c r="M6" i="2170"/>
  <c r="AB6" i="2170"/>
  <c r="M9" i="2170"/>
  <c r="AB9" i="2170"/>
  <c r="M12" i="2170"/>
  <c r="AB12" i="2170"/>
  <c r="M15" i="2170"/>
  <c r="AB15" i="2170"/>
  <c r="M18" i="2170"/>
  <c r="AB18" i="2170"/>
  <c r="P20" i="2170"/>
  <c r="AC20" i="2170" s="1"/>
  <c r="AD20" i="2170" s="1"/>
  <c r="O6" i="2170"/>
  <c r="O9" i="2170"/>
  <c r="O12" i="2170"/>
  <c r="O15" i="2170"/>
  <c r="O18" i="2170"/>
  <c r="M20" i="2170"/>
  <c r="AD28" i="2169"/>
  <c r="AD27" i="2169"/>
  <c r="AD15" i="2169"/>
  <c r="AD12" i="2169"/>
  <c r="Q30" i="2169"/>
  <c r="AD9" i="2169"/>
  <c r="AD17" i="2169"/>
  <c r="AD18" i="2169"/>
  <c r="AD26" i="2169"/>
  <c r="AD11" i="2169"/>
  <c r="AD14" i="2169"/>
  <c r="AD6" i="2169"/>
  <c r="AD20" i="2169"/>
  <c r="O21" i="2169"/>
  <c r="L30" i="2169"/>
  <c r="O30" i="2169" s="1"/>
  <c r="P8" i="2169"/>
  <c r="AC8" i="2169" s="1"/>
  <c r="AD8" i="2169" s="1"/>
  <c r="M10" i="2169"/>
  <c r="AB10" i="2169"/>
  <c r="M13" i="2169"/>
  <c r="AB13" i="2169"/>
  <c r="M16" i="2169"/>
  <c r="AB16" i="2169"/>
  <c r="M19" i="2169"/>
  <c r="AB19" i="2169"/>
  <c r="AD19" i="2169" s="1"/>
  <c r="P21" i="2169"/>
  <c r="AC21" i="2169" s="1"/>
  <c r="O16" i="2169"/>
  <c r="O19" i="2169"/>
  <c r="O10" i="2169"/>
  <c r="O13" i="2169"/>
  <c r="M8" i="2169"/>
  <c r="K30" i="2169"/>
  <c r="M21" i="2169"/>
  <c r="O20" i="2168"/>
  <c r="P20" i="2168"/>
  <c r="AC20" i="2168" s="1"/>
  <c r="M20" i="2168"/>
  <c r="AB20" i="2168"/>
  <c r="P18" i="2168"/>
  <c r="AC18" i="2168" s="1"/>
  <c r="K18" i="2168"/>
  <c r="O18" i="2168"/>
  <c r="Q30" i="2168"/>
  <c r="P10" i="2168"/>
  <c r="AC10" i="2168" s="1"/>
  <c r="AD10" i="2168" s="1"/>
  <c r="AD14" i="2168"/>
  <c r="AD11" i="2168"/>
  <c r="AD21" i="2168"/>
  <c r="AD26" i="2168"/>
  <c r="AD27" i="2168"/>
  <c r="AD28" i="2168"/>
  <c r="AC6" i="2168"/>
  <c r="AB6" i="2168"/>
  <c r="M9" i="2168"/>
  <c r="M13" i="2168"/>
  <c r="AB13" i="2168"/>
  <c r="AD13" i="2168" s="1"/>
  <c r="M16" i="2168"/>
  <c r="AB16" i="2168"/>
  <c r="AB19" i="2168"/>
  <c r="O6" i="2168"/>
  <c r="M8" i="2168"/>
  <c r="AB12" i="2168"/>
  <c r="AD12" i="2168" s="1"/>
  <c r="O13" i="2168"/>
  <c r="AB15" i="2168"/>
  <c r="AD15" i="2168" s="1"/>
  <c r="O16" i="2168"/>
  <c r="AB18" i="2168"/>
  <c r="AD18" i="2168" s="1"/>
  <c r="M6" i="2168"/>
  <c r="AB9" i="2168"/>
  <c r="M19" i="2168"/>
  <c r="L30" i="2168"/>
  <c r="O30" i="2168" s="1"/>
  <c r="AB8" i="2168"/>
  <c r="AD8" i="2168" s="1"/>
  <c r="O9" i="2168"/>
  <c r="M12" i="2168"/>
  <c r="M15" i="2168"/>
  <c r="M18" i="2168"/>
  <c r="O19" i="2168"/>
  <c r="M11" i="2168"/>
  <c r="M21" i="2168"/>
  <c r="M26" i="2168"/>
  <c r="M27" i="2168"/>
  <c r="M28" i="2168"/>
  <c r="K28" i="2167"/>
  <c r="K27" i="2167"/>
  <c r="K26" i="2167"/>
  <c r="K21" i="2167"/>
  <c r="K19" i="2167"/>
  <c r="K18" i="2167"/>
  <c r="K17" i="2167"/>
  <c r="K16" i="2167"/>
  <c r="K15" i="2167"/>
  <c r="K13" i="2167"/>
  <c r="K12" i="2167"/>
  <c r="K11" i="2167"/>
  <c r="K9" i="2167"/>
  <c r="K8" i="2167"/>
  <c r="K6" i="2167"/>
  <c r="A87" i="2167"/>
  <c r="A88" i="2167" s="1"/>
  <c r="A89" i="2167" s="1"/>
  <c r="A90" i="2167" s="1"/>
  <c r="A86" i="2167"/>
  <c r="A85" i="2167"/>
  <c r="AF69" i="2167"/>
  <c r="AF68" i="2167"/>
  <c r="AF71" i="2167" s="1"/>
  <c r="AA30" i="2167"/>
  <c r="Z30" i="2167"/>
  <c r="Y30" i="2167"/>
  <c r="X30" i="2167"/>
  <c r="W30" i="2167"/>
  <c r="V30" i="2167"/>
  <c r="U30" i="2167"/>
  <c r="T30" i="2167"/>
  <c r="S30" i="2167"/>
  <c r="R30" i="2167"/>
  <c r="N30" i="2167"/>
  <c r="J30" i="2167"/>
  <c r="AF29" i="2167"/>
  <c r="AB29" i="2167"/>
  <c r="Q29" i="2167"/>
  <c r="P29" i="2167"/>
  <c r="AC29" i="2167" s="1"/>
  <c r="AD29" i="2167" s="1"/>
  <c r="O29" i="2167"/>
  <c r="M29" i="2167"/>
  <c r="K29" i="2167"/>
  <c r="AF28" i="2167"/>
  <c r="Q28" i="2167"/>
  <c r="P28" i="2167"/>
  <c r="AC28" i="2167" s="1"/>
  <c r="O28" i="2167"/>
  <c r="M28" i="2167"/>
  <c r="AB28" i="2167"/>
  <c r="I28" i="2167"/>
  <c r="AF27" i="2167"/>
  <c r="AB27" i="2167"/>
  <c r="Q27" i="2167"/>
  <c r="P27" i="2167"/>
  <c r="AC27" i="2167" s="1"/>
  <c r="O27" i="2167"/>
  <c r="M27" i="2167"/>
  <c r="I27" i="2167"/>
  <c r="AF26" i="2167"/>
  <c r="Q26" i="2167"/>
  <c r="P26" i="2167"/>
  <c r="AC26" i="2167" s="1"/>
  <c r="O26" i="2167"/>
  <c r="AB26" i="2167"/>
  <c r="I26" i="2167"/>
  <c r="I30" i="2167" s="1"/>
  <c r="AF25" i="2167"/>
  <c r="AB25" i="2167"/>
  <c r="Q25" i="2167"/>
  <c r="P25" i="2167"/>
  <c r="AC25" i="2167" s="1"/>
  <c r="AD25" i="2167" s="1"/>
  <c r="O25" i="2167"/>
  <c r="M25" i="2167"/>
  <c r="K25" i="2167"/>
  <c r="AF24" i="2167"/>
  <c r="AB24" i="2167"/>
  <c r="Q24" i="2167"/>
  <c r="P24" i="2167"/>
  <c r="AC24" i="2167" s="1"/>
  <c r="O24" i="2167"/>
  <c r="M24" i="2167"/>
  <c r="K24" i="2167"/>
  <c r="AF23" i="2167"/>
  <c r="AB23" i="2167"/>
  <c r="Q23" i="2167"/>
  <c r="P23" i="2167"/>
  <c r="AC23" i="2167" s="1"/>
  <c r="O23" i="2167"/>
  <c r="M23" i="2167"/>
  <c r="K23" i="2167"/>
  <c r="AF22" i="2167"/>
  <c r="AB22" i="2167"/>
  <c r="Q22" i="2167"/>
  <c r="P22" i="2167"/>
  <c r="AC22" i="2167" s="1"/>
  <c r="O22" i="2167"/>
  <c r="M22" i="2167"/>
  <c r="K22" i="2167"/>
  <c r="AF21" i="2167"/>
  <c r="Q21" i="2167"/>
  <c r="P21" i="2167"/>
  <c r="AC21" i="2167" s="1"/>
  <c r="O21" i="2167"/>
  <c r="AB21" i="2167"/>
  <c r="AF20" i="2167"/>
  <c r="AB20" i="2167"/>
  <c r="Q20" i="2167"/>
  <c r="P20" i="2167"/>
  <c r="AC20" i="2167" s="1"/>
  <c r="AD20" i="2167" s="1"/>
  <c r="O20" i="2167"/>
  <c r="M20" i="2167"/>
  <c r="AF19" i="2167"/>
  <c r="Q19" i="2167"/>
  <c r="P19" i="2167"/>
  <c r="AC19" i="2167" s="1"/>
  <c r="AF18" i="2167"/>
  <c r="Q18" i="2167"/>
  <c r="P18" i="2167"/>
  <c r="AC18" i="2167" s="1"/>
  <c r="O18" i="2167"/>
  <c r="M18" i="2167"/>
  <c r="AB18" i="2167"/>
  <c r="AF17" i="2167"/>
  <c r="AB17" i="2167"/>
  <c r="Q17" i="2167"/>
  <c r="O17" i="2167"/>
  <c r="M17" i="2167"/>
  <c r="P17" i="2167"/>
  <c r="AC17" i="2167" s="1"/>
  <c r="AD17" i="2167" s="1"/>
  <c r="AF16" i="2167"/>
  <c r="AB16" i="2167"/>
  <c r="Q16" i="2167"/>
  <c r="P16" i="2167" s="1"/>
  <c r="AC16" i="2167" s="1"/>
  <c r="M16" i="2167"/>
  <c r="AF15" i="2167"/>
  <c r="Q15" i="2167"/>
  <c r="P15" i="2167"/>
  <c r="AC15" i="2167" s="1"/>
  <c r="AF14" i="2167"/>
  <c r="AB14" i="2167"/>
  <c r="Q14" i="2167"/>
  <c r="P14" i="2167"/>
  <c r="AC14" i="2167" s="1"/>
  <c r="O14" i="2167"/>
  <c r="M14" i="2167"/>
  <c r="K14" i="2167"/>
  <c r="AF13" i="2167"/>
  <c r="AB13" i="2167"/>
  <c r="Q13" i="2167"/>
  <c r="M13" i="2167"/>
  <c r="P13" i="2167"/>
  <c r="AC13" i="2167" s="1"/>
  <c r="AF12" i="2167"/>
  <c r="Q12" i="2167"/>
  <c r="P12" i="2167"/>
  <c r="AC12" i="2167" s="1"/>
  <c r="AF11" i="2167"/>
  <c r="Q11" i="2167"/>
  <c r="P11" i="2167"/>
  <c r="AC11" i="2167" s="1"/>
  <c r="O11" i="2167"/>
  <c r="AB11" i="2167"/>
  <c r="AF10" i="2167"/>
  <c r="AB10" i="2167"/>
  <c r="Q10" i="2167"/>
  <c r="O10" i="2167"/>
  <c r="M10" i="2167"/>
  <c r="P10" i="2167"/>
  <c r="AC10" i="2167" s="1"/>
  <c r="AF9" i="2167"/>
  <c r="AB9" i="2167"/>
  <c r="Q9" i="2167"/>
  <c r="M9" i="2167"/>
  <c r="P9" i="2167"/>
  <c r="AC9" i="2167" s="1"/>
  <c r="AF8" i="2167"/>
  <c r="Q8" i="2167"/>
  <c r="P8" i="2167"/>
  <c r="AC8" i="2167" s="1"/>
  <c r="AF7" i="2167"/>
  <c r="Q7" i="2167"/>
  <c r="P7" i="2167"/>
  <c r="AC7" i="2167" s="1"/>
  <c r="O7" i="2167"/>
  <c r="AB7" i="2167"/>
  <c r="AF6" i="2167"/>
  <c r="AB6" i="2167"/>
  <c r="Q6" i="2167"/>
  <c r="O6" i="2167"/>
  <c r="M6" i="2167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1" i="2166"/>
  <c r="L19" i="2166"/>
  <c r="L18" i="2166"/>
  <c r="L17" i="2166"/>
  <c r="L16" i="2166"/>
  <c r="L15" i="2166"/>
  <c r="L13" i="2166"/>
  <c r="L12" i="2166"/>
  <c r="L11" i="2166"/>
  <c r="K11" i="2166" s="1"/>
  <c r="L10" i="2166"/>
  <c r="L9" i="2166"/>
  <c r="L8" i="2166"/>
  <c r="L7" i="2166"/>
  <c r="K7" i="2166"/>
  <c r="L6" i="2166"/>
  <c r="L28" i="2166"/>
  <c r="L27" i="2166"/>
  <c r="L26" i="2166"/>
  <c r="AD9" i="2170" l="1"/>
  <c r="AD18" i="2170"/>
  <c r="AD12" i="2170"/>
  <c r="AD15" i="2170"/>
  <c r="P30" i="2170"/>
  <c r="K30" i="2170"/>
  <c r="AB30" i="2170"/>
  <c r="AD6" i="2170"/>
  <c r="AD30" i="2170" s="1"/>
  <c r="AC30" i="2170"/>
  <c r="M30" i="2170"/>
  <c r="AD21" i="2169"/>
  <c r="M30" i="2169"/>
  <c r="AD16" i="2169"/>
  <c r="AD10" i="2169"/>
  <c r="AD13" i="2169"/>
  <c r="AB30" i="2169"/>
  <c r="AC30" i="2169"/>
  <c r="P30" i="2169"/>
  <c r="AD20" i="2168"/>
  <c r="P30" i="2168"/>
  <c r="AD9" i="2168"/>
  <c r="AD19" i="2168"/>
  <c r="AD16" i="2168"/>
  <c r="AD6" i="2168"/>
  <c r="AC30" i="2168"/>
  <c r="K30" i="2168"/>
  <c r="AB30" i="2168"/>
  <c r="M30" i="2168"/>
  <c r="AD18" i="2167"/>
  <c r="Q30" i="2167"/>
  <c r="P6" i="2167"/>
  <c r="AD23" i="2167"/>
  <c r="AD10" i="2167"/>
  <c r="AD11" i="2167"/>
  <c r="AD22" i="2167"/>
  <c r="AD26" i="2167"/>
  <c r="AD7" i="2167"/>
  <c r="AD14" i="2167"/>
  <c r="AD24" i="2167"/>
  <c r="AD27" i="2167"/>
  <c r="AD21" i="2167"/>
  <c r="AD28" i="2167"/>
  <c r="P30" i="2167"/>
  <c r="AC6" i="2167"/>
  <c r="M8" i="2167"/>
  <c r="AB8" i="2167"/>
  <c r="O9" i="2167"/>
  <c r="AD9" i="2167" s="1"/>
  <c r="M12" i="2167"/>
  <c r="AB12" i="2167"/>
  <c r="AD12" i="2167" s="1"/>
  <c r="O13" i="2167"/>
  <c r="AD13" i="2167" s="1"/>
  <c r="M15" i="2167"/>
  <c r="AB15" i="2167"/>
  <c r="O16" i="2167"/>
  <c r="AD16" i="2167" s="1"/>
  <c r="M19" i="2167"/>
  <c r="AB19" i="2167"/>
  <c r="M7" i="2167"/>
  <c r="O8" i="2167"/>
  <c r="M11" i="2167"/>
  <c r="O12" i="2167"/>
  <c r="O15" i="2167"/>
  <c r="O19" i="2167"/>
  <c r="AD19" i="2167" s="1"/>
  <c r="M21" i="2167"/>
  <c r="M26" i="2167"/>
  <c r="L30" i="2167"/>
  <c r="O30" i="2167" s="1"/>
  <c r="AE29" i="2170" l="1"/>
  <c r="AE24" i="2170"/>
  <c r="AE22" i="2170"/>
  <c r="AE19" i="2170"/>
  <c r="AE16" i="2170"/>
  <c r="AE13" i="2170"/>
  <c r="AE10" i="2170"/>
  <c r="AE15" i="2170"/>
  <c r="AE9" i="2170"/>
  <c r="AE20" i="2170"/>
  <c r="AE7" i="2170"/>
  <c r="AE18" i="2170"/>
  <c r="AE28" i="2170"/>
  <c r="AE27" i="2170"/>
  <c r="AE26" i="2170"/>
  <c r="AE25" i="2170"/>
  <c r="AE23" i="2170"/>
  <c r="AE21" i="2170"/>
  <c r="AE17" i="2170"/>
  <c r="AE14" i="2170"/>
  <c r="AE11" i="2170"/>
  <c r="AE8" i="2170"/>
  <c r="AE12" i="2170"/>
  <c r="AE6" i="2170"/>
  <c r="AD30" i="2169"/>
  <c r="AE20" i="2169" s="1"/>
  <c r="AE29" i="2169"/>
  <c r="AD30" i="2168"/>
  <c r="AE10" i="2168" s="1"/>
  <c r="AD15" i="2167"/>
  <c r="AB30" i="2167"/>
  <c r="M30" i="2167"/>
  <c r="AD8" i="2167"/>
  <c r="K30" i="2167"/>
  <c r="AC30" i="2167"/>
  <c r="AD6" i="2167"/>
  <c r="AE19" i="2169" l="1"/>
  <c r="AE22" i="2169"/>
  <c r="AE26" i="2169"/>
  <c r="AE14" i="2169"/>
  <c r="AE9" i="2169"/>
  <c r="AE21" i="2169"/>
  <c r="AE10" i="2169"/>
  <c r="AE12" i="2169"/>
  <c r="AE8" i="2169"/>
  <c r="AE27" i="2169"/>
  <c r="AE17" i="2169"/>
  <c r="AE13" i="2169"/>
  <c r="AE24" i="2169"/>
  <c r="AE15" i="2169"/>
  <c r="AE28" i="2169"/>
  <c r="AE23" i="2169"/>
  <c r="AE7" i="2169"/>
  <c r="AE16" i="2169"/>
  <c r="AE6" i="2169"/>
  <c r="AE18" i="2169"/>
  <c r="AE11" i="2169"/>
  <c r="AE25" i="2169"/>
  <c r="AE18" i="2168"/>
  <c r="AE19" i="2168"/>
  <c r="AE25" i="2168"/>
  <c r="AE8" i="2168"/>
  <c r="AE6" i="2168"/>
  <c r="AE26" i="2168"/>
  <c r="AE12" i="2168"/>
  <c r="AE29" i="2168"/>
  <c r="AE13" i="2168"/>
  <c r="AE20" i="2168"/>
  <c r="AE11" i="2168"/>
  <c r="AE17" i="2168"/>
  <c r="AE9" i="2168"/>
  <c r="AE14" i="2168"/>
  <c r="AE27" i="2168"/>
  <c r="AE22" i="2168"/>
  <c r="AE15" i="2168"/>
  <c r="AE23" i="2168"/>
  <c r="AE16" i="2168"/>
  <c r="AE21" i="2168"/>
  <c r="AE28" i="2168"/>
  <c r="AE24" i="2168"/>
  <c r="AE7" i="2168"/>
  <c r="AD30" i="2167"/>
  <c r="AE24" i="2167" s="1"/>
  <c r="AE26" i="2167" l="1"/>
  <c r="AE25" i="2167"/>
  <c r="AE22" i="2167"/>
  <c r="AE7" i="2167"/>
  <c r="AE10" i="2167"/>
  <c r="AE14" i="2167"/>
  <c r="AE17" i="2167"/>
  <c r="AE15" i="2167"/>
  <c r="AE18" i="2167"/>
  <c r="AE28" i="2167"/>
  <c r="AE13" i="2167"/>
  <c r="AE19" i="2167"/>
  <c r="AE21" i="2167"/>
  <c r="AE12" i="2167"/>
  <c r="AE16" i="2167"/>
  <c r="AE11" i="2167"/>
  <c r="AE23" i="2167"/>
  <c r="AE8" i="2167"/>
  <c r="AE20" i="2167"/>
  <c r="AE29" i="2167"/>
  <c r="AE27" i="2167"/>
  <c r="AE6" i="2167"/>
  <c r="AE9" i="2167"/>
  <c r="K28" i="2166" l="1"/>
  <c r="K27" i="2166"/>
  <c r="K26" i="2166"/>
  <c r="K21" i="2166"/>
  <c r="K20" i="2166"/>
  <c r="K19" i="2166"/>
  <c r="K18" i="2166"/>
  <c r="K17" i="2166"/>
  <c r="K16" i="2166"/>
  <c r="K15" i="2166"/>
  <c r="K13" i="2166"/>
  <c r="K12" i="2166"/>
  <c r="K10" i="2166"/>
  <c r="K9" i="2166"/>
  <c r="K8" i="2166"/>
  <c r="K6" i="2166"/>
  <c r="A85" i="2166"/>
  <c r="A86" i="2166" s="1"/>
  <c r="A87" i="2166" s="1"/>
  <c r="A88" i="2166" s="1"/>
  <c r="A89" i="2166" s="1"/>
  <c r="A90" i="2166" s="1"/>
  <c r="AF71" i="2166"/>
  <c r="AF69" i="2166"/>
  <c r="AF68" i="2166"/>
  <c r="AA30" i="2166"/>
  <c r="Z30" i="2166"/>
  <c r="Y30" i="2166"/>
  <c r="X30" i="2166"/>
  <c r="W30" i="2166"/>
  <c r="V30" i="2166"/>
  <c r="U30" i="2166"/>
  <c r="T30" i="2166"/>
  <c r="S30" i="2166"/>
  <c r="R30" i="2166"/>
  <c r="N30" i="2166"/>
  <c r="J30" i="2166"/>
  <c r="I30" i="2166"/>
  <c r="AF29" i="2166"/>
  <c r="AB29" i="2166"/>
  <c r="Q29" i="2166"/>
  <c r="P29" i="2166"/>
  <c r="AC29" i="2166" s="1"/>
  <c r="AD29" i="2166" s="1"/>
  <c r="O29" i="2166"/>
  <c r="M29" i="2166"/>
  <c r="K29" i="2166"/>
  <c r="AF28" i="2166"/>
  <c r="Q28" i="2166"/>
  <c r="O28" i="2166"/>
  <c r="I28" i="2166"/>
  <c r="AF27" i="2166"/>
  <c r="Q27" i="2166"/>
  <c r="O27" i="2166"/>
  <c r="I27" i="2166"/>
  <c r="AF26" i="2166"/>
  <c r="Q26" i="2166"/>
  <c r="O26" i="2166"/>
  <c r="I26" i="2166"/>
  <c r="AF25" i="2166"/>
  <c r="AB25" i="2166"/>
  <c r="Q25" i="2166"/>
  <c r="P25" i="2166"/>
  <c r="AC25" i="2166" s="1"/>
  <c r="AD25" i="2166" s="1"/>
  <c r="O25" i="2166"/>
  <c r="M25" i="2166"/>
  <c r="K25" i="2166"/>
  <c r="AF24" i="2166"/>
  <c r="AB24" i="2166"/>
  <c r="Q24" i="2166"/>
  <c r="P24" i="2166"/>
  <c r="AC24" i="2166" s="1"/>
  <c r="AD24" i="2166" s="1"/>
  <c r="O24" i="2166"/>
  <c r="M24" i="2166"/>
  <c r="K24" i="2166"/>
  <c r="AF23" i="2166"/>
  <c r="AB23" i="2166"/>
  <c r="Q23" i="2166"/>
  <c r="P23" i="2166"/>
  <c r="AC23" i="2166" s="1"/>
  <c r="AD23" i="2166" s="1"/>
  <c r="O23" i="2166"/>
  <c r="M23" i="2166"/>
  <c r="K23" i="2166"/>
  <c r="AF22" i="2166"/>
  <c r="AB22" i="2166"/>
  <c r="Q22" i="2166"/>
  <c r="P22" i="2166"/>
  <c r="AC22" i="2166" s="1"/>
  <c r="AD22" i="2166" s="1"/>
  <c r="O22" i="2166"/>
  <c r="M22" i="2166"/>
  <c r="K22" i="2166"/>
  <c r="AF21" i="2166"/>
  <c r="Q21" i="2166"/>
  <c r="O21" i="2166"/>
  <c r="AF20" i="2166"/>
  <c r="Q20" i="2166"/>
  <c r="P20" i="2166" s="1"/>
  <c r="AC20" i="2166" s="1"/>
  <c r="AB20" i="2166"/>
  <c r="AF19" i="2166"/>
  <c r="Q19" i="2166"/>
  <c r="P19" i="2166"/>
  <c r="AC19" i="2166" s="1"/>
  <c r="O19" i="2166"/>
  <c r="AB19" i="2166"/>
  <c r="AF18" i="2166"/>
  <c r="AB18" i="2166"/>
  <c r="Q18" i="2166"/>
  <c r="P18" i="2166"/>
  <c r="AC18" i="2166" s="1"/>
  <c r="O18" i="2166"/>
  <c r="M18" i="2166"/>
  <c r="AF17" i="2166"/>
  <c r="Q17" i="2166"/>
  <c r="O17" i="2166"/>
  <c r="AF16" i="2166"/>
  <c r="Q16" i="2166"/>
  <c r="P16" i="2166"/>
  <c r="AC16" i="2166" s="1"/>
  <c r="AB16" i="2166"/>
  <c r="AF15" i="2166"/>
  <c r="Q15" i="2166"/>
  <c r="P15" i="2166"/>
  <c r="AC15" i="2166" s="1"/>
  <c r="O15" i="2166"/>
  <c r="AB15" i="2166"/>
  <c r="AF14" i="2166"/>
  <c r="AC14" i="2166"/>
  <c r="AB14" i="2166"/>
  <c r="Q14" i="2166"/>
  <c r="P14" i="2166"/>
  <c r="O14" i="2166"/>
  <c r="M14" i="2166"/>
  <c r="K14" i="2166"/>
  <c r="AF13" i="2166"/>
  <c r="Q13" i="2166"/>
  <c r="P13" i="2166" s="1"/>
  <c r="AC13" i="2166" s="1"/>
  <c r="AB13" i="2166"/>
  <c r="AF12" i="2166"/>
  <c r="Q12" i="2166"/>
  <c r="P12" i="2166"/>
  <c r="AC12" i="2166" s="1"/>
  <c r="O12" i="2166"/>
  <c r="AB12" i="2166"/>
  <c r="AF11" i="2166"/>
  <c r="AB11" i="2166"/>
  <c r="Q11" i="2166"/>
  <c r="P11" i="2166" s="1"/>
  <c r="AC11" i="2166" s="1"/>
  <c r="O11" i="2166"/>
  <c r="M11" i="2166"/>
  <c r="AF10" i="2166"/>
  <c r="Q10" i="2166"/>
  <c r="O10" i="2166"/>
  <c r="AF9" i="2166"/>
  <c r="Q9" i="2166"/>
  <c r="P9" i="2166"/>
  <c r="AC9" i="2166" s="1"/>
  <c r="AB9" i="2166"/>
  <c r="AF8" i="2166"/>
  <c r="Q8" i="2166"/>
  <c r="P8" i="2166"/>
  <c r="AC8" i="2166" s="1"/>
  <c r="O8" i="2166"/>
  <c r="AB8" i="2166"/>
  <c r="AF7" i="2166"/>
  <c r="AB7" i="2166"/>
  <c r="Q7" i="2166"/>
  <c r="P7" i="2166" s="1"/>
  <c r="AC7" i="2166" s="1"/>
  <c r="O7" i="2166"/>
  <c r="M7" i="2166"/>
  <c r="AF6" i="2166"/>
  <c r="Q6" i="2166"/>
  <c r="P6" i="2166"/>
  <c r="AB6" i="2166"/>
  <c r="L21" i="2165"/>
  <c r="L20" i="2165"/>
  <c r="K20" i="2165" s="1"/>
  <c r="L19" i="2165"/>
  <c r="K19" i="2165" s="1"/>
  <c r="L18" i="2165"/>
  <c r="K18" i="2165" s="1"/>
  <c r="L17" i="2165"/>
  <c r="K17" i="2165" s="1"/>
  <c r="L16" i="2165"/>
  <c r="L15" i="2165"/>
  <c r="L13" i="2165"/>
  <c r="K13" i="2165" s="1"/>
  <c r="L12" i="2165"/>
  <c r="L11" i="2165"/>
  <c r="K11" i="2165" s="1"/>
  <c r="L10" i="2165"/>
  <c r="O10" i="2165" s="1"/>
  <c r="L9" i="2165"/>
  <c r="L8" i="2165"/>
  <c r="K7" i="2165"/>
  <c r="L6" i="2165"/>
  <c r="L28" i="2165"/>
  <c r="L27" i="2165"/>
  <c r="K27" i="2165" s="1"/>
  <c r="L26" i="2165"/>
  <c r="K26" i="2165" s="1"/>
  <c r="I28" i="2165"/>
  <c r="I27" i="2165"/>
  <c r="I26" i="2165"/>
  <c r="I30" i="2165" s="1"/>
  <c r="K28" i="2165"/>
  <c r="K21" i="2165"/>
  <c r="K16" i="2165"/>
  <c r="K15" i="2165"/>
  <c r="K12" i="2165"/>
  <c r="K9" i="2165"/>
  <c r="K8" i="2165"/>
  <c r="K6" i="2165"/>
  <c r="A85" i="2165"/>
  <c r="A86" i="2165" s="1"/>
  <c r="A87" i="2165" s="1"/>
  <c r="A88" i="2165" s="1"/>
  <c r="A89" i="2165" s="1"/>
  <c r="A90" i="2165" s="1"/>
  <c r="AF71" i="2165"/>
  <c r="AF69" i="2165"/>
  <c r="AF68" i="2165"/>
  <c r="AA30" i="2165"/>
  <c r="Z30" i="2165"/>
  <c r="Y30" i="2165"/>
  <c r="X30" i="2165"/>
  <c r="W30" i="2165"/>
  <c r="V30" i="2165"/>
  <c r="U30" i="2165"/>
  <c r="T30" i="2165"/>
  <c r="S30" i="2165"/>
  <c r="R30" i="2165"/>
  <c r="N30" i="2165"/>
  <c r="J30" i="2165"/>
  <c r="AF29" i="2165"/>
  <c r="AB29" i="2165"/>
  <c r="Q29" i="2165"/>
  <c r="P29" i="2165"/>
  <c r="AC29" i="2165" s="1"/>
  <c r="AD29" i="2165" s="1"/>
  <c r="O29" i="2165"/>
  <c r="M29" i="2165"/>
  <c r="K29" i="2165"/>
  <c r="AF28" i="2165"/>
  <c r="AB28" i="2165"/>
  <c r="Q28" i="2165"/>
  <c r="M28" i="2165"/>
  <c r="O28" i="2165"/>
  <c r="AF27" i="2165"/>
  <c r="Q27" i="2165"/>
  <c r="AB27" i="2165"/>
  <c r="AF26" i="2165"/>
  <c r="Q26" i="2165"/>
  <c r="P26" i="2165"/>
  <c r="AC26" i="2165" s="1"/>
  <c r="O26" i="2165"/>
  <c r="AB26" i="2165"/>
  <c r="AF25" i="2165"/>
  <c r="AC25" i="2165"/>
  <c r="AD25" i="2165" s="1"/>
  <c r="AB25" i="2165"/>
  <c r="Q25" i="2165"/>
  <c r="P25" i="2165"/>
  <c r="O25" i="2165"/>
  <c r="M25" i="2165"/>
  <c r="K25" i="2165"/>
  <c r="AF24" i="2165"/>
  <c r="AB24" i="2165"/>
  <c r="Q24" i="2165"/>
  <c r="P24" i="2165"/>
  <c r="AC24" i="2165" s="1"/>
  <c r="O24" i="2165"/>
  <c r="M24" i="2165"/>
  <c r="K24" i="2165"/>
  <c r="AF23" i="2165"/>
  <c r="AB23" i="2165"/>
  <c r="Q23" i="2165"/>
  <c r="P23" i="2165"/>
  <c r="AC23" i="2165" s="1"/>
  <c r="AD23" i="2165" s="1"/>
  <c r="O23" i="2165"/>
  <c r="M23" i="2165"/>
  <c r="K23" i="2165"/>
  <c r="AF22" i="2165"/>
  <c r="AB22" i="2165"/>
  <c r="Q22" i="2165"/>
  <c r="P22" i="2165"/>
  <c r="AC22" i="2165" s="1"/>
  <c r="O22" i="2165"/>
  <c r="M22" i="2165"/>
  <c r="K22" i="2165"/>
  <c r="AF21" i="2165"/>
  <c r="AB21" i="2165"/>
  <c r="Q21" i="2165"/>
  <c r="P21" i="2165"/>
  <c r="AC21" i="2165" s="1"/>
  <c r="O21" i="2165"/>
  <c r="M21" i="2165"/>
  <c r="AF20" i="2165"/>
  <c r="AB20" i="2165"/>
  <c r="Q20" i="2165"/>
  <c r="M20" i="2165"/>
  <c r="O20" i="2165"/>
  <c r="AF19" i="2165"/>
  <c r="Q19" i="2165"/>
  <c r="AF18" i="2165"/>
  <c r="Q18" i="2165"/>
  <c r="AF17" i="2165"/>
  <c r="AB17" i="2165"/>
  <c r="Q17" i="2165"/>
  <c r="P17" i="2165"/>
  <c r="AC17" i="2165" s="1"/>
  <c r="O17" i="2165"/>
  <c r="M17" i="2165"/>
  <c r="AF16" i="2165"/>
  <c r="AB16" i="2165"/>
  <c r="Q16" i="2165"/>
  <c r="M16" i="2165"/>
  <c r="O16" i="2165"/>
  <c r="AF15" i="2165"/>
  <c r="Q15" i="2165"/>
  <c r="AB15" i="2165"/>
  <c r="AF14" i="2165"/>
  <c r="AB14" i="2165"/>
  <c r="Q14" i="2165"/>
  <c r="P14" i="2165"/>
  <c r="AC14" i="2165" s="1"/>
  <c r="O14" i="2165"/>
  <c r="M14" i="2165"/>
  <c r="K14" i="2165"/>
  <c r="AF13" i="2165"/>
  <c r="AB13" i="2165"/>
  <c r="Q13" i="2165"/>
  <c r="M13" i="2165"/>
  <c r="O13" i="2165"/>
  <c r="AF12" i="2165"/>
  <c r="Q12" i="2165"/>
  <c r="AB12" i="2165"/>
  <c r="AF11" i="2165"/>
  <c r="Q11" i="2165"/>
  <c r="P11" i="2165"/>
  <c r="AC11" i="2165" s="1"/>
  <c r="O11" i="2165"/>
  <c r="AB11" i="2165"/>
  <c r="AF10" i="2165"/>
  <c r="AB10" i="2165"/>
  <c r="Q10" i="2165"/>
  <c r="P10" i="2165" s="1"/>
  <c r="AC10" i="2165" s="1"/>
  <c r="M10" i="2165"/>
  <c r="AF9" i="2165"/>
  <c r="AB9" i="2165"/>
  <c r="Q9" i="2165"/>
  <c r="M9" i="2165"/>
  <c r="O9" i="2165"/>
  <c r="AF8" i="2165"/>
  <c r="Q8" i="2165"/>
  <c r="AB8" i="2165"/>
  <c r="AF7" i="2165"/>
  <c r="AB7" i="2165"/>
  <c r="Q7" i="2165"/>
  <c r="P7" i="2165" s="1"/>
  <c r="AC7" i="2165" s="1"/>
  <c r="O7" i="2165"/>
  <c r="M7" i="2165"/>
  <c r="AF6" i="2165"/>
  <c r="AB6" i="2165"/>
  <c r="Q6" i="2165"/>
  <c r="M6" i="2165"/>
  <c r="O6" i="2165"/>
  <c r="Q30" i="2166" l="1"/>
  <c r="AD7" i="2166"/>
  <c r="AD14" i="2166"/>
  <c r="AD18" i="2166"/>
  <c r="AD11" i="2166"/>
  <c r="AD8" i="2166"/>
  <c r="AD12" i="2166"/>
  <c r="AD15" i="2166"/>
  <c r="AD19" i="2166"/>
  <c r="O6" i="2166"/>
  <c r="AC6" i="2166"/>
  <c r="M8" i="2166"/>
  <c r="O9" i="2166"/>
  <c r="AD9" i="2166" s="1"/>
  <c r="P10" i="2166"/>
  <c r="AC10" i="2166" s="1"/>
  <c r="M12" i="2166"/>
  <c r="O13" i="2166"/>
  <c r="AD13" i="2166" s="1"/>
  <c r="M15" i="2166"/>
  <c r="O16" i="2166"/>
  <c r="AD16" i="2166" s="1"/>
  <c r="K30" i="2166"/>
  <c r="P17" i="2166"/>
  <c r="AC17" i="2166" s="1"/>
  <c r="M19" i="2166"/>
  <c r="O20" i="2166"/>
  <c r="AD20" i="2166" s="1"/>
  <c r="P21" i="2166"/>
  <c r="AC21" i="2166" s="1"/>
  <c r="P26" i="2166"/>
  <c r="AC26" i="2166" s="1"/>
  <c r="P27" i="2166"/>
  <c r="AC27" i="2166" s="1"/>
  <c r="P28" i="2166"/>
  <c r="AC28" i="2166" s="1"/>
  <c r="L30" i="2166"/>
  <c r="O30" i="2166" s="1"/>
  <c r="M10" i="2166"/>
  <c r="AB10" i="2166"/>
  <c r="M17" i="2166"/>
  <c r="AB17" i="2166"/>
  <c r="M21" i="2166"/>
  <c r="AB21" i="2166"/>
  <c r="M26" i="2166"/>
  <c r="AB26" i="2166"/>
  <c r="M27" i="2166"/>
  <c r="AB27" i="2166"/>
  <c r="M28" i="2166"/>
  <c r="AB28" i="2166"/>
  <c r="M6" i="2166"/>
  <c r="M9" i="2166"/>
  <c r="M13" i="2166"/>
  <c r="M16" i="2166"/>
  <c r="M20" i="2166"/>
  <c r="AD21" i="2165"/>
  <c r="AB19" i="2165"/>
  <c r="AB30" i="2165" s="1"/>
  <c r="O18" i="2165"/>
  <c r="AB18" i="2165"/>
  <c r="AD18" i="2165" s="1"/>
  <c r="P18" i="2165"/>
  <c r="AC18" i="2165" s="1"/>
  <c r="AD10" i="2165"/>
  <c r="K10" i="2165"/>
  <c r="Q30" i="2165"/>
  <c r="AD14" i="2165"/>
  <c r="AD7" i="2165"/>
  <c r="AD17" i="2165"/>
  <c r="AD24" i="2165"/>
  <c r="AD11" i="2165"/>
  <c r="AD22" i="2165"/>
  <c r="AD26" i="2165"/>
  <c r="K30" i="2165"/>
  <c r="P6" i="2165"/>
  <c r="O8" i="2165"/>
  <c r="P9" i="2165"/>
  <c r="AC9" i="2165" s="1"/>
  <c r="AD9" i="2165" s="1"/>
  <c r="M11" i="2165"/>
  <c r="O12" i="2165"/>
  <c r="P13" i="2165"/>
  <c r="AC13" i="2165" s="1"/>
  <c r="AD13" i="2165" s="1"/>
  <c r="O15" i="2165"/>
  <c r="P16" i="2165"/>
  <c r="AC16" i="2165" s="1"/>
  <c r="AD16" i="2165" s="1"/>
  <c r="M18" i="2165"/>
  <c r="O19" i="2165"/>
  <c r="P20" i="2165"/>
  <c r="AC20" i="2165" s="1"/>
  <c r="AD20" i="2165" s="1"/>
  <c r="M26" i="2165"/>
  <c r="O27" i="2165"/>
  <c r="P28" i="2165"/>
  <c r="AC28" i="2165" s="1"/>
  <c r="AD28" i="2165" s="1"/>
  <c r="L30" i="2165"/>
  <c r="O30" i="2165" s="1"/>
  <c r="P8" i="2165"/>
  <c r="AC8" i="2165" s="1"/>
  <c r="P12" i="2165"/>
  <c r="AC12" i="2165" s="1"/>
  <c r="AD12" i="2165" s="1"/>
  <c r="P15" i="2165"/>
  <c r="AC15" i="2165" s="1"/>
  <c r="P19" i="2165"/>
  <c r="AC19" i="2165" s="1"/>
  <c r="P27" i="2165"/>
  <c r="AC27" i="2165" s="1"/>
  <c r="AD27" i="2165" s="1"/>
  <c r="M8" i="2165"/>
  <c r="M12" i="2165"/>
  <c r="M15" i="2165"/>
  <c r="M19" i="2165"/>
  <c r="M27" i="2165"/>
  <c r="AB30" i="2166" l="1"/>
  <c r="AD27" i="2166"/>
  <c r="AD21" i="2166"/>
  <c r="AD10" i="2166"/>
  <c r="AD26" i="2166"/>
  <c r="AD6" i="2166"/>
  <c r="AC30" i="2166"/>
  <c r="M30" i="2166"/>
  <c r="AD17" i="2166"/>
  <c r="P30" i="2166"/>
  <c r="AD28" i="2166"/>
  <c r="AD15" i="2165"/>
  <c r="M30" i="2165"/>
  <c r="AD8" i="2165"/>
  <c r="AD19" i="2165"/>
  <c r="AC6" i="2165"/>
  <c r="P30" i="2165"/>
  <c r="AD30" i="2166" l="1"/>
  <c r="AC30" i="2165"/>
  <c r="AD6" i="2165"/>
  <c r="AD30" i="2165" s="1"/>
  <c r="AE29" i="2166" l="1"/>
  <c r="AE24" i="2166"/>
  <c r="AE22" i="2166"/>
  <c r="AE19" i="2166"/>
  <c r="AE15" i="2166"/>
  <c r="AE12" i="2166"/>
  <c r="AE8" i="2166"/>
  <c r="AE9" i="2166"/>
  <c r="AE10" i="2166"/>
  <c r="AE20" i="2166"/>
  <c r="AE16" i="2166"/>
  <c r="AE13" i="2166"/>
  <c r="AE6" i="2166"/>
  <c r="AE28" i="2166"/>
  <c r="AE27" i="2166"/>
  <c r="AE26" i="2166"/>
  <c r="AE25" i="2166"/>
  <c r="AE23" i="2166"/>
  <c r="AE21" i="2166"/>
  <c r="AE17" i="2166"/>
  <c r="AE18" i="2166"/>
  <c r="AE14" i="2166"/>
  <c r="AE11" i="2166"/>
  <c r="AE7" i="2166"/>
  <c r="AE29" i="2165"/>
  <c r="AE26" i="2165"/>
  <c r="AE18" i="2165"/>
  <c r="AE14" i="2165"/>
  <c r="AE11" i="2165"/>
  <c r="AE7" i="2165"/>
  <c r="AE24" i="2165"/>
  <c r="AE19" i="2165"/>
  <c r="AE27" i="2165"/>
  <c r="AE22" i="2165"/>
  <c r="AE8" i="2165"/>
  <c r="AE28" i="2165"/>
  <c r="AE20" i="2165"/>
  <c r="AE16" i="2165"/>
  <c r="AE13" i="2165"/>
  <c r="AE9" i="2165"/>
  <c r="AE6" i="2165"/>
  <c r="AE25" i="2165"/>
  <c r="AE23" i="2165"/>
  <c r="AE21" i="2165"/>
  <c r="AE17" i="2165"/>
  <c r="AE10" i="2165"/>
  <c r="AE15" i="2165"/>
  <c r="AE12" i="2165"/>
  <c r="H27" i="16" l="1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2164"/>
  <c r="L20" i="2164"/>
  <c r="K20" i="2164" s="1"/>
  <c r="L19" i="2164"/>
  <c r="L18" i="2164"/>
  <c r="L17" i="2164"/>
  <c r="L16" i="2164"/>
  <c r="L15" i="2164"/>
  <c r="K15" i="2164" s="1"/>
  <c r="L13" i="2164"/>
  <c r="L12" i="2164"/>
  <c r="L11" i="2164"/>
  <c r="L10" i="2164"/>
  <c r="K10" i="2164" s="1"/>
  <c r="L9" i="2164"/>
  <c r="K9" i="2164" s="1"/>
  <c r="L8" i="2164"/>
  <c r="K8" i="2164" s="1"/>
  <c r="L6" i="2164"/>
  <c r="AB6" i="2164" s="1"/>
  <c r="L28" i="2164"/>
  <c r="M28" i="2164" s="1"/>
  <c r="L27" i="2164"/>
  <c r="K27" i="2164" s="1"/>
  <c r="L26" i="2164"/>
  <c r="K26" i="2164"/>
  <c r="K21" i="2164"/>
  <c r="K19" i="2164"/>
  <c r="K18" i="2164"/>
  <c r="K17" i="2164"/>
  <c r="K16" i="2164"/>
  <c r="K13" i="2164"/>
  <c r="K12" i="2164"/>
  <c r="K11" i="2164"/>
  <c r="A85" i="2164"/>
  <c r="A86" i="2164" s="1"/>
  <c r="A87" i="2164" s="1"/>
  <c r="A88" i="2164" s="1"/>
  <c r="A89" i="2164" s="1"/>
  <c r="A90" i="2164" s="1"/>
  <c r="AF71" i="2164"/>
  <c r="AF69" i="2164"/>
  <c r="AF68" i="2164"/>
  <c r="AA30" i="2164"/>
  <c r="Z30" i="2164"/>
  <c r="Y30" i="2164"/>
  <c r="X30" i="2164"/>
  <c r="W30" i="2164"/>
  <c r="V30" i="2164"/>
  <c r="U30" i="2164"/>
  <c r="T30" i="2164"/>
  <c r="S30" i="2164"/>
  <c r="R30" i="2164"/>
  <c r="N30" i="2164"/>
  <c r="J30" i="2164"/>
  <c r="I30" i="2164"/>
  <c r="AF29" i="2164"/>
  <c r="AB29" i="2164"/>
  <c r="Q29" i="2164"/>
  <c r="P29" i="2164"/>
  <c r="AC29" i="2164" s="1"/>
  <c r="AD29" i="2164" s="1"/>
  <c r="O29" i="2164"/>
  <c r="M29" i="2164"/>
  <c r="K29" i="2164"/>
  <c r="AF28" i="2164"/>
  <c r="AB28" i="2164"/>
  <c r="Q28" i="2164"/>
  <c r="AF27" i="2164"/>
  <c r="Q27" i="2164"/>
  <c r="AB27" i="2164"/>
  <c r="AF26" i="2164"/>
  <c r="Q26" i="2164"/>
  <c r="P26" i="2164"/>
  <c r="AC26" i="2164" s="1"/>
  <c r="O26" i="2164"/>
  <c r="AB26" i="2164"/>
  <c r="AF25" i="2164"/>
  <c r="AC25" i="2164"/>
  <c r="AD25" i="2164" s="1"/>
  <c r="AB25" i="2164"/>
  <c r="Q25" i="2164"/>
  <c r="P25" i="2164"/>
  <c r="O25" i="2164"/>
  <c r="M25" i="2164"/>
  <c r="K25" i="2164"/>
  <c r="AF24" i="2164"/>
  <c r="AB24" i="2164"/>
  <c r="Q24" i="2164"/>
  <c r="P24" i="2164"/>
  <c r="AC24" i="2164" s="1"/>
  <c r="AD24" i="2164" s="1"/>
  <c r="O24" i="2164"/>
  <c r="M24" i="2164"/>
  <c r="K24" i="2164"/>
  <c r="AF23" i="2164"/>
  <c r="AC23" i="2164"/>
  <c r="AD23" i="2164" s="1"/>
  <c r="AB23" i="2164"/>
  <c r="Q23" i="2164"/>
  <c r="P23" i="2164"/>
  <c r="O23" i="2164"/>
  <c r="M23" i="2164"/>
  <c r="K23" i="2164"/>
  <c r="AF22" i="2164"/>
  <c r="AB22" i="2164"/>
  <c r="Q22" i="2164"/>
  <c r="P22" i="2164"/>
  <c r="AC22" i="2164" s="1"/>
  <c r="AD22" i="2164" s="1"/>
  <c r="O22" i="2164"/>
  <c r="M22" i="2164"/>
  <c r="K22" i="2164"/>
  <c r="AF21" i="2164"/>
  <c r="AB21" i="2164"/>
  <c r="Q21" i="2164"/>
  <c r="P21" i="2164" s="1"/>
  <c r="AC21" i="2164" s="1"/>
  <c r="O21" i="2164"/>
  <c r="M21" i="2164"/>
  <c r="AF20" i="2164"/>
  <c r="Q20" i="2164"/>
  <c r="AF19" i="2164"/>
  <c r="Q19" i="2164"/>
  <c r="P19" i="2164"/>
  <c r="AC19" i="2164" s="1"/>
  <c r="AB19" i="2164"/>
  <c r="AF18" i="2164"/>
  <c r="Q18" i="2164"/>
  <c r="P18" i="2164"/>
  <c r="AC18" i="2164" s="1"/>
  <c r="O18" i="2164"/>
  <c r="AB18" i="2164"/>
  <c r="AF17" i="2164"/>
  <c r="AB17" i="2164"/>
  <c r="Q17" i="2164"/>
  <c r="O17" i="2164"/>
  <c r="M17" i="2164"/>
  <c r="P17" i="2164"/>
  <c r="AC17" i="2164" s="1"/>
  <c r="AD17" i="2164" s="1"/>
  <c r="AF16" i="2164"/>
  <c r="Q16" i="2164"/>
  <c r="O16" i="2164"/>
  <c r="AF15" i="2164"/>
  <c r="Q15" i="2164"/>
  <c r="P15" i="2164"/>
  <c r="AC15" i="2164" s="1"/>
  <c r="AB15" i="2164"/>
  <c r="AF14" i="2164"/>
  <c r="AC14" i="2164"/>
  <c r="AD14" i="2164" s="1"/>
  <c r="AB14" i="2164"/>
  <c r="Q14" i="2164"/>
  <c r="P14" i="2164"/>
  <c r="O14" i="2164"/>
  <c r="M14" i="2164"/>
  <c r="K14" i="2164"/>
  <c r="AF13" i="2164"/>
  <c r="Q13" i="2164"/>
  <c r="O13" i="2164"/>
  <c r="AF12" i="2164"/>
  <c r="Q12" i="2164"/>
  <c r="P12" i="2164" s="1"/>
  <c r="AC12" i="2164" s="1"/>
  <c r="AB12" i="2164"/>
  <c r="AF11" i="2164"/>
  <c r="Q11" i="2164"/>
  <c r="P11" i="2164" s="1"/>
  <c r="AC11" i="2164" s="1"/>
  <c r="O11" i="2164"/>
  <c r="AB11" i="2164"/>
  <c r="AF10" i="2164"/>
  <c r="AB10" i="2164"/>
  <c r="Q10" i="2164"/>
  <c r="P10" i="2164" s="1"/>
  <c r="AC10" i="2164" s="1"/>
  <c r="O10" i="2164"/>
  <c r="M10" i="2164"/>
  <c r="AF9" i="2164"/>
  <c r="Q9" i="2164"/>
  <c r="O9" i="2164"/>
  <c r="AF8" i="2164"/>
  <c r="Q8" i="2164"/>
  <c r="AB8" i="2164"/>
  <c r="AF7" i="2164"/>
  <c r="AC7" i="2164"/>
  <c r="AD7" i="2164" s="1"/>
  <c r="AB7" i="2164"/>
  <c r="Q7" i="2164"/>
  <c r="P7" i="2164"/>
  <c r="O7" i="2164"/>
  <c r="M7" i="2164"/>
  <c r="K7" i="2164"/>
  <c r="AF6" i="2164"/>
  <c r="Q6" i="2164"/>
  <c r="O6" i="2164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2163"/>
  <c r="L20" i="2163"/>
  <c r="L19" i="2163"/>
  <c r="K19" i="2163" s="1"/>
  <c r="L18" i="2163"/>
  <c r="K18" i="2163" s="1"/>
  <c r="AF18" i="2163"/>
  <c r="Q18" i="2163"/>
  <c r="O18" i="2163"/>
  <c r="AB18" i="2163"/>
  <c r="L17" i="2163"/>
  <c r="K17" i="2163" s="1"/>
  <c r="L16" i="2163"/>
  <c r="L15" i="2163"/>
  <c r="K15" i="2163" s="1"/>
  <c r="L13" i="2163"/>
  <c r="K13" i="2163" s="1"/>
  <c r="L12" i="2163"/>
  <c r="K12" i="2163" s="1"/>
  <c r="L11" i="2163"/>
  <c r="K11" i="2163" s="1"/>
  <c r="L10" i="2163"/>
  <c r="L9" i="2163"/>
  <c r="K9" i="2163" s="1"/>
  <c r="L8" i="2163"/>
  <c r="K8" i="2163" s="1"/>
  <c r="L28" i="2163"/>
  <c r="L27" i="2163"/>
  <c r="L26" i="2163"/>
  <c r="K26" i="2163"/>
  <c r="K20" i="2163"/>
  <c r="A86" i="2163"/>
  <c r="A87" i="2163" s="1"/>
  <c r="A88" i="2163" s="1"/>
  <c r="A89" i="2163" s="1"/>
  <c r="A90" i="2163" s="1"/>
  <c r="A85" i="2163"/>
  <c r="AF69" i="2163"/>
  <c r="AF68" i="2163"/>
  <c r="AF71" i="2163" s="1"/>
  <c r="AA30" i="2163"/>
  <c r="Z30" i="2163"/>
  <c r="Y30" i="2163"/>
  <c r="X30" i="2163"/>
  <c r="W30" i="2163"/>
  <c r="V30" i="2163"/>
  <c r="U30" i="2163"/>
  <c r="T30" i="2163"/>
  <c r="S30" i="2163"/>
  <c r="R30" i="2163"/>
  <c r="N30" i="2163"/>
  <c r="J30" i="2163"/>
  <c r="I30" i="2163"/>
  <c r="AF29" i="2163"/>
  <c r="AB29" i="2163"/>
  <c r="Q29" i="2163"/>
  <c r="P29" i="2163"/>
  <c r="AC29" i="2163" s="1"/>
  <c r="AD29" i="2163" s="1"/>
  <c r="O29" i="2163"/>
  <c r="M29" i="2163"/>
  <c r="K29" i="2163"/>
  <c r="AF28" i="2163"/>
  <c r="AB28" i="2163"/>
  <c r="Q28" i="2163"/>
  <c r="P28" i="2163" s="1"/>
  <c r="AC28" i="2163" s="1"/>
  <c r="AD28" i="2163" s="1"/>
  <c r="O28" i="2163"/>
  <c r="M28" i="2163"/>
  <c r="K28" i="2163"/>
  <c r="AF27" i="2163"/>
  <c r="Q27" i="2163"/>
  <c r="AF26" i="2163"/>
  <c r="AB26" i="2163"/>
  <c r="Q26" i="2163"/>
  <c r="P26" i="2163" s="1"/>
  <c r="AC26" i="2163" s="1"/>
  <c r="O26" i="2163"/>
  <c r="M26" i="2163"/>
  <c r="AF25" i="2163"/>
  <c r="AB25" i="2163"/>
  <c r="Q25" i="2163"/>
  <c r="P25" i="2163"/>
  <c r="AC25" i="2163" s="1"/>
  <c r="AD25" i="2163" s="1"/>
  <c r="O25" i="2163"/>
  <c r="M25" i="2163"/>
  <c r="K25" i="2163"/>
  <c r="AF24" i="2163"/>
  <c r="AC24" i="2163"/>
  <c r="AD24" i="2163" s="1"/>
  <c r="AB24" i="2163"/>
  <c r="Q24" i="2163"/>
  <c r="P24" i="2163"/>
  <c r="O24" i="2163"/>
  <c r="M24" i="2163"/>
  <c r="K24" i="2163"/>
  <c r="AF23" i="2163"/>
  <c r="AB23" i="2163"/>
  <c r="Q23" i="2163"/>
  <c r="P23" i="2163"/>
  <c r="AC23" i="2163" s="1"/>
  <c r="AD23" i="2163" s="1"/>
  <c r="O23" i="2163"/>
  <c r="M23" i="2163"/>
  <c r="K23" i="2163"/>
  <c r="AF22" i="2163"/>
  <c r="AC22" i="2163"/>
  <c r="AD22" i="2163" s="1"/>
  <c r="AB22" i="2163"/>
  <c r="Q22" i="2163"/>
  <c r="P22" i="2163"/>
  <c r="O22" i="2163"/>
  <c r="M22" i="2163"/>
  <c r="K22" i="2163"/>
  <c r="AF21" i="2163"/>
  <c r="AB21" i="2163"/>
  <c r="Q21" i="2163"/>
  <c r="P21" i="2163" s="1"/>
  <c r="AC21" i="2163" s="1"/>
  <c r="O21" i="2163"/>
  <c r="M21" i="2163"/>
  <c r="K21" i="2163"/>
  <c r="AF20" i="2163"/>
  <c r="AB20" i="2163"/>
  <c r="Q20" i="2163"/>
  <c r="P20" i="2163"/>
  <c r="AC20" i="2163" s="1"/>
  <c r="O20" i="2163"/>
  <c r="M20" i="2163"/>
  <c r="AF19" i="2163"/>
  <c r="AB19" i="2163"/>
  <c r="Q19" i="2163"/>
  <c r="P19" i="2163"/>
  <c r="AC19" i="2163" s="1"/>
  <c r="O19" i="2163"/>
  <c r="M19" i="2163"/>
  <c r="AF17" i="2163"/>
  <c r="AB17" i="2163"/>
  <c r="Q17" i="2163"/>
  <c r="P17" i="2163" s="1"/>
  <c r="AC17" i="2163" s="1"/>
  <c r="O17" i="2163"/>
  <c r="M17" i="2163"/>
  <c r="AF16" i="2163"/>
  <c r="AB16" i="2163"/>
  <c r="Q16" i="2163"/>
  <c r="P16" i="2163"/>
  <c r="AC16" i="2163" s="1"/>
  <c r="O16" i="2163"/>
  <c r="M16" i="2163"/>
  <c r="K16" i="2163"/>
  <c r="AF15" i="2163"/>
  <c r="AB15" i="2163"/>
  <c r="Q15" i="2163"/>
  <c r="O15" i="2163"/>
  <c r="M15" i="2163"/>
  <c r="AF14" i="2163"/>
  <c r="AB14" i="2163"/>
  <c r="Q14" i="2163"/>
  <c r="P14" i="2163"/>
  <c r="AC14" i="2163" s="1"/>
  <c r="AD14" i="2163" s="1"/>
  <c r="O14" i="2163"/>
  <c r="M14" i="2163"/>
  <c r="K14" i="2163"/>
  <c r="AF13" i="2163"/>
  <c r="AB13" i="2163"/>
  <c r="Q13" i="2163"/>
  <c r="P13" i="2163" s="1"/>
  <c r="AC13" i="2163" s="1"/>
  <c r="O13" i="2163"/>
  <c r="M13" i="2163"/>
  <c r="AF12" i="2163"/>
  <c r="AB12" i="2163"/>
  <c r="Q12" i="2163"/>
  <c r="P12" i="2163"/>
  <c r="AC12" i="2163" s="1"/>
  <c r="O12" i="2163"/>
  <c r="M12" i="2163"/>
  <c r="AF11" i="2163"/>
  <c r="Q11" i="2163"/>
  <c r="O11" i="2163"/>
  <c r="AF10" i="2163"/>
  <c r="Q10" i="2163"/>
  <c r="AF9" i="2163"/>
  <c r="Q9" i="2163"/>
  <c r="M9" i="2163"/>
  <c r="AF8" i="2163"/>
  <c r="Q8" i="2163"/>
  <c r="AF7" i="2163"/>
  <c r="AB7" i="2163"/>
  <c r="Q7" i="2163"/>
  <c r="P7" i="2163"/>
  <c r="AC7" i="2163" s="1"/>
  <c r="AD7" i="2163" s="1"/>
  <c r="O7" i="2163"/>
  <c r="M7" i="2163"/>
  <c r="K7" i="2163"/>
  <c r="AF6" i="2163"/>
  <c r="AC6" i="2163"/>
  <c r="AB6" i="2163"/>
  <c r="Q6" i="2163"/>
  <c r="P6" i="2163"/>
  <c r="O6" i="2163"/>
  <c r="M6" i="2163"/>
  <c r="K6" i="2163"/>
  <c r="AD21" i="2164" l="1"/>
  <c r="O20" i="2164"/>
  <c r="Q30" i="2164"/>
  <c r="P8" i="2164"/>
  <c r="AC8" i="2164" s="1"/>
  <c r="P6" i="2164"/>
  <c r="AC6" i="2164" s="1"/>
  <c r="AD6" i="2164" s="1"/>
  <c r="K6" i="2164"/>
  <c r="M6" i="2164"/>
  <c r="K28" i="2164"/>
  <c r="O28" i="2164"/>
  <c r="AD10" i="2164"/>
  <c r="AD11" i="2164"/>
  <c r="AD26" i="2164"/>
  <c r="AD18" i="2164"/>
  <c r="AB9" i="2164"/>
  <c r="M13" i="2164"/>
  <c r="M16" i="2164"/>
  <c r="AB20" i="2164"/>
  <c r="O8" i="2164"/>
  <c r="K30" i="2164"/>
  <c r="P9" i="2164"/>
  <c r="AC9" i="2164" s="1"/>
  <c r="AD9" i="2164" s="1"/>
  <c r="M11" i="2164"/>
  <c r="O12" i="2164"/>
  <c r="AD12" i="2164" s="1"/>
  <c r="P13" i="2164"/>
  <c r="AC13" i="2164" s="1"/>
  <c r="O15" i="2164"/>
  <c r="AD15" i="2164" s="1"/>
  <c r="P16" i="2164"/>
  <c r="AC16" i="2164" s="1"/>
  <c r="M18" i="2164"/>
  <c r="O19" i="2164"/>
  <c r="AD19" i="2164" s="1"/>
  <c r="P20" i="2164"/>
  <c r="AC20" i="2164" s="1"/>
  <c r="M26" i="2164"/>
  <c r="O27" i="2164"/>
  <c r="P28" i="2164"/>
  <c r="AC28" i="2164" s="1"/>
  <c r="AD28" i="2164" s="1"/>
  <c r="L30" i="2164"/>
  <c r="O30" i="2164" s="1"/>
  <c r="P27" i="2164"/>
  <c r="AC27" i="2164" s="1"/>
  <c r="M9" i="2164"/>
  <c r="AB13" i="2164"/>
  <c r="AB16" i="2164"/>
  <c r="M20" i="2164"/>
  <c r="M8" i="2164"/>
  <c r="M12" i="2164"/>
  <c r="M15" i="2164"/>
  <c r="M19" i="2164"/>
  <c r="M27" i="2164"/>
  <c r="AD21" i="2163"/>
  <c r="AD20" i="2163"/>
  <c r="AD19" i="2163"/>
  <c r="P18" i="2163"/>
  <c r="AC18" i="2163" s="1"/>
  <c r="AD18" i="2163" s="1"/>
  <c r="M18" i="2163"/>
  <c r="AD16" i="2163"/>
  <c r="P15" i="2163"/>
  <c r="AC15" i="2163" s="1"/>
  <c r="AD15" i="2163" s="1"/>
  <c r="AD13" i="2163"/>
  <c r="AD12" i="2163"/>
  <c r="P11" i="2163"/>
  <c r="AC11" i="2163" s="1"/>
  <c r="P10" i="2163"/>
  <c r="AC10" i="2163" s="1"/>
  <c r="AB10" i="2163"/>
  <c r="K10" i="2163"/>
  <c r="M10" i="2163"/>
  <c r="O10" i="2163"/>
  <c r="O9" i="2163"/>
  <c r="P9" i="2163"/>
  <c r="AC9" i="2163" s="1"/>
  <c r="AB9" i="2163"/>
  <c r="P8" i="2163"/>
  <c r="AC8" i="2163" s="1"/>
  <c r="Q30" i="2163"/>
  <c r="P27" i="2163"/>
  <c r="AC27" i="2163" s="1"/>
  <c r="AD27" i="2163" s="1"/>
  <c r="AB27" i="2163"/>
  <c r="M27" i="2163"/>
  <c r="K27" i="2163"/>
  <c r="O27" i="2163"/>
  <c r="AD26" i="2163"/>
  <c r="AD17" i="2163"/>
  <c r="AB8" i="2163"/>
  <c r="AD6" i="2163"/>
  <c r="O8" i="2163"/>
  <c r="M11" i="2163"/>
  <c r="AB11" i="2163"/>
  <c r="M8" i="2163"/>
  <c r="L30" i="2163"/>
  <c r="O30" i="2163" s="1"/>
  <c r="K30" i="2163"/>
  <c r="AB30" i="2164" l="1"/>
  <c r="AD8" i="2164"/>
  <c r="P30" i="2164"/>
  <c r="M30" i="2164"/>
  <c r="AD13" i="2164"/>
  <c r="AD27" i="2164"/>
  <c r="AD20" i="2164"/>
  <c r="AD16" i="2164"/>
  <c r="AC30" i="2164"/>
  <c r="AC30" i="2163"/>
  <c r="AD11" i="2163"/>
  <c r="AD30" i="2163" s="1"/>
  <c r="AE18" i="2163" s="1"/>
  <c r="AD10" i="2163"/>
  <c r="AD9" i="2163"/>
  <c r="AD8" i="2163"/>
  <c r="P30" i="2163"/>
  <c r="AB30" i="2163"/>
  <c r="M30" i="2163"/>
  <c r="AD30" i="2164" l="1"/>
  <c r="AE29" i="2164" s="1"/>
  <c r="AE27" i="2163"/>
  <c r="AE8" i="2163"/>
  <c r="AE19" i="2163"/>
  <c r="AE16" i="2163"/>
  <c r="AE14" i="2163"/>
  <c r="AE12" i="2163"/>
  <c r="AE9" i="2163"/>
  <c r="AE6" i="2163"/>
  <c r="AE15" i="2163"/>
  <c r="AE11" i="2163"/>
  <c r="AE7" i="2163"/>
  <c r="AE29" i="2163"/>
  <c r="AE25" i="2163"/>
  <c r="AE23" i="2163"/>
  <c r="AE21" i="2163"/>
  <c r="AE28" i="2163"/>
  <c r="AE26" i="2163"/>
  <c r="AE24" i="2163"/>
  <c r="AE22" i="2163"/>
  <c r="AE20" i="2163"/>
  <c r="AE17" i="2163"/>
  <c r="AE10" i="2163"/>
  <c r="AE13" i="2163"/>
  <c r="AE27" i="2164" l="1"/>
  <c r="AE22" i="2164"/>
  <c r="AE16" i="2164"/>
  <c r="AE25" i="2164"/>
  <c r="AE12" i="2164"/>
  <c r="AE7" i="2164"/>
  <c r="AE26" i="2164"/>
  <c r="AE9" i="2164"/>
  <c r="AE24" i="2164"/>
  <c r="AE21" i="2164"/>
  <c r="AE28" i="2164"/>
  <c r="AE19" i="2164"/>
  <c r="AE14" i="2164"/>
  <c r="AE13" i="2164"/>
  <c r="AE23" i="2164"/>
  <c r="AE6" i="2164"/>
  <c r="AE18" i="2164"/>
  <c r="AE10" i="2164"/>
  <c r="AE8" i="2164"/>
  <c r="AE17" i="2164"/>
  <c r="AE20" i="2164"/>
  <c r="AE15" i="2164"/>
  <c r="AE11" i="2164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2162"/>
  <c r="AB20" i="2162" s="1"/>
  <c r="K19" i="2162"/>
  <c r="L18" i="2162"/>
  <c r="AB18" i="2162" s="1"/>
  <c r="L17" i="2162"/>
  <c r="L11" i="2162"/>
  <c r="L10" i="2162"/>
  <c r="L9" i="2162"/>
  <c r="O9" i="2162" s="1"/>
  <c r="L8" i="2162"/>
  <c r="K21" i="2162"/>
  <c r="K20" i="2162"/>
  <c r="K18" i="2162"/>
  <c r="K17" i="2162"/>
  <c r="K16" i="2162"/>
  <c r="K15" i="2162"/>
  <c r="K13" i="2162"/>
  <c r="K12" i="2162"/>
  <c r="K11" i="2162"/>
  <c r="K10" i="2162"/>
  <c r="K9" i="2162"/>
  <c r="K8" i="2162"/>
  <c r="A85" i="2162"/>
  <c r="A86" i="2162" s="1"/>
  <c r="A87" i="2162" s="1"/>
  <c r="A88" i="2162" s="1"/>
  <c r="A89" i="2162" s="1"/>
  <c r="A90" i="2162" s="1"/>
  <c r="AF69" i="2162"/>
  <c r="AF68" i="2162"/>
  <c r="AF71" i="2162" s="1"/>
  <c r="AA30" i="2162"/>
  <c r="Z30" i="2162"/>
  <c r="Y30" i="2162"/>
  <c r="X30" i="2162"/>
  <c r="W30" i="2162"/>
  <c r="V30" i="2162"/>
  <c r="U30" i="2162"/>
  <c r="T30" i="2162"/>
  <c r="S30" i="2162"/>
  <c r="R30" i="2162"/>
  <c r="N30" i="2162"/>
  <c r="J30" i="2162"/>
  <c r="I30" i="2162"/>
  <c r="AF29" i="2162"/>
  <c r="AB29" i="2162"/>
  <c r="Q29" i="2162"/>
  <c r="P29" i="2162"/>
  <c r="AC29" i="2162" s="1"/>
  <c r="AD29" i="2162" s="1"/>
  <c r="O29" i="2162"/>
  <c r="M29" i="2162"/>
  <c r="K29" i="2162"/>
  <c r="AF28" i="2162"/>
  <c r="AB28" i="2162"/>
  <c r="Q28" i="2162"/>
  <c r="P28" i="2162"/>
  <c r="AC28" i="2162" s="1"/>
  <c r="AD28" i="2162" s="1"/>
  <c r="O28" i="2162"/>
  <c r="M28" i="2162"/>
  <c r="K28" i="2162"/>
  <c r="AF27" i="2162"/>
  <c r="AC27" i="2162"/>
  <c r="AD27" i="2162" s="1"/>
  <c r="AB27" i="2162"/>
  <c r="Q27" i="2162"/>
  <c r="P27" i="2162"/>
  <c r="O27" i="2162"/>
  <c r="M27" i="2162"/>
  <c r="K27" i="2162"/>
  <c r="AF26" i="2162"/>
  <c r="AC26" i="2162"/>
  <c r="AD26" i="2162" s="1"/>
  <c r="AB26" i="2162"/>
  <c r="Q26" i="2162"/>
  <c r="P26" i="2162"/>
  <c r="O26" i="2162"/>
  <c r="M26" i="2162"/>
  <c r="K26" i="2162"/>
  <c r="AF25" i="2162"/>
  <c r="AC25" i="2162"/>
  <c r="AD25" i="2162" s="1"/>
  <c r="AB25" i="2162"/>
  <c r="Q25" i="2162"/>
  <c r="P25" i="2162"/>
  <c r="O25" i="2162"/>
  <c r="M25" i="2162"/>
  <c r="K25" i="2162"/>
  <c r="AF24" i="2162"/>
  <c r="AC24" i="2162"/>
  <c r="AD24" i="2162" s="1"/>
  <c r="AB24" i="2162"/>
  <c r="Q24" i="2162"/>
  <c r="P24" i="2162"/>
  <c r="O24" i="2162"/>
  <c r="M24" i="2162"/>
  <c r="K24" i="2162"/>
  <c r="AF23" i="2162"/>
  <c r="AC23" i="2162"/>
  <c r="AD23" i="2162" s="1"/>
  <c r="AB23" i="2162"/>
  <c r="Q23" i="2162"/>
  <c r="P23" i="2162"/>
  <c r="O23" i="2162"/>
  <c r="M23" i="2162"/>
  <c r="K23" i="2162"/>
  <c r="AF22" i="2162"/>
  <c r="AC22" i="2162"/>
  <c r="AD22" i="2162" s="1"/>
  <c r="AB22" i="2162"/>
  <c r="Q22" i="2162"/>
  <c r="P22" i="2162"/>
  <c r="O22" i="2162"/>
  <c r="M22" i="2162"/>
  <c r="K22" i="2162"/>
  <c r="AF21" i="2162"/>
  <c r="Q21" i="2162"/>
  <c r="O21" i="2162"/>
  <c r="P21" i="2162"/>
  <c r="AC21" i="2162" s="1"/>
  <c r="AF20" i="2162"/>
  <c r="Q20" i="2162"/>
  <c r="P20" i="2162" s="1"/>
  <c r="AC20" i="2162" s="1"/>
  <c r="O20" i="2162"/>
  <c r="AF19" i="2162"/>
  <c r="Q19" i="2162"/>
  <c r="O19" i="2162"/>
  <c r="AF18" i="2162"/>
  <c r="Q18" i="2162"/>
  <c r="P18" i="2162"/>
  <c r="AC18" i="2162" s="1"/>
  <c r="M18" i="2162"/>
  <c r="AF17" i="2162"/>
  <c r="Q17" i="2162"/>
  <c r="O17" i="2162"/>
  <c r="P17" i="2162"/>
  <c r="AC17" i="2162" s="1"/>
  <c r="AF16" i="2162"/>
  <c r="AB16" i="2162"/>
  <c r="Q16" i="2162"/>
  <c r="P16" i="2162"/>
  <c r="AC16" i="2162" s="1"/>
  <c r="O16" i="2162"/>
  <c r="M16" i="2162"/>
  <c r="AF15" i="2162"/>
  <c r="Q15" i="2162"/>
  <c r="AB15" i="2162"/>
  <c r="AF14" i="2162"/>
  <c r="AB14" i="2162"/>
  <c r="Q14" i="2162"/>
  <c r="P14" i="2162"/>
  <c r="AC14" i="2162" s="1"/>
  <c r="AD14" i="2162" s="1"/>
  <c r="O14" i="2162"/>
  <c r="M14" i="2162"/>
  <c r="K14" i="2162"/>
  <c r="AF13" i="2162"/>
  <c r="AB13" i="2162"/>
  <c r="Q13" i="2162"/>
  <c r="P13" i="2162"/>
  <c r="AC13" i="2162" s="1"/>
  <c r="O13" i="2162"/>
  <c r="M13" i="2162"/>
  <c r="AF12" i="2162"/>
  <c r="Q12" i="2162"/>
  <c r="AB12" i="2162"/>
  <c r="AF11" i="2162"/>
  <c r="AB11" i="2162"/>
  <c r="Q11" i="2162"/>
  <c r="O11" i="2162"/>
  <c r="AF10" i="2162"/>
  <c r="Q10" i="2162"/>
  <c r="O10" i="2162"/>
  <c r="AF9" i="2162"/>
  <c r="AB9" i="2162"/>
  <c r="Q9" i="2162"/>
  <c r="P9" i="2162" s="1"/>
  <c r="AC9" i="2162" s="1"/>
  <c r="M9" i="2162"/>
  <c r="AF8" i="2162"/>
  <c r="Q8" i="2162"/>
  <c r="AB8" i="2162"/>
  <c r="AF7" i="2162"/>
  <c r="AB7" i="2162"/>
  <c r="Q7" i="2162"/>
  <c r="P7" i="2162"/>
  <c r="AC7" i="2162" s="1"/>
  <c r="O7" i="2162"/>
  <c r="M7" i="2162"/>
  <c r="K7" i="2162"/>
  <c r="AF6" i="2162"/>
  <c r="AB6" i="2162"/>
  <c r="Q6" i="2162"/>
  <c r="P6" i="2162"/>
  <c r="AC6" i="2162" s="1"/>
  <c r="O6" i="2162"/>
  <c r="M6" i="2162"/>
  <c r="K6" i="2162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2161"/>
  <c r="L20" i="2161"/>
  <c r="L19" i="2161"/>
  <c r="K19" i="2161" s="1"/>
  <c r="L18" i="2161"/>
  <c r="K18" i="2161" s="1"/>
  <c r="L17" i="2161"/>
  <c r="L16" i="2161"/>
  <c r="L15" i="2161"/>
  <c r="L13" i="2161"/>
  <c r="L12" i="2161"/>
  <c r="L11" i="2161"/>
  <c r="L10" i="2161"/>
  <c r="K10" i="2161" s="1"/>
  <c r="AD20" i="2162" l="1"/>
  <c r="M20" i="2162"/>
  <c r="O18" i="2162"/>
  <c r="AD18" i="2162" s="1"/>
  <c r="P11" i="2162"/>
  <c r="AC11" i="2162" s="1"/>
  <c r="AD11" i="2162" s="1"/>
  <c r="M11" i="2162"/>
  <c r="P10" i="2162"/>
  <c r="AC10" i="2162" s="1"/>
  <c r="Q30" i="2162"/>
  <c r="AD7" i="2162"/>
  <c r="AD13" i="2162"/>
  <c r="AD16" i="2162"/>
  <c r="AD9" i="2162"/>
  <c r="AD6" i="2162"/>
  <c r="O8" i="2162"/>
  <c r="O12" i="2162"/>
  <c r="O15" i="2162"/>
  <c r="K30" i="2162"/>
  <c r="P8" i="2162"/>
  <c r="AC8" i="2162" s="1"/>
  <c r="AD8" i="2162" s="1"/>
  <c r="M10" i="2162"/>
  <c r="AB10" i="2162"/>
  <c r="P12" i="2162"/>
  <c r="AC12" i="2162" s="1"/>
  <c r="P15" i="2162"/>
  <c r="AC15" i="2162" s="1"/>
  <c r="M17" i="2162"/>
  <c r="AB17" i="2162"/>
  <c r="AD17" i="2162" s="1"/>
  <c r="P19" i="2162"/>
  <c r="AC19" i="2162" s="1"/>
  <c r="M21" i="2162"/>
  <c r="AB21" i="2162"/>
  <c r="AD21" i="2162" s="1"/>
  <c r="L30" i="2162"/>
  <c r="O30" i="2162" s="1"/>
  <c r="M8" i="2162"/>
  <c r="M12" i="2162"/>
  <c r="M15" i="2162"/>
  <c r="M19" i="2162"/>
  <c r="AB19" i="2162"/>
  <c r="L9" i="2161"/>
  <c r="L8" i="2161"/>
  <c r="AD10" i="2162" l="1"/>
  <c r="AD15" i="2162"/>
  <c r="M30" i="2162"/>
  <c r="AD12" i="2162"/>
  <c r="AC30" i="2162"/>
  <c r="AB30" i="2162"/>
  <c r="P30" i="2162"/>
  <c r="AD19" i="2162"/>
  <c r="K21" i="2161"/>
  <c r="K20" i="2161"/>
  <c r="K17" i="2161"/>
  <c r="K16" i="2161"/>
  <c r="K15" i="2161"/>
  <c r="K13" i="2161"/>
  <c r="K12" i="2161"/>
  <c r="K11" i="2161"/>
  <c r="K9" i="2161"/>
  <c r="K8" i="2161"/>
  <c r="A85" i="2161"/>
  <c r="A86" i="2161" s="1"/>
  <c r="A87" i="2161" s="1"/>
  <c r="A88" i="2161" s="1"/>
  <c r="A89" i="2161" s="1"/>
  <c r="A90" i="2161" s="1"/>
  <c r="AF71" i="2161"/>
  <c r="AF69" i="2161"/>
  <c r="AF68" i="2161"/>
  <c r="AA30" i="2161"/>
  <c r="Z30" i="2161"/>
  <c r="Y30" i="2161"/>
  <c r="X30" i="2161"/>
  <c r="W30" i="2161"/>
  <c r="V30" i="2161"/>
  <c r="U30" i="2161"/>
  <c r="T30" i="2161"/>
  <c r="S30" i="2161"/>
  <c r="R30" i="2161"/>
  <c r="N30" i="2161"/>
  <c r="J30" i="2161"/>
  <c r="I30" i="2161"/>
  <c r="AF29" i="2161"/>
  <c r="AB29" i="2161"/>
  <c r="Q29" i="2161"/>
  <c r="P29" i="2161"/>
  <c r="AC29" i="2161" s="1"/>
  <c r="AD29" i="2161" s="1"/>
  <c r="O29" i="2161"/>
  <c r="M29" i="2161"/>
  <c r="K29" i="2161"/>
  <c r="AF28" i="2161"/>
  <c r="AB28" i="2161"/>
  <c r="Q28" i="2161"/>
  <c r="P28" i="2161"/>
  <c r="AC28" i="2161" s="1"/>
  <c r="AD28" i="2161" s="1"/>
  <c r="O28" i="2161"/>
  <c r="M28" i="2161"/>
  <c r="K28" i="2161"/>
  <c r="AF27" i="2161"/>
  <c r="AB27" i="2161"/>
  <c r="Q27" i="2161"/>
  <c r="P27" i="2161"/>
  <c r="AC27" i="2161" s="1"/>
  <c r="AD27" i="2161" s="1"/>
  <c r="O27" i="2161"/>
  <c r="M27" i="2161"/>
  <c r="K27" i="2161"/>
  <c r="AF26" i="2161"/>
  <c r="AB26" i="2161"/>
  <c r="Q26" i="2161"/>
  <c r="P26" i="2161"/>
  <c r="AC26" i="2161" s="1"/>
  <c r="AD26" i="2161" s="1"/>
  <c r="O26" i="2161"/>
  <c r="M26" i="2161"/>
  <c r="K26" i="2161"/>
  <c r="AF25" i="2161"/>
  <c r="AB25" i="2161"/>
  <c r="Q25" i="2161"/>
  <c r="P25" i="2161"/>
  <c r="AC25" i="2161" s="1"/>
  <c r="AD25" i="2161" s="1"/>
  <c r="O25" i="2161"/>
  <c r="M25" i="2161"/>
  <c r="K25" i="2161"/>
  <c r="AF24" i="2161"/>
  <c r="AC24" i="2161"/>
  <c r="AD24" i="2161" s="1"/>
  <c r="AB24" i="2161"/>
  <c r="Q24" i="2161"/>
  <c r="P24" i="2161"/>
  <c r="O24" i="2161"/>
  <c r="M24" i="2161"/>
  <c r="K24" i="2161"/>
  <c r="AF23" i="2161"/>
  <c r="AB23" i="2161"/>
  <c r="Q23" i="2161"/>
  <c r="P23" i="2161"/>
  <c r="AC23" i="2161" s="1"/>
  <c r="AD23" i="2161" s="1"/>
  <c r="O23" i="2161"/>
  <c r="M23" i="2161"/>
  <c r="K23" i="2161"/>
  <c r="AF22" i="2161"/>
  <c r="AC22" i="2161"/>
  <c r="AB22" i="2161"/>
  <c r="Q22" i="2161"/>
  <c r="P22" i="2161"/>
  <c r="O22" i="2161"/>
  <c r="M22" i="2161"/>
  <c r="K22" i="2161"/>
  <c r="AF21" i="2161"/>
  <c r="Q21" i="2161"/>
  <c r="P21" i="2161"/>
  <c r="AC21" i="2161" s="1"/>
  <c r="O21" i="2161"/>
  <c r="AF20" i="2161"/>
  <c r="AB20" i="2161"/>
  <c r="Q20" i="2161"/>
  <c r="P20" i="2161" s="1"/>
  <c r="AC20" i="2161" s="1"/>
  <c r="O20" i="2161"/>
  <c r="M20" i="2161"/>
  <c r="AF19" i="2161"/>
  <c r="AB19" i="2161"/>
  <c r="Q19" i="2161"/>
  <c r="P19" i="2161" s="1"/>
  <c r="AC19" i="2161" s="1"/>
  <c r="O19" i="2161"/>
  <c r="M19" i="2161"/>
  <c r="AF18" i="2161"/>
  <c r="Q18" i="2161"/>
  <c r="AB18" i="2161"/>
  <c r="AF17" i="2161"/>
  <c r="Q17" i="2161"/>
  <c r="P17" i="2161"/>
  <c r="AC17" i="2161" s="1"/>
  <c r="O17" i="2161"/>
  <c r="AF16" i="2161"/>
  <c r="AB16" i="2161"/>
  <c r="Q16" i="2161"/>
  <c r="P16" i="2161"/>
  <c r="AC16" i="2161" s="1"/>
  <c r="O16" i="2161"/>
  <c r="M16" i="2161"/>
  <c r="AF15" i="2161"/>
  <c r="AB15" i="2161"/>
  <c r="Q15" i="2161"/>
  <c r="O15" i="2161"/>
  <c r="M15" i="2161"/>
  <c r="P15" i="2161"/>
  <c r="AC15" i="2161" s="1"/>
  <c r="AF14" i="2161"/>
  <c r="AB14" i="2161"/>
  <c r="Q14" i="2161"/>
  <c r="P14" i="2161"/>
  <c r="AC14" i="2161" s="1"/>
  <c r="O14" i="2161"/>
  <c r="M14" i="2161"/>
  <c r="K14" i="2161"/>
  <c r="AF13" i="2161"/>
  <c r="AB13" i="2161"/>
  <c r="Q13" i="2161"/>
  <c r="P13" i="2161" s="1"/>
  <c r="AC13" i="2161" s="1"/>
  <c r="O13" i="2161"/>
  <c r="M13" i="2161"/>
  <c r="AF12" i="2161"/>
  <c r="AB12" i="2161"/>
  <c r="Q12" i="2161"/>
  <c r="O12" i="2161"/>
  <c r="M12" i="2161"/>
  <c r="P12" i="2161"/>
  <c r="AC12" i="2161" s="1"/>
  <c r="AF11" i="2161"/>
  <c r="Q11" i="2161"/>
  <c r="M11" i="2161"/>
  <c r="AF10" i="2161"/>
  <c r="Q10" i="2161"/>
  <c r="P10" i="2161"/>
  <c r="AC10" i="2161" s="1"/>
  <c r="O10" i="2161"/>
  <c r="AF9" i="2161"/>
  <c r="AB9" i="2161"/>
  <c r="Q9" i="2161"/>
  <c r="P9" i="2161"/>
  <c r="AC9" i="2161" s="1"/>
  <c r="O9" i="2161"/>
  <c r="M9" i="2161"/>
  <c r="AF8" i="2161"/>
  <c r="AB8" i="2161"/>
  <c r="Q8" i="2161"/>
  <c r="O8" i="2161"/>
  <c r="M8" i="2161"/>
  <c r="L30" i="2161"/>
  <c r="O30" i="2161" s="1"/>
  <c r="AF7" i="2161"/>
  <c r="AB7" i="2161"/>
  <c r="Q7" i="2161"/>
  <c r="P7" i="2161"/>
  <c r="AC7" i="2161" s="1"/>
  <c r="AD7" i="2161" s="1"/>
  <c r="O7" i="2161"/>
  <c r="M7" i="2161"/>
  <c r="K7" i="2161"/>
  <c r="AF6" i="2161"/>
  <c r="AC6" i="2161"/>
  <c r="AB6" i="2161"/>
  <c r="Q6" i="2161"/>
  <c r="P6" i="2161"/>
  <c r="O6" i="2161"/>
  <c r="M6" i="2161"/>
  <c r="K6" i="2161"/>
  <c r="AD30" i="2162" l="1"/>
  <c r="AE29" i="2162" s="1"/>
  <c r="AD15" i="2161"/>
  <c r="AD12" i="2161"/>
  <c r="AD9" i="2161"/>
  <c r="Q30" i="2161"/>
  <c r="AD13" i="2161"/>
  <c r="AD16" i="2161"/>
  <c r="AD20" i="2161"/>
  <c r="AD22" i="2161"/>
  <c r="AD14" i="2161"/>
  <c r="AD19" i="2161"/>
  <c r="K30" i="2161"/>
  <c r="P8" i="2161"/>
  <c r="AC8" i="2161" s="1"/>
  <c r="AD8" i="2161" s="1"/>
  <c r="M10" i="2161"/>
  <c r="AB10" i="2161"/>
  <c r="O11" i="2161"/>
  <c r="M17" i="2161"/>
  <c r="AB17" i="2161"/>
  <c r="AD17" i="2161" s="1"/>
  <c r="O18" i="2161"/>
  <c r="M21" i="2161"/>
  <c r="AB21" i="2161"/>
  <c r="AD21" i="2161" s="1"/>
  <c r="AD6" i="2161"/>
  <c r="AB11" i="2161"/>
  <c r="P11" i="2161"/>
  <c r="AC11" i="2161" s="1"/>
  <c r="P18" i="2161"/>
  <c r="AC18" i="2161" s="1"/>
  <c r="M18" i="2161"/>
  <c r="AE8" i="2162" l="1"/>
  <c r="AE13" i="2162"/>
  <c r="AE14" i="2162"/>
  <c r="AE27" i="2162"/>
  <c r="AE26" i="2162"/>
  <c r="AE18" i="2162"/>
  <c r="AE22" i="2162"/>
  <c r="AE6" i="2162"/>
  <c r="AE20" i="2162"/>
  <c r="AE28" i="2162"/>
  <c r="AE21" i="2162"/>
  <c r="AE17" i="2162"/>
  <c r="AE24" i="2162"/>
  <c r="AE15" i="2162"/>
  <c r="AE16" i="2162"/>
  <c r="AE10" i="2162"/>
  <c r="AE9" i="2162"/>
  <c r="AE12" i="2162"/>
  <c r="AE11" i="2162"/>
  <c r="AE23" i="2162"/>
  <c r="AE25" i="2162"/>
  <c r="AE7" i="2162"/>
  <c r="AE19" i="2162"/>
  <c r="AD11" i="2161"/>
  <c r="AB30" i="2161"/>
  <c r="AD10" i="2161"/>
  <c r="M30" i="2161"/>
  <c r="AD18" i="2161"/>
  <c r="P30" i="2161"/>
  <c r="AC30" i="2161"/>
  <c r="AD30" i="2161" l="1"/>
  <c r="AE23" i="2161" s="1"/>
  <c r="AE12" i="2161" l="1"/>
  <c r="AE7" i="2161"/>
  <c r="AE13" i="2161"/>
  <c r="AE10" i="2161"/>
  <c r="AE16" i="2161"/>
  <c r="AE15" i="2161"/>
  <c r="AE26" i="2161"/>
  <c r="AE18" i="2161"/>
  <c r="AE25" i="2161"/>
  <c r="AE6" i="2161"/>
  <c r="AE20" i="2161"/>
  <c r="AE19" i="2161"/>
  <c r="AE28" i="2161"/>
  <c r="AE17" i="2161"/>
  <c r="AE27" i="2161"/>
  <c r="AE14" i="2161"/>
  <c r="AE9" i="2161"/>
  <c r="AE8" i="2161"/>
  <c r="AE22" i="2161"/>
  <c r="AE11" i="2161"/>
  <c r="AE21" i="2161"/>
  <c r="AE29" i="2161"/>
  <c r="AE24" i="2161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1" i="2160"/>
  <c r="L20" i="2160"/>
  <c r="L19" i="2160"/>
  <c r="M19" i="2160" s="1"/>
  <c r="L18" i="2160"/>
  <c r="L17" i="2160"/>
  <c r="K17" i="2160" s="1"/>
  <c r="L16" i="2160"/>
  <c r="L15" i="2160"/>
  <c r="AB15" i="2160" s="1"/>
  <c r="L13" i="2160"/>
  <c r="L12" i="2160"/>
  <c r="L11" i="2160"/>
  <c r="L10" i="2160"/>
  <c r="AB10" i="2160" s="1"/>
  <c r="L9" i="2160"/>
  <c r="K9" i="2160" s="1"/>
  <c r="L8" i="2160"/>
  <c r="K6" i="2160"/>
  <c r="K21" i="2160"/>
  <c r="K20" i="2160"/>
  <c r="K19" i="2160"/>
  <c r="K14" i="2160"/>
  <c r="K13" i="2160"/>
  <c r="K12" i="2160"/>
  <c r="K11" i="2160"/>
  <c r="K10" i="2160"/>
  <c r="K8" i="2160"/>
  <c r="A85" i="2160"/>
  <c r="A86" i="2160" s="1"/>
  <c r="A87" i="2160" s="1"/>
  <c r="A88" i="2160" s="1"/>
  <c r="A89" i="2160" s="1"/>
  <c r="A90" i="2160" s="1"/>
  <c r="AF69" i="2160"/>
  <c r="AF68" i="2160"/>
  <c r="AF71" i="2160" s="1"/>
  <c r="AA30" i="2160"/>
  <c r="Z30" i="2160"/>
  <c r="Y30" i="2160"/>
  <c r="X30" i="2160"/>
  <c r="W30" i="2160"/>
  <c r="V30" i="2160"/>
  <c r="U30" i="2160"/>
  <c r="T30" i="2160"/>
  <c r="S30" i="2160"/>
  <c r="R30" i="2160"/>
  <c r="N30" i="2160"/>
  <c r="J30" i="2160"/>
  <c r="I30" i="2160"/>
  <c r="AF29" i="2160"/>
  <c r="AB29" i="2160"/>
  <c r="Q29" i="2160"/>
  <c r="P29" i="2160"/>
  <c r="AC29" i="2160" s="1"/>
  <c r="AD29" i="2160" s="1"/>
  <c r="O29" i="2160"/>
  <c r="M29" i="2160"/>
  <c r="K29" i="2160"/>
  <c r="AF28" i="2160"/>
  <c r="AB28" i="2160"/>
  <c r="Q28" i="2160"/>
  <c r="P28" i="2160"/>
  <c r="AC28" i="2160" s="1"/>
  <c r="AD28" i="2160" s="1"/>
  <c r="O28" i="2160"/>
  <c r="M28" i="2160"/>
  <c r="K28" i="2160"/>
  <c r="AF27" i="2160"/>
  <c r="AB27" i="2160"/>
  <c r="Q27" i="2160"/>
  <c r="P27" i="2160"/>
  <c r="AC27" i="2160" s="1"/>
  <c r="O27" i="2160"/>
  <c r="M27" i="2160"/>
  <c r="K27" i="2160"/>
  <c r="AF26" i="2160"/>
  <c r="AB26" i="2160"/>
  <c r="Q26" i="2160"/>
  <c r="P26" i="2160"/>
  <c r="AC26" i="2160" s="1"/>
  <c r="O26" i="2160"/>
  <c r="M26" i="2160"/>
  <c r="K26" i="2160"/>
  <c r="AF25" i="2160"/>
  <c r="AB25" i="2160"/>
  <c r="Q25" i="2160"/>
  <c r="P25" i="2160"/>
  <c r="AC25" i="2160" s="1"/>
  <c r="O25" i="2160"/>
  <c r="M25" i="2160"/>
  <c r="K25" i="2160"/>
  <c r="AF24" i="2160"/>
  <c r="AB24" i="2160"/>
  <c r="Q24" i="2160"/>
  <c r="P24" i="2160"/>
  <c r="AC24" i="2160" s="1"/>
  <c r="O24" i="2160"/>
  <c r="M24" i="2160"/>
  <c r="K24" i="2160"/>
  <c r="AF23" i="2160"/>
  <c r="AB23" i="2160"/>
  <c r="Q23" i="2160"/>
  <c r="P23" i="2160"/>
  <c r="AC23" i="2160" s="1"/>
  <c r="O23" i="2160"/>
  <c r="M23" i="2160"/>
  <c r="K23" i="2160"/>
  <c r="AF22" i="2160"/>
  <c r="AB22" i="2160"/>
  <c r="Q22" i="2160"/>
  <c r="P22" i="2160"/>
  <c r="AC22" i="2160" s="1"/>
  <c r="O22" i="2160"/>
  <c r="M22" i="2160"/>
  <c r="K22" i="2160"/>
  <c r="AF21" i="2160"/>
  <c r="Q21" i="2160"/>
  <c r="P21" i="2160"/>
  <c r="AC21" i="2160" s="1"/>
  <c r="O21" i="2160"/>
  <c r="AB21" i="2160"/>
  <c r="AF20" i="2160"/>
  <c r="AB20" i="2160"/>
  <c r="Q20" i="2160"/>
  <c r="P20" i="2160"/>
  <c r="AC20" i="2160" s="1"/>
  <c r="O20" i="2160"/>
  <c r="M20" i="2160"/>
  <c r="AF19" i="2160"/>
  <c r="AB19" i="2160"/>
  <c r="Q19" i="2160"/>
  <c r="P19" i="2160"/>
  <c r="AC19" i="2160" s="1"/>
  <c r="AF18" i="2160"/>
  <c r="AB18" i="2160"/>
  <c r="Q18" i="2160"/>
  <c r="M18" i="2160"/>
  <c r="AF17" i="2160"/>
  <c r="Q17" i="2160"/>
  <c r="AF16" i="2160"/>
  <c r="Q16" i="2160"/>
  <c r="AF15" i="2160"/>
  <c r="Q15" i="2160"/>
  <c r="O15" i="2160"/>
  <c r="AF14" i="2160"/>
  <c r="AB14" i="2160"/>
  <c r="Q14" i="2160"/>
  <c r="M14" i="2160"/>
  <c r="P14" i="2160"/>
  <c r="AC14" i="2160" s="1"/>
  <c r="AF13" i="2160"/>
  <c r="Q13" i="2160"/>
  <c r="AB13" i="2160"/>
  <c r="AF12" i="2160"/>
  <c r="Q12" i="2160"/>
  <c r="P12" i="2160" s="1"/>
  <c r="AC12" i="2160" s="1"/>
  <c r="O12" i="2160"/>
  <c r="AB12" i="2160"/>
  <c r="AF11" i="2160"/>
  <c r="AB11" i="2160"/>
  <c r="Q11" i="2160"/>
  <c r="P11" i="2160" s="1"/>
  <c r="AC11" i="2160" s="1"/>
  <c r="O11" i="2160"/>
  <c r="M11" i="2160"/>
  <c r="AF10" i="2160"/>
  <c r="Q10" i="2160"/>
  <c r="AF9" i="2160"/>
  <c r="Q9" i="2160"/>
  <c r="P9" i="2160" s="1"/>
  <c r="AC9" i="2160" s="1"/>
  <c r="M9" i="2160"/>
  <c r="AF8" i="2160"/>
  <c r="Q8" i="2160"/>
  <c r="M8" i="2160"/>
  <c r="AF7" i="2160"/>
  <c r="AB7" i="2160"/>
  <c r="Q7" i="2160"/>
  <c r="P7" i="2160"/>
  <c r="AC7" i="2160" s="1"/>
  <c r="AD7" i="2160" s="1"/>
  <c r="O7" i="2160"/>
  <c r="M7" i="2160"/>
  <c r="K7" i="2160"/>
  <c r="AF6" i="2160"/>
  <c r="AB6" i="2160"/>
  <c r="Q6" i="2160"/>
  <c r="P6" i="2160"/>
  <c r="AC6" i="2160" s="1"/>
  <c r="O6" i="2160"/>
  <c r="M6" i="2160"/>
  <c r="P15" i="2160" l="1"/>
  <c r="AC15" i="2160" s="1"/>
  <c r="AD15" i="2160" s="1"/>
  <c r="AD22" i="2160"/>
  <c r="AD27" i="2160"/>
  <c r="K15" i="2160"/>
  <c r="P16" i="2160"/>
  <c r="AC16" i="2160" s="1"/>
  <c r="AD26" i="2160"/>
  <c r="M15" i="2160"/>
  <c r="P18" i="2160"/>
  <c r="AC18" i="2160" s="1"/>
  <c r="AD18" i="2160"/>
  <c r="K18" i="2160"/>
  <c r="O18" i="2160"/>
  <c r="AB17" i="2160"/>
  <c r="P17" i="2160"/>
  <c r="AC17" i="2160" s="1"/>
  <c r="AD17" i="2160" s="1"/>
  <c r="M17" i="2160"/>
  <c r="O17" i="2160"/>
  <c r="AB16" i="2160"/>
  <c r="O16" i="2160"/>
  <c r="K16" i="2160"/>
  <c r="AD12" i="2160"/>
  <c r="AD24" i="2160"/>
  <c r="AD25" i="2160"/>
  <c r="AD23" i="2160"/>
  <c r="Q30" i="2160"/>
  <c r="AD11" i="2160"/>
  <c r="AD20" i="2160"/>
  <c r="AD21" i="2160"/>
  <c r="M10" i="2160"/>
  <c r="AD6" i="2160"/>
  <c r="O8" i="2160"/>
  <c r="AB9" i="2160"/>
  <c r="O10" i="2160"/>
  <c r="M13" i="2160"/>
  <c r="O14" i="2160"/>
  <c r="AD14" i="2160" s="1"/>
  <c r="O19" i="2160"/>
  <c r="AD19" i="2160" s="1"/>
  <c r="P8" i="2160"/>
  <c r="AC8" i="2160" s="1"/>
  <c r="O9" i="2160"/>
  <c r="P10" i="2160"/>
  <c r="AC10" i="2160" s="1"/>
  <c r="M12" i="2160"/>
  <c r="O13" i="2160"/>
  <c r="M16" i="2160"/>
  <c r="M21" i="2160"/>
  <c r="L30" i="2160"/>
  <c r="O30" i="2160" s="1"/>
  <c r="P13" i="2160"/>
  <c r="AC13" i="2160" s="1"/>
  <c r="AD13" i="2160" s="1"/>
  <c r="AB8" i="2160"/>
  <c r="AD16" i="2160" l="1"/>
  <c r="K30" i="2160"/>
  <c r="AB30" i="2160"/>
  <c r="AD9" i="2160"/>
  <c r="AD8" i="2160"/>
  <c r="M30" i="2160"/>
  <c r="AD10" i="2160"/>
  <c r="AC30" i="2160"/>
  <c r="P30" i="2160"/>
  <c r="AD30" i="2160" l="1"/>
  <c r="AE23" i="2160" s="1"/>
  <c r="AE17" i="2160" l="1"/>
  <c r="AE19" i="2160"/>
  <c r="AE8" i="2160"/>
  <c r="AE6" i="2160"/>
  <c r="AE11" i="2160"/>
  <c r="AE12" i="2160"/>
  <c r="AE20" i="2160"/>
  <c r="AE26" i="2160"/>
  <c r="AE21" i="2160"/>
  <c r="AE28" i="2160"/>
  <c r="AE13" i="2160"/>
  <c r="AE25" i="2160"/>
  <c r="AE27" i="2160"/>
  <c r="AE15" i="2160"/>
  <c r="AE10" i="2160"/>
  <c r="AE22" i="2160"/>
  <c r="AE16" i="2160"/>
  <c r="AE7" i="2160"/>
  <c r="AE29" i="2160"/>
  <c r="AE18" i="2160"/>
  <c r="AE14" i="2160"/>
  <c r="AE24" i="2160"/>
  <c r="AE9" i="2160"/>
  <c r="L23" i="2159"/>
  <c r="L22" i="2159"/>
  <c r="L21" i="2159"/>
  <c r="K21" i="2159" s="1"/>
  <c r="AF21" i="2159"/>
  <c r="AB21" i="2159"/>
  <c r="Q21" i="2159"/>
  <c r="P21" i="2159" s="1"/>
  <c r="AC21" i="2159" s="1"/>
  <c r="O21" i="2159"/>
  <c r="M21" i="2159"/>
  <c r="L19" i="2159"/>
  <c r="L17" i="2159"/>
  <c r="K17" i="2159" s="1"/>
  <c r="L16" i="2159"/>
  <c r="K16" i="2159" s="1"/>
  <c r="L15" i="2159"/>
  <c r="K15" i="2159" s="1"/>
  <c r="L14" i="2159"/>
  <c r="L13" i="2159"/>
  <c r="L12" i="2159"/>
  <c r="L11" i="2159"/>
  <c r="K11" i="2159" s="1"/>
  <c r="L10" i="2159"/>
  <c r="L8" i="2159"/>
  <c r="K8" i="2159"/>
  <c r="AG27" i="16"/>
  <c r="AG26" i="16"/>
  <c r="AG25" i="16"/>
  <c r="AG24" i="16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K23" i="2159"/>
  <c r="K22" i="2159"/>
  <c r="K20" i="2159"/>
  <c r="K19" i="2159"/>
  <c r="K14" i="2159"/>
  <c r="K13" i="2159"/>
  <c r="K12" i="2159"/>
  <c r="K9" i="2159"/>
  <c r="K7" i="2159"/>
  <c r="K6" i="2159"/>
  <c r="AD21" i="2159" l="1"/>
  <c r="A87" i="2159"/>
  <c r="A88" i="2159" s="1"/>
  <c r="A89" i="2159" s="1"/>
  <c r="A90" i="2159" s="1"/>
  <c r="A91" i="2159" s="1"/>
  <c r="A92" i="2159" s="1"/>
  <c r="AF71" i="2159"/>
  <c r="AF70" i="2159"/>
  <c r="AF73" i="2159" s="1"/>
  <c r="AA32" i="2159"/>
  <c r="Z32" i="2159"/>
  <c r="Y32" i="2159"/>
  <c r="X32" i="2159"/>
  <c r="W32" i="2159"/>
  <c r="V32" i="2159"/>
  <c r="U32" i="2159"/>
  <c r="T32" i="2159"/>
  <c r="S32" i="2159"/>
  <c r="R32" i="2159"/>
  <c r="N32" i="2159"/>
  <c r="J32" i="2159"/>
  <c r="I32" i="2159"/>
  <c r="AF31" i="2159"/>
  <c r="AB31" i="2159"/>
  <c r="Q31" i="2159"/>
  <c r="P31" i="2159"/>
  <c r="AC31" i="2159" s="1"/>
  <c r="AD31" i="2159" s="1"/>
  <c r="O31" i="2159"/>
  <c r="M31" i="2159"/>
  <c r="K31" i="2159"/>
  <c r="AF30" i="2159"/>
  <c r="AB30" i="2159"/>
  <c r="Q30" i="2159"/>
  <c r="P30" i="2159"/>
  <c r="AC30" i="2159" s="1"/>
  <c r="O30" i="2159"/>
  <c r="M30" i="2159"/>
  <c r="K30" i="2159"/>
  <c r="AF29" i="2159"/>
  <c r="AC29" i="2159"/>
  <c r="AD29" i="2159" s="1"/>
  <c r="AB29" i="2159"/>
  <c r="Q29" i="2159"/>
  <c r="P29" i="2159"/>
  <c r="O29" i="2159"/>
  <c r="M29" i="2159"/>
  <c r="K29" i="2159"/>
  <c r="AF28" i="2159"/>
  <c r="AB28" i="2159"/>
  <c r="Q28" i="2159"/>
  <c r="P28" i="2159"/>
  <c r="AC28" i="2159" s="1"/>
  <c r="O28" i="2159"/>
  <c r="M28" i="2159"/>
  <c r="K28" i="2159"/>
  <c r="AF27" i="2159"/>
  <c r="AC27" i="2159"/>
  <c r="AB27" i="2159"/>
  <c r="Q27" i="2159"/>
  <c r="P27" i="2159"/>
  <c r="O27" i="2159"/>
  <c r="M27" i="2159"/>
  <c r="K27" i="2159"/>
  <c r="AF26" i="2159"/>
  <c r="AB26" i="2159"/>
  <c r="Q26" i="2159"/>
  <c r="P26" i="2159"/>
  <c r="AC26" i="2159" s="1"/>
  <c r="O26" i="2159"/>
  <c r="M26" i="2159"/>
  <c r="K26" i="2159"/>
  <c r="AF25" i="2159"/>
  <c r="AB25" i="2159"/>
  <c r="Q25" i="2159"/>
  <c r="P25" i="2159"/>
  <c r="AC25" i="2159" s="1"/>
  <c r="AD25" i="2159" s="1"/>
  <c r="O25" i="2159"/>
  <c r="M25" i="2159"/>
  <c r="K25" i="2159"/>
  <c r="AF24" i="2159"/>
  <c r="AB24" i="2159"/>
  <c r="Q24" i="2159"/>
  <c r="P24" i="2159"/>
  <c r="AC24" i="2159" s="1"/>
  <c r="AD24" i="2159" s="1"/>
  <c r="O24" i="2159"/>
  <c r="M24" i="2159"/>
  <c r="K24" i="2159"/>
  <c r="AF23" i="2159"/>
  <c r="AB23" i="2159"/>
  <c r="Q23" i="2159"/>
  <c r="P23" i="2159" s="1"/>
  <c r="AC23" i="2159" s="1"/>
  <c r="O23" i="2159"/>
  <c r="M23" i="2159"/>
  <c r="AF22" i="2159"/>
  <c r="Q22" i="2159"/>
  <c r="P22" i="2159"/>
  <c r="AC22" i="2159" s="1"/>
  <c r="O22" i="2159"/>
  <c r="AB22" i="2159"/>
  <c r="AF20" i="2159"/>
  <c r="AB20" i="2159"/>
  <c r="Q20" i="2159"/>
  <c r="P20" i="2159" s="1"/>
  <c r="AC20" i="2159" s="1"/>
  <c r="O20" i="2159"/>
  <c r="M20" i="2159"/>
  <c r="AF19" i="2159"/>
  <c r="AB19" i="2159"/>
  <c r="Q19" i="2159"/>
  <c r="M19" i="2159"/>
  <c r="P19" i="2159"/>
  <c r="AC19" i="2159" s="1"/>
  <c r="AF18" i="2159"/>
  <c r="AB18" i="2159"/>
  <c r="Q18" i="2159"/>
  <c r="P18" i="2159"/>
  <c r="AC18" i="2159" s="1"/>
  <c r="O18" i="2159"/>
  <c r="M18" i="2159"/>
  <c r="K18" i="2159"/>
  <c r="AF17" i="2159"/>
  <c r="AB17" i="2159"/>
  <c r="Q17" i="2159"/>
  <c r="P17" i="2159" s="1"/>
  <c r="AC17" i="2159" s="1"/>
  <c r="O17" i="2159"/>
  <c r="M17" i="2159"/>
  <c r="AF16" i="2159"/>
  <c r="AB16" i="2159"/>
  <c r="Q16" i="2159"/>
  <c r="P16" i="2159" s="1"/>
  <c r="AC16" i="2159" s="1"/>
  <c r="M16" i="2159"/>
  <c r="AF15" i="2159"/>
  <c r="AB15" i="2159"/>
  <c r="Q15" i="2159"/>
  <c r="P15" i="2159" s="1"/>
  <c r="AC15" i="2159" s="1"/>
  <c r="O15" i="2159"/>
  <c r="M15" i="2159"/>
  <c r="AF14" i="2159"/>
  <c r="AB14" i="2159"/>
  <c r="Q14" i="2159"/>
  <c r="P14" i="2159" s="1"/>
  <c r="AC14" i="2159" s="1"/>
  <c r="O14" i="2159"/>
  <c r="M14" i="2159"/>
  <c r="AF13" i="2159"/>
  <c r="AB13" i="2159"/>
  <c r="Q13" i="2159"/>
  <c r="P13" i="2159" s="1"/>
  <c r="AC13" i="2159" s="1"/>
  <c r="M13" i="2159"/>
  <c r="AF12" i="2159"/>
  <c r="Q12" i="2159"/>
  <c r="P12" i="2159" s="1"/>
  <c r="AC12" i="2159" s="1"/>
  <c r="AF11" i="2159"/>
  <c r="Q11" i="2159"/>
  <c r="P11" i="2159" s="1"/>
  <c r="AC11" i="2159" s="1"/>
  <c r="O11" i="2159"/>
  <c r="AB11" i="2159"/>
  <c r="AF10" i="2159"/>
  <c r="AB10" i="2159"/>
  <c r="Q10" i="2159"/>
  <c r="P10" i="2159" s="1"/>
  <c r="AC10" i="2159" s="1"/>
  <c r="O10" i="2159"/>
  <c r="M10" i="2159"/>
  <c r="K10" i="2159"/>
  <c r="AF9" i="2159"/>
  <c r="AB9" i="2159"/>
  <c r="Q9" i="2159"/>
  <c r="P9" i="2159" s="1"/>
  <c r="AC9" i="2159" s="1"/>
  <c r="M9" i="2159"/>
  <c r="AF8" i="2159"/>
  <c r="AB8" i="2159"/>
  <c r="Q8" i="2159"/>
  <c r="P8" i="2159" s="1"/>
  <c r="AC8" i="2159" s="1"/>
  <c r="O8" i="2159"/>
  <c r="M8" i="2159"/>
  <c r="AF7" i="2159"/>
  <c r="AB7" i="2159"/>
  <c r="Q7" i="2159"/>
  <c r="P7" i="2159"/>
  <c r="AC7" i="2159" s="1"/>
  <c r="O7" i="2159"/>
  <c r="M7" i="2159"/>
  <c r="AF6" i="2159"/>
  <c r="AB6" i="2159"/>
  <c r="Q6" i="2159"/>
  <c r="M6" i="2159"/>
  <c r="AD27" i="2159" l="1"/>
  <c r="AD30" i="2159"/>
  <c r="AD28" i="2159"/>
  <c r="AD26" i="2159"/>
  <c r="AD14" i="2159"/>
  <c r="AD10" i="2159"/>
  <c r="AD18" i="2159"/>
  <c r="AD23" i="2159"/>
  <c r="AD17" i="2159"/>
  <c r="AD15" i="2159"/>
  <c r="AD11" i="2159"/>
  <c r="Q32" i="2159"/>
  <c r="AD7" i="2159"/>
  <c r="P6" i="2159"/>
  <c r="P32" i="2159" s="1"/>
  <c r="AD8" i="2159"/>
  <c r="AD20" i="2159"/>
  <c r="AD22" i="2159"/>
  <c r="AC6" i="2159"/>
  <c r="L32" i="2159"/>
  <c r="O32" i="2159" s="1"/>
  <c r="O6" i="2159"/>
  <c r="O9" i="2159"/>
  <c r="AD9" i="2159" s="1"/>
  <c r="M12" i="2159"/>
  <c r="AB12" i="2159"/>
  <c r="AB32" i="2159" s="1"/>
  <c r="O13" i="2159"/>
  <c r="AD13" i="2159" s="1"/>
  <c r="O16" i="2159"/>
  <c r="AD16" i="2159" s="1"/>
  <c r="O19" i="2159"/>
  <c r="AD19" i="2159" s="1"/>
  <c r="M11" i="2159"/>
  <c r="O12" i="2159"/>
  <c r="M22" i="2159"/>
  <c r="M32" i="2159" l="1"/>
  <c r="AD12" i="2159"/>
  <c r="K32" i="2159"/>
  <c r="AD6" i="2159"/>
  <c r="AC32" i="2159"/>
  <c r="AD32" i="2159" l="1"/>
  <c r="AE21" i="2159" s="1"/>
  <c r="AE31" i="2159" l="1"/>
  <c r="AE8" i="2159"/>
  <c r="AE12" i="2159"/>
  <c r="AE24" i="2159"/>
  <c r="AE14" i="2159"/>
  <c r="AE23" i="2159"/>
  <c r="AE15" i="2159"/>
  <c r="AE9" i="2159"/>
  <c r="AE18" i="2159"/>
  <c r="AE13" i="2159"/>
  <c r="AE26" i="2159"/>
  <c r="AE17" i="2159"/>
  <c r="AE25" i="2159"/>
  <c r="AE11" i="2159"/>
  <c r="AE28" i="2159"/>
  <c r="AE7" i="2159"/>
  <c r="AE20" i="2159"/>
  <c r="AE16" i="2159"/>
  <c r="AE27" i="2159"/>
  <c r="AE22" i="2159"/>
  <c r="AE30" i="2159"/>
  <c r="AE10" i="2159"/>
  <c r="AE6" i="2159"/>
  <c r="AE19" i="2159"/>
  <c r="AE29" i="2159"/>
</calcChain>
</file>

<file path=xl/sharedStrings.xml><?xml version="1.0" encoding="utf-8"?>
<sst xmlns="http://schemas.openxmlformats.org/spreadsheetml/2006/main" count="6009" uniqueCount="884">
  <si>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</si>
  <si>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</si>
  <si>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</si>
  <si>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</si>
  <si>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</si>
  <si>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</si>
  <si>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</si>
  <si>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</si>
  <si>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</si>
  <si>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</si>
  <si>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</si>
  <si>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</si>
  <si>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</si>
  <si>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</si>
  <si>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</si>
  <si>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</si>
  <si>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</si>
  <si>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</si>
  <si>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</si>
  <si>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</si>
  <si>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</si>
  <si>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</si>
  <si>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</si>
  <si>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</si>
  <si>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</si>
  <si>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</si>
  <si>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</si>
  <si>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</si>
  <si>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</si>
  <si>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</si>
  <si>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</si>
  <si>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</si>
  <si>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</si>
  <si>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</si>
  <si>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</si>
  <si>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</si>
  <si>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</si>
  <si>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</si>
  <si>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</si>
  <si>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</si>
  <si>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</si>
  <si>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</si>
  <si>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</si>
  <si>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</si>
  <si>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</si>
  <si>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</si>
  <si>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</si>
  <si>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</si>
  <si>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</si>
  <si>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</si>
  <si>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</si>
  <si>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</si>
  <si>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</si>
  <si>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</si>
  <si>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</si>
  <si>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</si>
  <si>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</si>
  <si>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</si>
  <si>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</si>
  <si>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</si>
  <si>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</si>
  <si>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</si>
  <si>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</si>
  <si>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</si>
  <si>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</si>
  <si>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</si>
  <si>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</si>
  <si>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</si>
  <si>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</si>
  <si>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</si>
  <si>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</si>
  <si>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</si>
  <si>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</si>
  <si>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</si>
  <si>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</si>
  <si>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</si>
  <si>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</si>
  <si>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</si>
  <si>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</si>
  <si>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</si>
  <si>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</si>
  <si>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</si>
  <si>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</si>
  <si>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</si>
  <si>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</si>
  <si>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</si>
  <si>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</si>
  <si>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</si>
  <si>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</si>
  <si>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</si>
  <si>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</si>
  <si>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</si>
  <si>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</si>
  <si>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</si>
  <si>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</si>
  <si>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</si>
  <si>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</si>
  <si>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</si>
  <si>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</si>
  <si>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</si>
  <si>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</si>
  <si>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</si>
  <si>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</si>
  <si>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</si>
  <si>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</si>
  <si>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</si>
  <si>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</si>
  <si>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</si>
  <si>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</si>
  <si>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</si>
  <si>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</si>
  <si>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</si>
  <si>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</si>
  <si>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</si>
  <si>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</si>
  <si>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</si>
  <si>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</si>
  <si>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</si>
  <si>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</si>
  <si>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</si>
  <si>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품  명</t>
    <phoneticPr fontId="2" type="noConversion"/>
  </si>
  <si>
    <t>COVER</t>
    <phoneticPr fontId="2" type="noConversion"/>
  </si>
  <si>
    <t>SGF2030</t>
    <phoneticPr fontId="2" type="noConversion"/>
  </si>
  <si>
    <t>SGF2033 N/P</t>
    <phoneticPr fontId="2" type="noConversion"/>
  </si>
  <si>
    <t>HICON</t>
    <phoneticPr fontId="2" type="noConversion"/>
  </si>
  <si>
    <t>KR6463-GA180PLA</t>
  </si>
  <si>
    <t>EEEEEEEEEEEEEEEEEEEEEEEEE</t>
    <phoneticPr fontId="2" type="noConversion"/>
  </si>
  <si>
    <t>31호기</t>
    <phoneticPr fontId="2" type="noConversion"/>
  </si>
  <si>
    <t>32호기</t>
    <phoneticPr fontId="2" type="noConversion"/>
  </si>
  <si>
    <t>33호기</t>
    <phoneticPr fontId="2" type="noConversion"/>
  </si>
  <si>
    <t>34호기</t>
    <phoneticPr fontId="2" type="noConversion"/>
  </si>
  <si>
    <t>35호기</t>
    <phoneticPr fontId="2" type="noConversion"/>
  </si>
  <si>
    <t>36호기</t>
    <phoneticPr fontId="2" type="noConversion"/>
  </si>
  <si>
    <t>SGF2033</t>
    <phoneticPr fontId="2" type="noConversion"/>
  </si>
  <si>
    <t>SF2255 I/V</t>
    <phoneticPr fontId="2" type="noConversion"/>
  </si>
  <si>
    <t>ADAPTER</t>
    <phoneticPr fontId="2" type="noConversion"/>
  </si>
  <si>
    <t>8301</t>
    <phoneticPr fontId="2" type="noConversion"/>
  </si>
  <si>
    <t>수리후양산</t>
    <phoneticPr fontId="2" type="noConversion"/>
  </si>
  <si>
    <t>4</t>
    <phoneticPr fontId="2" type="noConversion"/>
  </si>
  <si>
    <t>K-AR3544-1A</t>
    <phoneticPr fontId="2" type="noConversion"/>
  </si>
  <si>
    <t>24P(4POST)</t>
    <phoneticPr fontId="2" type="noConversion"/>
  </si>
  <si>
    <t>3</t>
    <phoneticPr fontId="2" type="noConversion"/>
  </si>
  <si>
    <t>STOPPER</t>
    <phoneticPr fontId="2" type="noConversion"/>
  </si>
  <si>
    <t>7301</t>
    <phoneticPr fontId="2" type="noConversion"/>
  </si>
  <si>
    <t>ACTUATOR</t>
    <phoneticPr fontId="2" type="noConversion"/>
  </si>
  <si>
    <t>G1300H</t>
    <phoneticPr fontId="2" type="noConversion"/>
  </si>
  <si>
    <t>발주분양산</t>
    <phoneticPr fontId="2" type="noConversion"/>
  </si>
  <si>
    <t>SF2250EPR</t>
    <phoneticPr fontId="2" type="noConversion"/>
  </si>
  <si>
    <t>6</t>
    <phoneticPr fontId="2" type="noConversion"/>
  </si>
  <si>
    <t>New Pattern Cover-2</t>
    <phoneticPr fontId="2" type="noConversion"/>
  </si>
  <si>
    <t>라인</t>
    <phoneticPr fontId="2" type="noConversion"/>
  </si>
  <si>
    <t>LCP ESD</t>
    <phoneticPr fontId="2" type="noConversion"/>
  </si>
  <si>
    <t>SEPARATOR</t>
    <phoneticPr fontId="2" type="noConversion"/>
  </si>
  <si>
    <t>MT401</t>
    <phoneticPr fontId="2" type="noConversion"/>
  </si>
  <si>
    <t>17호기</t>
    <phoneticPr fontId="2" type="noConversion"/>
  </si>
  <si>
    <t>18호기</t>
    <phoneticPr fontId="2" type="noConversion"/>
  </si>
  <si>
    <t>SGP2030R N/P</t>
    <phoneticPr fontId="2" type="noConversion"/>
  </si>
  <si>
    <t>SLIDER</t>
    <phoneticPr fontId="2" type="noConversion"/>
  </si>
  <si>
    <t>14</t>
    <phoneticPr fontId="2" type="noConversion"/>
  </si>
  <si>
    <t>9</t>
    <phoneticPr fontId="2" type="noConversion"/>
  </si>
  <si>
    <t>TOP</t>
    <phoneticPr fontId="2" type="noConversion"/>
  </si>
  <si>
    <t>LEAD GUIDE</t>
    <phoneticPr fontId="2" type="noConversion"/>
  </si>
  <si>
    <t>FLOATING</t>
    <phoneticPr fontId="2" type="noConversion"/>
  </si>
  <si>
    <t>NP635-315-010#LB</t>
    <phoneticPr fontId="2" type="noConversion"/>
  </si>
  <si>
    <t>AYE</t>
    <phoneticPr fontId="2" type="noConversion"/>
  </si>
  <si>
    <t>22P(4POST)</t>
    <phoneticPr fontId="2" type="noConversion"/>
  </si>
  <si>
    <t>AMB39R1A-KAA-R1</t>
    <phoneticPr fontId="2" type="noConversion"/>
  </si>
  <si>
    <t>K-JR01903-A180AWB</t>
    <phoneticPr fontId="2" type="noConversion"/>
  </si>
  <si>
    <t>K-JR01903-B180AWB</t>
    <phoneticPr fontId="2" type="noConversion"/>
  </si>
  <si>
    <t>K-AR3462-2B</t>
    <phoneticPr fontId="2" type="noConversion"/>
  </si>
  <si>
    <t>K-AR3463-1A</t>
    <phoneticPr fontId="2" type="noConversion"/>
  </si>
  <si>
    <t>K-AR3464-1A</t>
    <phoneticPr fontId="2" type="noConversion"/>
  </si>
  <si>
    <t>ODT</t>
    <phoneticPr fontId="2" type="noConversion"/>
  </si>
  <si>
    <t>KR6463-B180PMA</t>
    <phoneticPr fontId="2" type="noConversion"/>
  </si>
  <si>
    <t>KR6463-D180PSA</t>
    <phoneticPr fontId="2" type="noConversion"/>
  </si>
  <si>
    <t>5050GM</t>
    <phoneticPr fontId="2" type="noConversion"/>
  </si>
  <si>
    <t>SGP2030R</t>
    <phoneticPr fontId="2" type="noConversion"/>
  </si>
  <si>
    <t>AMB20E4A-KAA-R9</t>
    <phoneticPr fontId="2" type="noConversion"/>
  </si>
  <si>
    <t>LED A</t>
    <phoneticPr fontId="2" type="noConversion"/>
  </si>
  <si>
    <t>SW-003071</t>
    <phoneticPr fontId="2" type="noConversion"/>
  </si>
  <si>
    <t>LEN2211 W/T</t>
    <phoneticPr fontId="2" type="noConversion"/>
  </si>
  <si>
    <t>KR6422-B589CA</t>
    <phoneticPr fontId="2" type="noConversion"/>
  </si>
  <si>
    <t>KR6170AF1440UA</t>
    <phoneticPr fontId="2" type="noConversion"/>
  </si>
  <si>
    <t>HRCS-03C13</t>
    <phoneticPr fontId="2" type="noConversion"/>
  </si>
  <si>
    <t>KR6170AF1440UA</t>
    <phoneticPr fontId="2" type="noConversion"/>
  </si>
  <si>
    <t>KR6170BD740UA</t>
    <phoneticPr fontId="2" type="noConversion"/>
  </si>
  <si>
    <t>AMM08008A-KAA-R1</t>
    <phoneticPr fontId="2" type="noConversion"/>
  </si>
  <si>
    <t>AMM08008A-KAA-R1</t>
    <phoneticPr fontId="2" type="noConversion"/>
  </si>
  <si>
    <t>HRCS-00C11B</t>
    <phoneticPr fontId="2" type="noConversion"/>
  </si>
  <si>
    <t>AMB1915B-KAA-R1</t>
    <phoneticPr fontId="2" type="noConversion"/>
  </si>
  <si>
    <t>AMM0890A-KAD-R1</t>
    <phoneticPr fontId="2" type="noConversion"/>
  </si>
  <si>
    <t>AMB39D8A-KAA-R1</t>
    <phoneticPr fontId="2" type="noConversion"/>
  </si>
  <si>
    <t>HRCS-00C12B</t>
    <phoneticPr fontId="2" type="noConversion"/>
  </si>
  <si>
    <t>BOTTOM</t>
    <phoneticPr fontId="2" type="noConversion"/>
  </si>
  <si>
    <r>
      <t>2021년 12월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</si>
  <si>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12월 호기별 가동현황</t>
    <phoneticPr fontId="2" type="noConversion"/>
  </si>
  <si>
    <t>KR6422-B589CA</t>
    <phoneticPr fontId="2" type="noConversion"/>
  </si>
  <si>
    <t>S475</t>
    <phoneticPr fontId="2" type="noConversion"/>
  </si>
  <si>
    <t>SGF2041</t>
    <phoneticPr fontId="2" type="noConversion"/>
  </si>
  <si>
    <t>전일 ISSUE 사항(01일)</t>
    <phoneticPr fontId="2" type="noConversion"/>
  </si>
  <si>
    <t>수리후양산-&gt;코아파손정지</t>
    <phoneticPr fontId="2" type="noConversion"/>
  </si>
  <si>
    <t>수리후양산-&gt;코아파손2회정지</t>
    <phoneticPr fontId="2" type="noConversion"/>
  </si>
  <si>
    <t>SEPARATOR</t>
    <phoneticPr fontId="2" type="noConversion"/>
  </si>
  <si>
    <t>발주분양산-&gt;코아파손수리</t>
    <phoneticPr fontId="2" type="noConversion"/>
  </si>
  <si>
    <t>AMB1915B-KAA-R1</t>
    <phoneticPr fontId="2" type="noConversion"/>
  </si>
  <si>
    <t>5</t>
    <phoneticPr fontId="2" type="noConversion"/>
  </si>
  <si>
    <t>ACTUATOR</t>
    <phoneticPr fontId="2" type="noConversion"/>
  </si>
  <si>
    <t>당일 진행 사항(02일)</t>
    <phoneticPr fontId="2" type="noConversion"/>
  </si>
  <si>
    <t>1</t>
    <phoneticPr fontId="2" type="noConversion"/>
  </si>
  <si>
    <t>HDBF05-M02B1</t>
    <phoneticPr fontId="2" type="noConversion"/>
  </si>
  <si>
    <t>AMB0129A-KAA-R7</t>
    <phoneticPr fontId="2" type="noConversion"/>
  </si>
  <si>
    <t>MCS</t>
    <phoneticPr fontId="2" type="noConversion"/>
  </si>
  <si>
    <t>4</t>
    <phoneticPr fontId="2" type="noConversion"/>
  </si>
  <si>
    <t>NP635-315-006#LB</t>
    <phoneticPr fontId="2" type="noConversion"/>
  </si>
  <si>
    <t>AYE</t>
    <phoneticPr fontId="2" type="noConversion"/>
  </si>
  <si>
    <t>12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</si>
  <si>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</si>
  <si>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</si>
  <si>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</si>
  <si>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2021년 12월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</si>
  <si>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SGF2041 N/P</t>
    <phoneticPr fontId="2" type="noConversion"/>
  </si>
  <si>
    <t>SGF2050</t>
    <phoneticPr fontId="2" type="noConversion"/>
  </si>
  <si>
    <t>전일 ISSUE 사항(02일)</t>
    <phoneticPr fontId="2" type="noConversion"/>
  </si>
  <si>
    <t>HDBF05-M02B1</t>
    <phoneticPr fontId="2" type="noConversion"/>
  </si>
  <si>
    <t>발주분양산-&gt;BURR정지</t>
    <phoneticPr fontId="2" type="noConversion"/>
  </si>
  <si>
    <t>발주분양산-&gt;가스정지</t>
    <phoneticPr fontId="2" type="noConversion"/>
  </si>
  <si>
    <t>NP635-315-006#LB</t>
    <phoneticPr fontId="2" type="noConversion"/>
  </si>
  <si>
    <t>AYE</t>
    <phoneticPr fontId="2" type="noConversion"/>
  </si>
  <si>
    <t>12</t>
    <phoneticPr fontId="2" type="noConversion"/>
  </si>
  <si>
    <t>K-JR01903-B180AWB</t>
    <phoneticPr fontId="2" type="noConversion"/>
  </si>
  <si>
    <t>뜯김정지</t>
    <phoneticPr fontId="2" type="noConversion"/>
  </si>
  <si>
    <t>13</t>
    <phoneticPr fontId="2" type="noConversion"/>
  </si>
  <si>
    <t>KR6170BD740UB</t>
    <phoneticPr fontId="2" type="noConversion"/>
  </si>
  <si>
    <t>수리후양산-&gt;밀핀파손정지</t>
    <phoneticPr fontId="2" type="noConversion"/>
  </si>
  <si>
    <t>15</t>
    <phoneticPr fontId="2" type="noConversion"/>
  </si>
  <si>
    <t>STOPPER</t>
    <phoneticPr fontId="2" type="noConversion"/>
  </si>
  <si>
    <t>KR6463-B180PMA</t>
    <phoneticPr fontId="2" type="noConversion"/>
  </si>
  <si>
    <t>설비이상정지</t>
    <phoneticPr fontId="2" type="noConversion"/>
  </si>
  <si>
    <t>7</t>
    <phoneticPr fontId="2" type="noConversion"/>
  </si>
  <si>
    <t>당일 진행 사항(03일)</t>
    <phoneticPr fontId="2" type="noConversion"/>
  </si>
  <si>
    <t>NP635-315-006#IN-A</t>
    <phoneticPr fontId="2" type="noConversion"/>
  </si>
  <si>
    <t>SAMPLE 진행 사항(02일)</t>
    <phoneticPr fontId="2" type="noConversion"/>
  </si>
  <si>
    <t>262C83A-B150A</t>
    <phoneticPr fontId="2" type="noConversion"/>
  </si>
  <si>
    <t>OKINS</t>
    <phoneticPr fontId="2" type="noConversion"/>
  </si>
  <si>
    <t>BASE</t>
    <phoneticPr fontId="2" type="noConversion"/>
  </si>
  <si>
    <t>SF2255 I/V</t>
    <phoneticPr fontId="2" type="noConversion"/>
  </si>
  <si>
    <t>수정</t>
    <phoneticPr fontId="2" type="noConversion"/>
  </si>
  <si>
    <t>2</t>
    <phoneticPr fontId="2" type="noConversion"/>
  </si>
  <si>
    <t>코아파손정지</t>
    <phoneticPr fontId="2" type="noConversion"/>
  </si>
  <si>
    <t>NP652-316-001#IN-B</t>
    <phoneticPr fontId="2" type="noConversion"/>
  </si>
  <si>
    <t>SGF2041</t>
    <phoneticPr fontId="2" type="noConversion"/>
  </si>
  <si>
    <t>4</t>
    <phoneticPr fontId="2" type="noConversion"/>
  </si>
  <si>
    <t>AMM08007A-KAA-R1</t>
    <phoneticPr fontId="2" type="noConversion"/>
  </si>
  <si>
    <t>AMB0368A-KAA-R1</t>
    <phoneticPr fontId="2" type="noConversion"/>
  </si>
  <si>
    <t>AMB0369A-KAA-R1</t>
    <phoneticPr fontId="2" type="noConversion"/>
  </si>
  <si>
    <t>MCS</t>
    <phoneticPr fontId="2" type="noConversion"/>
  </si>
  <si>
    <t>COVER</t>
    <phoneticPr fontId="2" type="noConversion"/>
  </si>
  <si>
    <t>KNOB</t>
    <phoneticPr fontId="2" type="noConversion"/>
  </si>
  <si>
    <t>GN2330</t>
    <phoneticPr fontId="2" type="noConversion"/>
  </si>
  <si>
    <t>5030G</t>
    <phoneticPr fontId="2" type="noConversion"/>
  </si>
  <si>
    <t>요청</t>
    <phoneticPr fontId="2" type="noConversion"/>
  </si>
  <si>
    <t>9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</si>
  <si>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</si>
  <si>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</si>
  <si>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2021년 12월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</si>
  <si>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KR6166-B299UA</t>
    <phoneticPr fontId="2" type="noConversion"/>
  </si>
  <si>
    <t>KR6105-GAM170UA</t>
    <phoneticPr fontId="2" type="noConversion"/>
  </si>
  <si>
    <t>전일 ISSUE 사항(03일)</t>
    <phoneticPr fontId="2" type="noConversion"/>
  </si>
  <si>
    <t>수리후양산-&gt;코아파손수리</t>
    <phoneticPr fontId="2" type="noConversion"/>
  </si>
  <si>
    <t>KR6105-GAM170UA</t>
    <phoneticPr fontId="2" type="noConversion"/>
  </si>
  <si>
    <t>치수확인후양산</t>
    <phoneticPr fontId="2" type="noConversion"/>
  </si>
  <si>
    <t>당일 진행 사항(04일)</t>
    <phoneticPr fontId="2" type="noConversion"/>
  </si>
  <si>
    <t>KR6105-B210UA</t>
    <phoneticPr fontId="2" type="noConversion"/>
  </si>
  <si>
    <t>SAMPLE 진행 사항(03일)</t>
    <phoneticPr fontId="2" type="noConversion"/>
  </si>
  <si>
    <t>SST</t>
    <phoneticPr fontId="2" type="noConversion"/>
  </si>
  <si>
    <t>ADAPTER</t>
    <phoneticPr fontId="2" type="noConversion"/>
  </si>
  <si>
    <t>이관</t>
    <phoneticPr fontId="2" type="noConversion"/>
  </si>
  <si>
    <t>15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</si>
  <si>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</si>
  <si>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</si>
  <si>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t>KR6070-F180UA</t>
    <phoneticPr fontId="2" type="noConversion"/>
  </si>
  <si>
    <t>전일 ISSUE 사항(04일)</t>
    <phoneticPr fontId="2" type="noConversion"/>
  </si>
  <si>
    <t>코아파손수리</t>
    <phoneticPr fontId="2" type="noConversion"/>
  </si>
  <si>
    <t>14</t>
    <phoneticPr fontId="2" type="noConversion"/>
  </si>
  <si>
    <t>LEAD GUIDE</t>
    <phoneticPr fontId="2" type="noConversion"/>
  </si>
  <si>
    <t>KR6070-F180UA</t>
    <phoneticPr fontId="2" type="noConversion"/>
  </si>
  <si>
    <t>발주분양산-&gt;밀핀수리-&gt;BURR정지</t>
    <phoneticPr fontId="2" type="noConversion"/>
  </si>
  <si>
    <t>당일 진행 사항(06일)</t>
    <phoneticPr fontId="2" type="noConversion"/>
  </si>
  <si>
    <t>HDBF05-M02B1</t>
    <phoneticPr fontId="2" type="noConversion"/>
  </si>
  <si>
    <t>NP635-315-006#IN-B</t>
    <phoneticPr fontId="2" type="noConversion"/>
  </si>
  <si>
    <t>AYE</t>
    <phoneticPr fontId="2" type="noConversion"/>
  </si>
  <si>
    <t>4</t>
    <phoneticPr fontId="2" type="noConversion"/>
  </si>
  <si>
    <t>KR6458BB456PMA(1C)</t>
    <phoneticPr fontId="2" type="noConversion"/>
  </si>
  <si>
    <t>7</t>
    <phoneticPr fontId="2" type="noConversion"/>
  </si>
  <si>
    <t>MCS</t>
    <phoneticPr fontId="2" type="noConversion"/>
  </si>
  <si>
    <t>8</t>
    <phoneticPr fontId="2" type="noConversion"/>
  </si>
  <si>
    <t>AM0148B-K-R2</t>
    <phoneticPr fontId="2" type="noConversion"/>
  </si>
  <si>
    <t>HDBF05-M04B1</t>
    <phoneticPr fontId="2" type="noConversion"/>
  </si>
  <si>
    <t>STOPPER</t>
    <phoneticPr fontId="2" type="noConversion"/>
  </si>
  <si>
    <t>SAMPLE 진행 사항(04일)</t>
    <phoneticPr fontId="2" type="noConversion"/>
  </si>
  <si>
    <t>KR6105-B210UA</t>
    <phoneticPr fontId="2" type="noConversion"/>
  </si>
  <si>
    <t>뜯김수리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</si>
  <si>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</si>
  <si>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</si>
  <si>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12월 04일(01시)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</si>
  <si>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r>
      <t>2021년 12월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</si>
  <si>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LG35</t>
    <phoneticPr fontId="2" type="noConversion"/>
  </si>
  <si>
    <t>KR6458BB456PMA</t>
    <phoneticPr fontId="2" type="noConversion"/>
  </si>
  <si>
    <t>HDBF05-M04B1</t>
    <phoneticPr fontId="2" type="noConversion"/>
  </si>
  <si>
    <t>전일 ISSUE 사항(06일)</t>
    <phoneticPr fontId="2" type="noConversion"/>
  </si>
  <si>
    <t>수리후양산-&gt;코아파손수리-&gt;뜯김수리-&gt;코아파손정지</t>
    <phoneticPr fontId="2" type="noConversion"/>
  </si>
  <si>
    <t>K-JR01903-B180AWB</t>
    <phoneticPr fontId="2" type="noConversion"/>
  </si>
  <si>
    <t>KR6458BB456PMA(1C)</t>
    <phoneticPr fontId="2" type="noConversion"/>
  </si>
  <si>
    <t>AM0148B-K-R2</t>
    <phoneticPr fontId="2" type="noConversion"/>
  </si>
  <si>
    <t>K-AR3462-2B</t>
    <phoneticPr fontId="2" type="noConversion"/>
  </si>
  <si>
    <t>K-AR3463-1A</t>
    <phoneticPr fontId="2" type="noConversion"/>
  </si>
  <si>
    <t>K-AR3464-1A</t>
    <phoneticPr fontId="2" type="noConversion"/>
  </si>
  <si>
    <t>발주분양산-&gt;뜯김4회수리</t>
    <phoneticPr fontId="2" type="noConversion"/>
  </si>
  <si>
    <t>7</t>
    <phoneticPr fontId="2" type="noConversion"/>
  </si>
  <si>
    <t>MCS</t>
    <phoneticPr fontId="2" type="noConversion"/>
  </si>
  <si>
    <t>8</t>
    <phoneticPr fontId="2" type="noConversion"/>
  </si>
  <si>
    <t>HICON</t>
    <phoneticPr fontId="2" type="noConversion"/>
  </si>
  <si>
    <t>14</t>
    <phoneticPr fontId="2" type="noConversion"/>
  </si>
  <si>
    <t>STOPPER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</si>
  <si>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</si>
  <si>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</si>
  <si>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</si>
  <si>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SLIDER</t>
    <phoneticPr fontId="2" type="noConversion"/>
  </si>
  <si>
    <t>COVER</t>
    <phoneticPr fontId="2" type="noConversion"/>
  </si>
  <si>
    <t>당일 진행 사항(07일)</t>
    <phoneticPr fontId="2" type="noConversion"/>
  </si>
  <si>
    <t>HDBF05-M01B1</t>
    <phoneticPr fontId="2" type="noConversion"/>
  </si>
  <si>
    <t>SAMPLE 진행 사항(06일)</t>
    <phoneticPr fontId="2" type="noConversion"/>
  </si>
  <si>
    <t>SF2255 I/V</t>
    <phoneticPr fontId="2" type="noConversion"/>
  </si>
  <si>
    <t>수정</t>
    <phoneticPr fontId="2" type="noConversion"/>
  </si>
  <si>
    <t>K-JR01911-B308AWA</t>
    <phoneticPr fontId="2" type="noConversion"/>
  </si>
  <si>
    <t>SST</t>
    <phoneticPr fontId="2" type="noConversion"/>
  </si>
  <si>
    <t>SGF2033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</si>
  <si>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</si>
  <si>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</si>
  <si>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12월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</si>
  <si>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전일 ISSUE 사항(07일)</t>
    <phoneticPr fontId="2" type="noConversion"/>
  </si>
  <si>
    <t>발주분양산-&gt;뜯김2회수리</t>
    <phoneticPr fontId="2" type="noConversion"/>
  </si>
  <si>
    <t>가스수리</t>
    <phoneticPr fontId="2" type="noConversion"/>
  </si>
  <si>
    <t>당일 진행 사항(08일)</t>
    <phoneticPr fontId="2" type="noConversion"/>
  </si>
  <si>
    <t>5.1mm</t>
    <phoneticPr fontId="2" type="noConversion"/>
  </si>
  <si>
    <t>JTN</t>
    <phoneticPr fontId="2" type="noConversion"/>
  </si>
  <si>
    <t>AMB0244A-KAA-R1</t>
    <phoneticPr fontId="2" type="noConversion"/>
  </si>
  <si>
    <t>MCS</t>
    <phoneticPr fontId="2" type="noConversion"/>
  </si>
  <si>
    <t>8</t>
    <phoneticPr fontId="2" type="noConversion"/>
  </si>
  <si>
    <t>STOPPER</t>
    <phoneticPr fontId="2" type="noConversion"/>
  </si>
  <si>
    <t>BR120-127A1</t>
    <phoneticPr fontId="2" type="noConversion"/>
  </si>
  <si>
    <t>HICON</t>
    <phoneticPr fontId="2" type="noConversion"/>
  </si>
  <si>
    <t>6</t>
    <phoneticPr fontId="2" type="noConversion"/>
  </si>
  <si>
    <t>120P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</si>
  <si>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</si>
  <si>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</si>
  <si>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</si>
  <si>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2021년 12월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</si>
  <si>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262C83A-B150A-1</t>
    <phoneticPr fontId="2" type="noConversion"/>
  </si>
  <si>
    <t>BR120-127A1</t>
    <phoneticPr fontId="2" type="noConversion"/>
  </si>
  <si>
    <t xml:space="preserve">SF2255 </t>
    <phoneticPr fontId="2" type="noConversion"/>
  </si>
  <si>
    <t>5.1MM</t>
    <phoneticPr fontId="2" type="noConversion"/>
  </si>
  <si>
    <t>F11 N/P</t>
    <phoneticPr fontId="2" type="noConversion"/>
  </si>
  <si>
    <t>전일 ISSUE 사항(08일)</t>
    <phoneticPr fontId="2" type="noConversion"/>
  </si>
  <si>
    <t>발주분양산</t>
    <phoneticPr fontId="2" type="noConversion"/>
  </si>
  <si>
    <t>HICON</t>
    <phoneticPr fontId="2" type="noConversion"/>
  </si>
  <si>
    <t>6</t>
    <phoneticPr fontId="2" type="noConversion"/>
  </si>
  <si>
    <t>120P</t>
    <phoneticPr fontId="2" type="noConversion"/>
  </si>
  <si>
    <t>AMB0244A-KAA-R1</t>
    <phoneticPr fontId="2" type="noConversion"/>
  </si>
  <si>
    <t>MCS</t>
    <phoneticPr fontId="2" type="noConversion"/>
  </si>
  <si>
    <t>8</t>
    <phoneticPr fontId="2" type="noConversion"/>
  </si>
  <si>
    <t>STOPPER</t>
    <phoneticPr fontId="2" type="noConversion"/>
  </si>
  <si>
    <t>5.1mm</t>
    <phoneticPr fontId="2" type="noConversion"/>
  </si>
  <si>
    <t>JTN</t>
    <phoneticPr fontId="2" type="noConversion"/>
  </si>
  <si>
    <t>12</t>
    <phoneticPr fontId="2" type="noConversion"/>
  </si>
  <si>
    <t>SST</t>
    <phoneticPr fontId="2" type="noConversion"/>
  </si>
  <si>
    <t>15</t>
    <phoneticPr fontId="2" type="noConversion"/>
  </si>
  <si>
    <t>LEAD GUIDE</t>
    <phoneticPr fontId="2" type="noConversion"/>
  </si>
  <si>
    <t>KR6070-F180UA</t>
    <phoneticPr fontId="2" type="noConversion"/>
  </si>
  <si>
    <t>당일 진행 사항(09일)</t>
    <phoneticPr fontId="2" type="noConversion"/>
  </si>
  <si>
    <t>SP</t>
    <phoneticPr fontId="2" type="noConversion"/>
  </si>
  <si>
    <t>AMB39D8A-KAA-R1</t>
    <phoneticPr fontId="2" type="noConversion"/>
  </si>
  <si>
    <t>XP2S FLOATING</t>
    <phoneticPr fontId="2" type="noConversion"/>
  </si>
  <si>
    <t>NEXT</t>
    <phoneticPr fontId="2" type="noConversion"/>
  </si>
  <si>
    <t>2</t>
    <phoneticPr fontId="2" type="noConversion"/>
  </si>
  <si>
    <t>SAMPLE 진행 사항(08일)</t>
    <phoneticPr fontId="2" type="noConversion"/>
  </si>
  <si>
    <t>HDB08PL-96S2</t>
    <phoneticPr fontId="2" type="noConversion"/>
  </si>
  <si>
    <t>SLIDER</t>
    <phoneticPr fontId="2" type="noConversion"/>
  </si>
  <si>
    <t>SGF2030 N/P</t>
    <phoneticPr fontId="2" type="noConversion"/>
  </si>
  <si>
    <t>수정</t>
    <phoneticPr fontId="2" type="noConversion"/>
  </si>
  <si>
    <t>AMB0173A-KAA-R1</t>
    <phoneticPr fontId="2" type="noConversion"/>
  </si>
  <si>
    <t>BASE</t>
    <phoneticPr fontId="2" type="noConversion"/>
  </si>
  <si>
    <t>EX08302</t>
    <phoneticPr fontId="2" type="noConversion"/>
  </si>
  <si>
    <t>원재료</t>
    <phoneticPr fontId="2" type="noConversion"/>
  </si>
  <si>
    <r>
      <t>2021년 12월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</si>
  <si>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XP2S FLOATING</t>
    <phoneticPr fontId="2" type="noConversion"/>
  </si>
  <si>
    <t>전일 ISSUE 사항(09일)</t>
    <phoneticPr fontId="2" type="noConversion"/>
  </si>
  <si>
    <t>발주분양산-&gt;미성형수리</t>
    <phoneticPr fontId="2" type="noConversion"/>
  </si>
  <si>
    <t>AMB39D8A-KAA-R1</t>
    <phoneticPr fontId="2" type="noConversion"/>
  </si>
  <si>
    <t>칼퀴이상정지</t>
    <phoneticPr fontId="2" type="noConversion"/>
  </si>
  <si>
    <t>HDBF05-M02B1</t>
    <phoneticPr fontId="2" type="noConversion"/>
  </si>
  <si>
    <t>BURR수리</t>
    <phoneticPr fontId="2" type="noConversion"/>
  </si>
  <si>
    <t>HICON</t>
    <phoneticPr fontId="2" type="noConversion"/>
  </si>
  <si>
    <t>1</t>
    <phoneticPr fontId="2" type="noConversion"/>
  </si>
  <si>
    <t>SLIDER</t>
    <phoneticPr fontId="2" type="noConversion"/>
  </si>
  <si>
    <t>당일 진행 사항(10일)</t>
    <phoneticPr fontId="2" type="noConversion"/>
  </si>
  <si>
    <t>AMB0366A-KAA-R3</t>
    <phoneticPr fontId="2" type="noConversion"/>
  </si>
  <si>
    <t>발주분양산</t>
    <phoneticPr fontId="2" type="noConversion"/>
  </si>
  <si>
    <t>MCS</t>
    <phoneticPr fontId="2" type="noConversion"/>
  </si>
  <si>
    <t>5</t>
    <phoneticPr fontId="2" type="noConversion"/>
  </si>
  <si>
    <t>COVER</t>
    <phoneticPr fontId="2" type="noConversion"/>
  </si>
  <si>
    <t>KR6156-GBH153AA</t>
    <phoneticPr fontId="2" type="noConversion"/>
  </si>
  <si>
    <t>SST</t>
    <phoneticPr fontId="2" type="noConversion"/>
  </si>
  <si>
    <t>2</t>
    <phoneticPr fontId="2" type="noConversion"/>
  </si>
  <si>
    <t>ADAPTER</t>
    <phoneticPr fontId="2" type="noConversion"/>
  </si>
  <si>
    <t>치수확인후양산</t>
    <phoneticPr fontId="2" type="noConversion"/>
  </si>
  <si>
    <t>SAMPLE 진행 사항(09일)</t>
    <phoneticPr fontId="2" type="noConversion"/>
  </si>
  <si>
    <t>NP652-316-001#IN-A</t>
    <phoneticPr fontId="2" type="noConversion"/>
  </si>
  <si>
    <t>NP652-316-001#MO</t>
    <phoneticPr fontId="2" type="noConversion"/>
  </si>
  <si>
    <t>NP652-316-001#IN-B</t>
    <phoneticPr fontId="2" type="noConversion"/>
  </si>
  <si>
    <t>New Pattern Cover-4</t>
    <phoneticPr fontId="2" type="noConversion"/>
  </si>
  <si>
    <t>AYE</t>
    <phoneticPr fontId="2" type="noConversion"/>
  </si>
  <si>
    <t>라인</t>
    <phoneticPr fontId="2" type="noConversion"/>
  </si>
  <si>
    <t>SGF2050</t>
    <phoneticPr fontId="2" type="noConversion"/>
  </si>
  <si>
    <t>SGP2030R</t>
    <phoneticPr fontId="2" type="noConversion"/>
  </si>
  <si>
    <t>SGF2041</t>
    <phoneticPr fontId="2" type="noConversion"/>
  </si>
  <si>
    <t>LCP ESD</t>
    <phoneticPr fontId="2" type="noConversion"/>
  </si>
  <si>
    <t>수정</t>
    <phoneticPr fontId="2" type="noConversion"/>
  </si>
  <si>
    <t>15</t>
    <phoneticPr fontId="2" type="noConversion"/>
  </si>
  <si>
    <t>32</t>
    <phoneticPr fontId="2" type="noConversion"/>
  </si>
  <si>
    <t>뜯김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</si>
  <si>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</si>
  <si>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</si>
  <si>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</si>
  <si>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</si>
  <si>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12월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</si>
  <si>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ADAPTER</t>
    <phoneticPr fontId="2" type="noConversion"/>
  </si>
  <si>
    <t>JD4901</t>
    <phoneticPr fontId="2" type="noConversion"/>
  </si>
  <si>
    <t>HRCS-00C11A</t>
    <phoneticPr fontId="2" type="noConversion"/>
  </si>
  <si>
    <t>전일 ISSUE 사항(10일)</t>
    <phoneticPr fontId="2" type="noConversion"/>
  </si>
  <si>
    <t>AMB0366A-KAA-R3</t>
    <phoneticPr fontId="2" type="noConversion"/>
  </si>
  <si>
    <t>발주분양산-&gt;뜯김수리</t>
    <phoneticPr fontId="2" type="noConversion"/>
  </si>
  <si>
    <t>발주분양산-&gt;칼퀴수리</t>
    <phoneticPr fontId="2" type="noConversion"/>
  </si>
  <si>
    <t>11</t>
    <phoneticPr fontId="2" type="noConversion"/>
  </si>
  <si>
    <t>K-JR01903-A180AWB</t>
    <phoneticPr fontId="2" type="noConversion"/>
  </si>
  <si>
    <t>세척후양산</t>
    <phoneticPr fontId="2" type="noConversion"/>
  </si>
  <si>
    <t>당일 진행 사항(13일)</t>
    <phoneticPr fontId="2" type="noConversion"/>
  </si>
  <si>
    <t>KR6422AA496YA</t>
    <phoneticPr fontId="2" type="noConversion"/>
  </si>
  <si>
    <t>AMB07AB3A-KAA-R2</t>
    <phoneticPr fontId="2" type="noConversion"/>
  </si>
  <si>
    <t>10</t>
    <phoneticPr fontId="2" type="noConversion"/>
  </si>
  <si>
    <t>HRCS-00C14</t>
    <phoneticPr fontId="2" type="noConversion"/>
  </si>
  <si>
    <t>HICON</t>
    <phoneticPr fontId="2" type="noConversion"/>
  </si>
  <si>
    <t>15</t>
    <phoneticPr fontId="2" type="noConversion"/>
  </si>
  <si>
    <t>BASE</t>
    <phoneticPr fontId="2" type="noConversion"/>
  </si>
  <si>
    <t>AMS08155A-KCC-R1</t>
    <phoneticPr fontId="2" type="noConversion"/>
  </si>
  <si>
    <t>치수확인후양산</t>
    <phoneticPr fontId="2" type="noConversion"/>
  </si>
  <si>
    <t>6</t>
    <phoneticPr fontId="2" type="noConversion"/>
  </si>
  <si>
    <t>M2</t>
    <phoneticPr fontId="2" type="noConversion"/>
  </si>
  <si>
    <t>SAMPLE 진행 사항(10일)</t>
    <phoneticPr fontId="2" type="noConversion"/>
  </si>
  <si>
    <t>HDB08PL-96S2(1C)</t>
    <phoneticPr fontId="2" type="noConversion"/>
  </si>
  <si>
    <t>SLIDER</t>
    <phoneticPr fontId="2" type="noConversion"/>
  </si>
  <si>
    <t>SGF2030 N/P</t>
    <phoneticPr fontId="2" type="noConversion"/>
  </si>
  <si>
    <t>수정</t>
    <phoneticPr fontId="2" type="noConversion"/>
  </si>
  <si>
    <t>12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</si>
  <si>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</si>
  <si>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</si>
  <si>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12월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</si>
  <si>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전일 ISSUE 사항(13일)</t>
    <phoneticPr fontId="2" type="noConversion"/>
  </si>
  <si>
    <t>찍힘수리</t>
    <phoneticPr fontId="2" type="noConversion"/>
  </si>
  <si>
    <t>6</t>
    <phoneticPr fontId="2" type="noConversion"/>
  </si>
  <si>
    <t>M2</t>
    <phoneticPr fontId="2" type="noConversion"/>
  </si>
  <si>
    <t>AMS08155A-KCC-R1</t>
    <phoneticPr fontId="2" type="noConversion"/>
  </si>
  <si>
    <t>치수확인후양산</t>
    <phoneticPr fontId="2" type="noConversion"/>
  </si>
  <si>
    <t>AMB07AB3A-KAA-R2</t>
    <phoneticPr fontId="2" type="noConversion"/>
  </si>
  <si>
    <t>12</t>
    <phoneticPr fontId="2" type="noConversion"/>
  </si>
  <si>
    <t>ADAPTER</t>
    <phoneticPr fontId="2" type="noConversion"/>
  </si>
  <si>
    <t>당일 진행 사항(14일)</t>
    <phoneticPr fontId="2" type="noConversion"/>
  </si>
  <si>
    <t>K-R2763-1B</t>
    <phoneticPr fontId="2" type="noConversion"/>
  </si>
  <si>
    <t>SAMPLE 진행 사항(13일)</t>
    <phoneticPr fontId="2" type="noConversion"/>
  </si>
  <si>
    <t>AMB07P2A-KAA-R1</t>
    <phoneticPr fontId="2" type="noConversion"/>
  </si>
  <si>
    <t>KR6202-EP02TA</t>
    <phoneticPr fontId="2" type="noConversion"/>
  </si>
  <si>
    <t>MCS</t>
    <phoneticPr fontId="2" type="noConversion"/>
  </si>
  <si>
    <t>F/A</t>
    <phoneticPr fontId="2" type="noConversion"/>
  </si>
  <si>
    <t>요청</t>
    <phoneticPr fontId="2" type="noConversion"/>
  </si>
  <si>
    <t>2</t>
    <phoneticPr fontId="2" type="noConversion"/>
  </si>
  <si>
    <t>치수확인용</t>
    <phoneticPr fontId="2" type="noConversion"/>
  </si>
  <si>
    <t>SST</t>
    <phoneticPr fontId="2" type="noConversion"/>
  </si>
  <si>
    <t>LATCH PLATE</t>
    <phoneticPr fontId="2" type="noConversion"/>
  </si>
  <si>
    <t>JD4901</t>
    <phoneticPr fontId="2" type="noConversion"/>
  </si>
  <si>
    <t>가스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</si>
  <si>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</si>
  <si>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</si>
  <si>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2021년 12월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</si>
  <si>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K-R2890-1C</t>
    <phoneticPr fontId="2" type="noConversion"/>
  </si>
  <si>
    <t>전일 ISSUE 사항(14일)</t>
    <phoneticPr fontId="2" type="noConversion"/>
  </si>
  <si>
    <t>단차수리-&gt;코아파손2회수리</t>
    <phoneticPr fontId="2" type="noConversion"/>
  </si>
  <si>
    <t>K-R2890-1C</t>
    <phoneticPr fontId="2" type="noConversion"/>
  </si>
  <si>
    <t>발주분양산-&gt;미성형정지</t>
    <phoneticPr fontId="2" type="noConversion"/>
  </si>
  <si>
    <t>K-AR3462-2B</t>
    <phoneticPr fontId="2" type="noConversion"/>
  </si>
  <si>
    <t>33</t>
    <phoneticPr fontId="2" type="noConversion"/>
  </si>
  <si>
    <t>BASE</t>
    <phoneticPr fontId="2" type="noConversion"/>
  </si>
  <si>
    <t>세척후양산-&gt;코아파손1C막음</t>
    <phoneticPr fontId="2" type="noConversion"/>
  </si>
  <si>
    <t>당일 진행 사항(15일)</t>
    <phoneticPr fontId="2" type="noConversion"/>
  </si>
  <si>
    <t>KR6463-B180PMA</t>
    <phoneticPr fontId="2" type="noConversion"/>
  </si>
  <si>
    <t>발주분양산</t>
    <phoneticPr fontId="2" type="noConversion"/>
  </si>
  <si>
    <t>7</t>
    <phoneticPr fontId="2" type="noConversion"/>
  </si>
  <si>
    <t>SAMPLE 진행 사항(14일)</t>
    <phoneticPr fontId="2" type="noConversion"/>
  </si>
  <si>
    <t>SF2255 I/V</t>
    <phoneticPr fontId="2" type="noConversion"/>
  </si>
  <si>
    <t>KR6202-GC426QA</t>
    <phoneticPr fontId="2" type="noConversion"/>
  </si>
  <si>
    <t>KR6202-S456CA</t>
    <phoneticPr fontId="2" type="noConversion"/>
  </si>
  <si>
    <t>SGF2033</t>
    <phoneticPr fontId="2" type="noConversion"/>
  </si>
  <si>
    <t>BOTTOM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</si>
  <si>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</si>
  <si>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</si>
  <si>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t>K-R2763-1B</t>
    <phoneticPr fontId="2" type="noConversion"/>
  </si>
  <si>
    <t>이관</t>
    <phoneticPr fontId="2" type="noConversion"/>
  </si>
  <si>
    <t>15</t>
    <phoneticPr fontId="2" type="noConversion"/>
  </si>
  <si>
    <r>
      <t>2021년 12월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</si>
  <si>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KR6463-B180PMA</t>
    <phoneticPr fontId="2" type="noConversion"/>
  </si>
  <si>
    <t>전일 ISSUE 사항(15일)</t>
    <phoneticPr fontId="2" type="noConversion"/>
  </si>
  <si>
    <t>코아파손2회정지</t>
    <phoneticPr fontId="2" type="noConversion"/>
  </si>
  <si>
    <t>31</t>
    <phoneticPr fontId="2" type="noConversion"/>
  </si>
  <si>
    <t>K-AR3544-1A</t>
    <phoneticPr fontId="2" type="noConversion"/>
  </si>
  <si>
    <t>자동테스트</t>
    <phoneticPr fontId="2" type="noConversion"/>
  </si>
  <si>
    <t>발주분양산</t>
    <phoneticPr fontId="2" type="noConversion"/>
  </si>
  <si>
    <t>7</t>
    <phoneticPr fontId="2" type="noConversion"/>
  </si>
  <si>
    <t>11</t>
    <phoneticPr fontId="2" type="noConversion"/>
  </si>
  <si>
    <t>K-JR01903-A180AWB</t>
    <phoneticPr fontId="2" type="noConversion"/>
  </si>
  <si>
    <t>코아파손수리</t>
    <phoneticPr fontId="2" type="noConversion"/>
  </si>
  <si>
    <t>당일 진행 사항(16일)</t>
    <phoneticPr fontId="2" type="noConversion"/>
  </si>
  <si>
    <t>KR6105-GAM170UA</t>
    <phoneticPr fontId="2" type="noConversion"/>
  </si>
  <si>
    <t>CAM</t>
    <phoneticPr fontId="2" type="noConversion"/>
  </si>
  <si>
    <t>K-R2770-1C</t>
    <phoneticPr fontId="2" type="noConversion"/>
  </si>
  <si>
    <t>KR6422AA496YA</t>
    <phoneticPr fontId="2" type="noConversion"/>
  </si>
  <si>
    <t>수리후양산</t>
    <phoneticPr fontId="2" type="noConversion"/>
  </si>
  <si>
    <t>4</t>
    <phoneticPr fontId="2" type="noConversion"/>
  </si>
  <si>
    <t>SLIDER</t>
    <phoneticPr fontId="2" type="noConversion"/>
  </si>
  <si>
    <t>SAMPLE 진행 사항(15일)</t>
    <phoneticPr fontId="2" type="noConversion"/>
  </si>
  <si>
    <t>KR6156DC841TA</t>
    <phoneticPr fontId="2" type="noConversion"/>
  </si>
  <si>
    <t>옵션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</si>
  <si>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</si>
  <si>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</si>
  <si>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12월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</si>
  <si>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K-R2770-1C</t>
    <phoneticPr fontId="2" type="noConversion"/>
  </si>
  <si>
    <t>전일 ISSUE 사항(16일)</t>
    <phoneticPr fontId="2" type="noConversion"/>
  </si>
  <si>
    <t>AMB0366A-KAA-R3</t>
    <phoneticPr fontId="2" type="noConversion"/>
  </si>
  <si>
    <t>MCS</t>
    <phoneticPr fontId="2" type="noConversion"/>
  </si>
  <si>
    <t>5</t>
    <phoneticPr fontId="2" type="noConversion"/>
  </si>
  <si>
    <t>COVER</t>
    <phoneticPr fontId="2" type="noConversion"/>
  </si>
  <si>
    <t>칼퀴파손수리-&gt;눌림1C막음</t>
    <phoneticPr fontId="2" type="noConversion"/>
  </si>
  <si>
    <t>KR6105-GAM170UA</t>
    <phoneticPr fontId="2" type="noConversion"/>
  </si>
  <si>
    <t>수정후양산-&gt;치수NG정지</t>
    <phoneticPr fontId="2" type="noConversion"/>
  </si>
  <si>
    <t>15</t>
    <phoneticPr fontId="2" type="noConversion"/>
  </si>
  <si>
    <t>ADAPTER</t>
    <phoneticPr fontId="2" type="noConversion"/>
  </si>
  <si>
    <t>당일 진행 사항(17일)</t>
    <phoneticPr fontId="2" type="noConversion"/>
  </si>
  <si>
    <t>SAMPLE 진행 사항(16일)</t>
    <phoneticPr fontId="2" type="noConversion"/>
  </si>
  <si>
    <t>KR6448AGA180XX</t>
    <phoneticPr fontId="2" type="noConversion"/>
  </si>
  <si>
    <t>ER015618 W/T</t>
    <phoneticPr fontId="2" type="noConversion"/>
  </si>
  <si>
    <t>ER015618 W/T</t>
    <phoneticPr fontId="2" type="noConversion"/>
  </si>
  <si>
    <t>4GATE</t>
    <phoneticPr fontId="2" type="noConversion"/>
  </si>
  <si>
    <t>2GATE</t>
    <phoneticPr fontId="2" type="noConversion"/>
  </si>
  <si>
    <t>KR6202-T456CA</t>
    <phoneticPr fontId="2" type="noConversion"/>
  </si>
  <si>
    <t>NP652-316-001#MO</t>
    <phoneticPr fontId="2" type="noConversion"/>
  </si>
  <si>
    <t>NP652-316-001#IN-B</t>
    <phoneticPr fontId="2" type="noConversion"/>
  </si>
  <si>
    <t>NP652-316-001#IN-A</t>
    <phoneticPr fontId="2" type="noConversion"/>
  </si>
  <si>
    <t>AYE</t>
    <phoneticPr fontId="2" type="noConversion"/>
  </si>
  <si>
    <t>UPPER</t>
    <phoneticPr fontId="2" type="noConversion"/>
  </si>
  <si>
    <t>SGF2033</t>
    <phoneticPr fontId="2" type="noConversion"/>
  </si>
  <si>
    <t>SGP2030R</t>
    <phoneticPr fontId="2" type="noConversion"/>
  </si>
  <si>
    <t>SGF2041</t>
    <phoneticPr fontId="2" type="noConversion"/>
  </si>
  <si>
    <t>SGF2050</t>
    <phoneticPr fontId="2" type="noConversion"/>
  </si>
  <si>
    <t>요청</t>
    <phoneticPr fontId="2" type="noConversion"/>
  </si>
  <si>
    <t>수정</t>
    <phoneticPr fontId="2" type="noConversion"/>
  </si>
  <si>
    <t>6</t>
    <phoneticPr fontId="2" type="noConversion"/>
  </si>
  <si>
    <t>치수NG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</si>
  <si>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</si>
  <si>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</si>
  <si>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2021년 12월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</si>
  <si>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</si>
  <si>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수리후양산-&gt;기포정지</t>
    <phoneticPr fontId="2" type="noConversion"/>
  </si>
  <si>
    <t>HICON</t>
    <phoneticPr fontId="2" type="noConversion"/>
  </si>
  <si>
    <t>15</t>
    <phoneticPr fontId="2" type="noConversion"/>
  </si>
  <si>
    <t>TOP</t>
    <phoneticPr fontId="2" type="noConversion"/>
  </si>
  <si>
    <t>HRCS-00C11A</t>
    <phoneticPr fontId="2" type="noConversion"/>
  </si>
  <si>
    <t>발주분양산</t>
    <phoneticPr fontId="2" type="noConversion"/>
  </si>
  <si>
    <t>13</t>
    <phoneticPr fontId="2" type="noConversion"/>
  </si>
  <si>
    <t>BASE</t>
    <phoneticPr fontId="2" type="noConversion"/>
  </si>
  <si>
    <t>K-JR01903-B180AWB</t>
    <phoneticPr fontId="2" type="noConversion"/>
  </si>
  <si>
    <t>코아파손정지</t>
    <phoneticPr fontId="2" type="noConversion"/>
  </si>
  <si>
    <t>당일 진행 사항(20일)</t>
    <phoneticPr fontId="2" type="noConversion"/>
  </si>
  <si>
    <t>KR6463-D180PSA</t>
    <phoneticPr fontId="2" type="noConversion"/>
  </si>
  <si>
    <t>5</t>
    <phoneticPr fontId="2" type="noConversion"/>
  </si>
  <si>
    <t>STOPPER</t>
    <phoneticPr fontId="2" type="noConversion"/>
  </si>
  <si>
    <t>AMB0187A-KAA-R2</t>
    <phoneticPr fontId="2" type="noConversion"/>
  </si>
  <si>
    <t>MCS</t>
    <phoneticPr fontId="2" type="noConversion"/>
  </si>
  <si>
    <t>8</t>
    <phoneticPr fontId="2" type="noConversion"/>
  </si>
  <si>
    <t>AM0832A-K</t>
    <phoneticPr fontId="2" type="noConversion"/>
  </si>
  <si>
    <t>9</t>
    <phoneticPr fontId="2" type="noConversion"/>
  </si>
  <si>
    <t>SW-003073</t>
    <phoneticPr fontId="2" type="noConversion"/>
  </si>
  <si>
    <t>24V</t>
    <phoneticPr fontId="2" type="noConversion"/>
  </si>
  <si>
    <t>ODT</t>
    <phoneticPr fontId="2" type="noConversion"/>
  </si>
  <si>
    <t>10</t>
    <phoneticPr fontId="2" type="noConversion"/>
  </si>
  <si>
    <t>AMB1942A-KAA-R1</t>
    <phoneticPr fontId="2" type="noConversion"/>
  </si>
  <si>
    <t>11</t>
    <phoneticPr fontId="2" type="noConversion"/>
  </si>
  <si>
    <t>ACTUATOR</t>
    <phoneticPr fontId="2" type="noConversion"/>
  </si>
  <si>
    <t>KR6422AB589CA</t>
    <phoneticPr fontId="2" type="noConversion"/>
  </si>
  <si>
    <t>KR6170BD740UB</t>
    <phoneticPr fontId="2" type="noConversion"/>
  </si>
  <si>
    <t>SAMPLE 진행 사항(17일)</t>
    <phoneticPr fontId="2" type="noConversion"/>
  </si>
  <si>
    <t>KR6202-D456CA</t>
    <phoneticPr fontId="2" type="noConversion"/>
  </si>
  <si>
    <t>KR6202-B456CA</t>
    <phoneticPr fontId="2" type="noConversion"/>
  </si>
  <si>
    <t>KR6202-F456UA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</si>
  <si>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</si>
  <si>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</si>
  <si>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2021년 12월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</si>
  <si>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KR6463-D180PSA</t>
    <phoneticPr fontId="2" type="noConversion"/>
  </si>
  <si>
    <t>730</t>
    <phoneticPr fontId="2" type="noConversion"/>
  </si>
  <si>
    <t>AMB0187A-KAA-R2</t>
    <phoneticPr fontId="2" type="noConversion"/>
  </si>
  <si>
    <t>SW-003073</t>
    <phoneticPr fontId="2" type="noConversion"/>
  </si>
  <si>
    <t>KR6448AC180TA</t>
    <phoneticPr fontId="2" type="noConversion"/>
  </si>
  <si>
    <t>전일 ISSUE 사항(20일)</t>
    <phoneticPr fontId="2" type="noConversion"/>
  </si>
  <si>
    <t>발주분양산-&gt;밀핀파손,BURR정지</t>
    <phoneticPr fontId="2" type="noConversion"/>
  </si>
  <si>
    <t>KR6442AB589CA</t>
    <phoneticPr fontId="2" type="noConversion"/>
  </si>
  <si>
    <t>발주분양산-&gt;밀핀높음수리</t>
    <phoneticPr fontId="2" type="noConversion"/>
  </si>
  <si>
    <t>MCS</t>
    <phoneticPr fontId="2" type="noConversion"/>
  </si>
  <si>
    <t>9</t>
    <phoneticPr fontId="2" type="noConversion"/>
  </si>
  <si>
    <t>AM0832A-K</t>
    <phoneticPr fontId="2" type="noConversion"/>
  </si>
  <si>
    <t>발주분양산-&gt;눌림정지</t>
    <phoneticPr fontId="2" type="noConversion"/>
  </si>
  <si>
    <t>15</t>
    <phoneticPr fontId="2" type="noConversion"/>
  </si>
  <si>
    <t>STOPPER</t>
    <phoneticPr fontId="2" type="noConversion"/>
  </si>
  <si>
    <t>KR6170BD740UB</t>
    <phoneticPr fontId="2" type="noConversion"/>
  </si>
  <si>
    <t>8</t>
    <phoneticPr fontId="2" type="noConversion"/>
  </si>
  <si>
    <t>발주분양산-&gt;상측박힘4회정지</t>
    <phoneticPr fontId="2" type="noConversion"/>
  </si>
  <si>
    <t>ODT</t>
    <phoneticPr fontId="2" type="noConversion"/>
  </si>
  <si>
    <t>10</t>
    <phoneticPr fontId="2" type="noConversion"/>
  </si>
  <si>
    <t>24V</t>
    <phoneticPr fontId="2" type="noConversion"/>
  </si>
  <si>
    <t>11</t>
    <phoneticPr fontId="2" type="noConversion"/>
  </si>
  <si>
    <t>ACTUATOR</t>
    <phoneticPr fontId="2" type="noConversion"/>
  </si>
  <si>
    <t>AMB1942A-KAA-R1</t>
    <phoneticPr fontId="2" type="noConversion"/>
  </si>
  <si>
    <t>발주분양산-&gt;BURR수리</t>
    <phoneticPr fontId="2" type="noConversion"/>
  </si>
  <si>
    <t>당일 진행 사항(21일)</t>
    <phoneticPr fontId="2" type="noConversion"/>
  </si>
  <si>
    <t>AMM0827A-KAA-R2</t>
    <phoneticPr fontId="2" type="noConversion"/>
  </si>
  <si>
    <t>KR6448AC180TA</t>
    <phoneticPr fontId="2" type="noConversion"/>
  </si>
  <si>
    <t>AYE</t>
    <phoneticPr fontId="2" type="noConversion"/>
  </si>
  <si>
    <t>12</t>
    <phoneticPr fontId="2" type="noConversion"/>
  </si>
  <si>
    <t>NP636-2406-001#LB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</si>
  <si>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</si>
  <si>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</si>
  <si>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</si>
  <si>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12월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</si>
  <si>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HSCB65-M02A1-04B</t>
    <phoneticPr fontId="2" type="noConversion"/>
  </si>
  <si>
    <t>BLUE</t>
    <phoneticPr fontId="2" type="noConversion"/>
  </si>
  <si>
    <t>NP636-2406-001#LB</t>
    <phoneticPr fontId="2" type="noConversion"/>
  </si>
  <si>
    <t>STOPPER L/R</t>
    <phoneticPr fontId="2" type="noConversion"/>
  </si>
  <si>
    <t>AAM1251A/B</t>
    <phoneticPr fontId="2" type="noConversion"/>
  </si>
  <si>
    <t>2*1</t>
    <phoneticPr fontId="2" type="noConversion"/>
  </si>
  <si>
    <t>전일 ISSUE 사항(21일)</t>
    <phoneticPr fontId="2" type="noConversion"/>
  </si>
  <si>
    <t>1C파손막음</t>
    <phoneticPr fontId="2" type="noConversion"/>
  </si>
  <si>
    <t>KR6422AA496YA</t>
    <phoneticPr fontId="2" type="noConversion"/>
  </si>
  <si>
    <t>코아파손2회수리</t>
    <phoneticPr fontId="2" type="noConversion"/>
  </si>
  <si>
    <t>코아파손2회1C막음</t>
    <phoneticPr fontId="2" type="noConversion"/>
  </si>
  <si>
    <t>발주분양산-&gt;코아파손정지</t>
    <phoneticPr fontId="2" type="noConversion"/>
  </si>
  <si>
    <t>AAMAMM1251A/B</t>
    <phoneticPr fontId="2" type="noConversion"/>
  </si>
  <si>
    <t>상측박힘수리</t>
    <phoneticPr fontId="2" type="noConversion"/>
  </si>
  <si>
    <t>뜯김2회수리-&gt;BURR정지</t>
    <phoneticPr fontId="2" type="noConversion"/>
  </si>
  <si>
    <t>AYE</t>
    <phoneticPr fontId="2" type="noConversion"/>
  </si>
  <si>
    <t>12</t>
    <phoneticPr fontId="2" type="noConversion"/>
  </si>
  <si>
    <t>당일 진행 사항(22일)</t>
    <phoneticPr fontId="2" type="noConversion"/>
  </si>
  <si>
    <t>KR6105-D315UA</t>
    <phoneticPr fontId="2" type="noConversion"/>
  </si>
  <si>
    <t>AMB1942A-KAA-R2</t>
    <phoneticPr fontId="2" type="noConversion"/>
  </si>
  <si>
    <t>KR6448AB180UA</t>
    <phoneticPr fontId="2" type="noConversion"/>
  </si>
  <si>
    <t>4</t>
    <phoneticPr fontId="2" type="noConversion"/>
  </si>
  <si>
    <t>SAMPLE 진행 사항(21일)</t>
    <phoneticPr fontId="2" type="noConversion"/>
  </si>
  <si>
    <t>KR6202-C456TA</t>
    <phoneticPr fontId="2" type="noConversion"/>
  </si>
  <si>
    <t>JD4901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</si>
  <si>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</si>
  <si>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</si>
  <si>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12월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</si>
  <si>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</si>
  <si>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발주분양산-&gt;코아파손2회정지</t>
    <phoneticPr fontId="2" type="noConversion"/>
  </si>
  <si>
    <t>당일 진행 사항(23일)</t>
    <phoneticPr fontId="2" type="noConversion"/>
  </si>
  <si>
    <t>K-R2767-1A</t>
    <phoneticPr fontId="2" type="noConversion"/>
  </si>
  <si>
    <t>HDBF05-M01B1</t>
    <phoneticPr fontId="2" type="noConversion"/>
  </si>
  <si>
    <t>AMB0361A-KAA-R2</t>
    <phoneticPr fontId="2" type="noConversion"/>
  </si>
  <si>
    <t>13</t>
    <phoneticPr fontId="2" type="noConversion"/>
  </si>
  <si>
    <t>COVER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</si>
  <si>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</si>
  <si>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</si>
  <si>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</si>
  <si>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12월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</si>
  <si>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K-R2767-1A</t>
    <phoneticPr fontId="2" type="noConversion"/>
  </si>
  <si>
    <t xml:space="preserve">SGF2030 </t>
    <phoneticPr fontId="2" type="noConversion"/>
  </si>
  <si>
    <t>전일 ISSUE 사항(23일)</t>
    <phoneticPr fontId="2" type="noConversion"/>
  </si>
  <si>
    <t>수리후양산-&gt;코아파손수리-&gt;뜯김정지</t>
    <phoneticPr fontId="2" type="noConversion"/>
  </si>
  <si>
    <t>수리후양산-&gt;뜯김정지</t>
    <phoneticPr fontId="2" type="noConversion"/>
  </si>
  <si>
    <t>13</t>
    <phoneticPr fontId="2" type="noConversion"/>
  </si>
  <si>
    <t>COVER</t>
    <phoneticPr fontId="2" type="noConversion"/>
  </si>
  <si>
    <t>AMB0361A-KAA-R2</t>
    <phoneticPr fontId="2" type="noConversion"/>
  </si>
  <si>
    <t>발주분양산</t>
    <phoneticPr fontId="2" type="noConversion"/>
  </si>
  <si>
    <t>당일 진행 사항(24일)</t>
    <phoneticPr fontId="2" type="noConversion"/>
  </si>
  <si>
    <t>6</t>
    <phoneticPr fontId="2" type="noConversion"/>
  </si>
  <si>
    <t>8</t>
    <phoneticPr fontId="2" type="noConversion"/>
  </si>
  <si>
    <t>AMB0187A-KAA-R2</t>
    <phoneticPr fontId="2" type="noConversion"/>
  </si>
  <si>
    <t>AMB0190A-KAA-R1</t>
    <phoneticPr fontId="2" type="noConversion"/>
  </si>
  <si>
    <t>KR6170AF1440UA</t>
    <phoneticPr fontId="2" type="noConversion"/>
  </si>
  <si>
    <t>SST</t>
    <phoneticPr fontId="2" type="noConversion"/>
  </si>
  <si>
    <t>4</t>
    <phoneticPr fontId="2" type="noConversion"/>
  </si>
  <si>
    <t>LEAD GUIDE</t>
    <phoneticPr fontId="2" type="noConversion"/>
  </si>
  <si>
    <t>KR6448AGA180PKA</t>
    <phoneticPr fontId="2" type="noConversion"/>
  </si>
  <si>
    <t>ADAPTER</t>
    <phoneticPr fontId="2" type="noConversion"/>
  </si>
  <si>
    <t>288C64A-U148B</t>
    <phoneticPr fontId="2" type="noConversion"/>
  </si>
  <si>
    <t>OKINS</t>
    <phoneticPr fontId="2" type="noConversion"/>
  </si>
  <si>
    <t>9</t>
    <phoneticPr fontId="2" type="noConversion"/>
  </si>
  <si>
    <t>U BASE</t>
    <phoneticPr fontId="2" type="noConversion"/>
  </si>
  <si>
    <t>KR6156DC841TB</t>
    <phoneticPr fontId="2" type="noConversion"/>
  </si>
  <si>
    <t>KR6448AC180TA</t>
    <phoneticPr fontId="2" type="noConversion"/>
  </si>
  <si>
    <t>SAMPLE 진행 사항(23일)</t>
    <phoneticPr fontId="2" type="noConversion"/>
  </si>
  <si>
    <t>KR6105-GAM170UA</t>
    <phoneticPr fontId="2" type="noConversion"/>
  </si>
  <si>
    <t>KR6448AGA180XX</t>
    <phoneticPr fontId="2" type="noConversion"/>
  </si>
  <si>
    <t>KR6422-GB496QA</t>
    <phoneticPr fontId="2" type="noConversion"/>
  </si>
  <si>
    <t>ER015618 W/T</t>
    <phoneticPr fontId="2" type="noConversion"/>
  </si>
  <si>
    <t>SF2255 I/V</t>
    <phoneticPr fontId="2" type="noConversion"/>
  </si>
  <si>
    <t>수정</t>
    <phoneticPr fontId="2" type="noConversion"/>
  </si>
  <si>
    <t>요청</t>
    <phoneticPr fontId="2" type="noConversion"/>
  </si>
  <si>
    <t>12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</si>
  <si>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</si>
  <si>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</si>
  <si>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12월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</si>
  <si>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RG430</t>
    <phoneticPr fontId="2" type="noConversion"/>
  </si>
  <si>
    <t>KR6448AGA1880PKA</t>
    <phoneticPr fontId="2" type="noConversion"/>
  </si>
  <si>
    <t>PX13012</t>
    <phoneticPr fontId="2" type="noConversion"/>
  </si>
  <si>
    <t>KR6448AC180UA</t>
    <phoneticPr fontId="2" type="noConversion"/>
  </si>
  <si>
    <t>전일 ISSUE 사항(24일)</t>
    <phoneticPr fontId="2" type="noConversion"/>
  </si>
  <si>
    <t>KR6170AF1440UA</t>
    <phoneticPr fontId="2" type="noConversion"/>
  </si>
  <si>
    <t>AMB0190A-KAA-R1</t>
    <phoneticPr fontId="2" type="noConversion"/>
  </si>
  <si>
    <t>KR6448AGA180PKA</t>
    <phoneticPr fontId="2" type="noConversion"/>
  </si>
  <si>
    <t>발주분양산-&gt;런너막힘수리</t>
    <phoneticPr fontId="2" type="noConversion"/>
  </si>
  <si>
    <t>KR6448AC180TA</t>
    <phoneticPr fontId="2" type="noConversion"/>
  </si>
  <si>
    <t>288C64A-U148B</t>
    <phoneticPr fontId="2" type="noConversion"/>
  </si>
  <si>
    <t>당일 진행 사항(27일)</t>
    <phoneticPr fontId="2" type="noConversion"/>
  </si>
  <si>
    <t>AMB07Z1A-KAA-R1</t>
    <phoneticPr fontId="2" type="noConversion"/>
  </si>
  <si>
    <t>288C64A-B148A</t>
    <phoneticPr fontId="2" type="noConversion"/>
  </si>
  <si>
    <t>AMB2071A-KAA-R2</t>
    <phoneticPr fontId="2" type="noConversion"/>
  </si>
  <si>
    <t>10</t>
    <phoneticPr fontId="2" type="noConversion"/>
  </si>
  <si>
    <t>F/A</t>
    <phoneticPr fontId="2" type="noConversion"/>
  </si>
  <si>
    <t>NP620-464-001#CV</t>
    <phoneticPr fontId="2" type="noConversion"/>
  </si>
  <si>
    <t>AYE</t>
    <phoneticPr fontId="2" type="noConversion"/>
  </si>
  <si>
    <t>11</t>
    <phoneticPr fontId="2" type="noConversion"/>
  </si>
  <si>
    <t>AMB1935A-KAA-R2</t>
    <phoneticPr fontId="2" type="noConversion"/>
  </si>
  <si>
    <t>14</t>
    <phoneticPr fontId="2" type="noConversion"/>
  </si>
  <si>
    <t>ACTUATOR</t>
    <phoneticPr fontId="2" type="noConversion"/>
  </si>
  <si>
    <t>DI</t>
    <phoneticPr fontId="2" type="noConversion"/>
  </si>
  <si>
    <t>16</t>
    <phoneticPr fontId="2" type="noConversion"/>
  </si>
  <si>
    <t>28P</t>
    <phoneticPr fontId="2" type="noConversion"/>
  </si>
  <si>
    <t>SAMPLE 진행 사항(24일)</t>
    <phoneticPr fontId="2" type="noConversion"/>
  </si>
  <si>
    <t>K-JR01887-G05ABB</t>
    <phoneticPr fontId="2" type="noConversion"/>
  </si>
  <si>
    <t>SGF2030 N/P</t>
    <phoneticPr fontId="2" type="noConversion"/>
  </si>
  <si>
    <t>옵션</t>
    <phoneticPr fontId="2" type="noConversion"/>
  </si>
  <si>
    <t>12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</si>
  <si>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</si>
  <si>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</si>
  <si>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2021년 12월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</si>
  <si>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AMB07Z1A-KAA-R1</t>
    <phoneticPr fontId="2" type="noConversion"/>
  </si>
  <si>
    <t>PX13322 W/T</t>
    <phoneticPr fontId="2" type="noConversion"/>
  </si>
  <si>
    <t>NP620-464-001#CV</t>
    <phoneticPr fontId="2" type="noConversion"/>
  </si>
  <si>
    <t>NP636-2406-001#IN</t>
    <phoneticPr fontId="2" type="noConversion"/>
  </si>
  <si>
    <t>AMB1935A-KAA-R2</t>
    <phoneticPr fontId="2" type="noConversion"/>
  </si>
  <si>
    <t>28P(4POST)</t>
    <phoneticPr fontId="2" type="noConversion"/>
  </si>
  <si>
    <t>전일 ISSUE 사항(27일)</t>
    <phoneticPr fontId="2" type="noConversion"/>
  </si>
  <si>
    <t>BURR수리-&gt;1C막음</t>
    <phoneticPr fontId="2" type="noConversion"/>
  </si>
  <si>
    <t>발주분양산-&gt;코아파손5회정지</t>
    <phoneticPr fontId="2" type="noConversion"/>
  </si>
  <si>
    <t>AYE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</si>
  <si>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</si>
  <si>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</si>
  <si>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</si>
  <si>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ACTUATOR</t>
    <phoneticPr fontId="2" type="noConversion"/>
  </si>
  <si>
    <t>DI</t>
    <phoneticPr fontId="2" type="noConversion"/>
  </si>
  <si>
    <t>16</t>
    <phoneticPr fontId="2" type="noConversion"/>
  </si>
  <si>
    <t>28P</t>
    <phoneticPr fontId="2" type="noConversion"/>
  </si>
  <si>
    <t>당일 진행 사항(28일)</t>
    <phoneticPr fontId="2" type="noConversion"/>
  </si>
  <si>
    <t>NP636-2406-001#SP-A/B</t>
    <phoneticPr fontId="2" type="noConversion"/>
  </si>
  <si>
    <t>발주분양산</t>
    <phoneticPr fontId="2" type="noConversion"/>
  </si>
  <si>
    <t>6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</si>
  <si>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</si>
  <si>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</si>
  <si>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</si>
  <si>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12월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</si>
  <si>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NP636-2406-001#SP-A/B</t>
    <phoneticPr fontId="2" type="noConversion"/>
  </si>
  <si>
    <t>2*1</t>
    <phoneticPr fontId="2" type="noConversion"/>
  </si>
  <si>
    <t>전일 ISSUE 사항(28일)</t>
    <phoneticPr fontId="2" type="noConversion"/>
  </si>
  <si>
    <t>수리후양산-&gt;코아파손5회정지</t>
    <phoneticPr fontId="2" type="noConversion"/>
  </si>
  <si>
    <t>11</t>
    <phoneticPr fontId="2" type="noConversion"/>
  </si>
  <si>
    <t>ADAPTER</t>
    <phoneticPr fontId="2" type="noConversion"/>
  </si>
  <si>
    <t>KR6105-GAM170UA</t>
    <phoneticPr fontId="2" type="noConversion"/>
  </si>
  <si>
    <t>SP-A/B</t>
    <phoneticPr fontId="2" type="noConversion"/>
  </si>
  <si>
    <t>당일 진행 사항(29일)</t>
    <phoneticPr fontId="2" type="noConversion"/>
  </si>
  <si>
    <t>AMB2071A-KAA-R2</t>
    <phoneticPr fontId="2" type="noConversion"/>
  </si>
  <si>
    <t>BURR정지</t>
    <phoneticPr fontId="2" type="noConversion"/>
  </si>
  <si>
    <t>MCS</t>
    <phoneticPr fontId="2" type="noConversion"/>
  </si>
  <si>
    <t>10</t>
    <phoneticPr fontId="2" type="noConversion"/>
  </si>
  <si>
    <t>F/A</t>
    <phoneticPr fontId="2" type="noConversion"/>
  </si>
  <si>
    <t>HDBF05-M01B1</t>
    <phoneticPr fontId="2" type="noConversion"/>
  </si>
  <si>
    <t>HICON</t>
    <phoneticPr fontId="2" type="noConversion"/>
  </si>
  <si>
    <t>3</t>
    <phoneticPr fontId="2" type="noConversion"/>
  </si>
  <si>
    <t>56T1-05-T2-BA-2</t>
    <phoneticPr fontId="2" type="noConversion"/>
  </si>
  <si>
    <t>KR6156DC841TB</t>
    <phoneticPr fontId="2" type="noConversion"/>
  </si>
  <si>
    <t>SST</t>
    <phoneticPr fontId="2" type="noConversion"/>
  </si>
  <si>
    <t>13</t>
    <phoneticPr fontId="2" type="noConversion"/>
  </si>
  <si>
    <t>COVER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</si>
  <si>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</si>
  <si>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</si>
  <si>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</si>
  <si>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12월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</si>
  <si>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56T1-05-T2-AA-1</t>
    <phoneticPr fontId="2" type="noConversion"/>
  </si>
  <si>
    <t>KR6457-D315UA</t>
    <phoneticPr fontId="2" type="noConversion"/>
  </si>
  <si>
    <t>KR6457-C315TA</t>
    <phoneticPr fontId="2" type="noConversion"/>
  </si>
  <si>
    <t>전일 ISSUE 사항(29일)</t>
    <phoneticPr fontId="2" type="noConversion"/>
  </si>
  <si>
    <t>K-R2763-1B</t>
    <phoneticPr fontId="2" type="noConversion"/>
  </si>
  <si>
    <t>KR6457-D315UA</t>
    <phoneticPr fontId="2" type="noConversion"/>
  </si>
  <si>
    <t>KR6156DC841TB</t>
    <phoneticPr fontId="2" type="noConversion"/>
  </si>
  <si>
    <t>13</t>
    <phoneticPr fontId="2" type="noConversion"/>
  </si>
  <si>
    <t>COVER</t>
    <phoneticPr fontId="2" type="noConversion"/>
  </si>
  <si>
    <t>KR6457-C315TA</t>
    <phoneticPr fontId="2" type="noConversion"/>
  </si>
  <si>
    <t>14</t>
    <phoneticPr fontId="2" type="noConversion"/>
  </si>
  <si>
    <t>당일 진행 사항(30일)</t>
    <phoneticPr fontId="2" type="noConversion"/>
  </si>
  <si>
    <t>KR6457-A315YA</t>
    <phoneticPr fontId="2" type="noConversion"/>
  </si>
  <si>
    <t>SST</t>
    <phoneticPr fontId="2" type="noConversion"/>
  </si>
  <si>
    <t>11</t>
    <phoneticPr fontId="2" type="noConversion"/>
  </si>
  <si>
    <t>SLIDER</t>
    <phoneticPr fontId="2" type="noConversion"/>
  </si>
  <si>
    <t>KR6457BB315PMA</t>
    <phoneticPr fontId="2" type="noConversion"/>
  </si>
  <si>
    <t>AMM08012A-KAA-R1</t>
    <phoneticPr fontId="2" type="noConversion"/>
  </si>
  <si>
    <t>MCS</t>
    <phoneticPr fontId="2" type="noConversion"/>
  </si>
  <si>
    <t>3</t>
    <phoneticPr fontId="2" type="noConversion"/>
  </si>
  <si>
    <t>KR6170AF1440UA</t>
    <phoneticPr fontId="2" type="noConversion"/>
  </si>
  <si>
    <t>4</t>
    <phoneticPr fontId="2" type="noConversion"/>
  </si>
  <si>
    <t>LEAD GUIDE</t>
    <phoneticPr fontId="2" type="noConversion"/>
  </si>
  <si>
    <t>SAMPLE 진행 사항(29일)</t>
    <phoneticPr fontId="2" type="noConversion"/>
  </si>
  <si>
    <t>KR6422-GB496QA</t>
    <phoneticPr fontId="2" type="noConversion"/>
  </si>
  <si>
    <t>HSA08-M03A1(1C)</t>
    <phoneticPr fontId="2" type="noConversion"/>
  </si>
  <si>
    <t>AMB0354B-KAA-R1</t>
    <phoneticPr fontId="2" type="noConversion"/>
  </si>
  <si>
    <t>HICON</t>
    <phoneticPr fontId="2" type="noConversion"/>
  </si>
  <si>
    <t>ADAPTER</t>
    <phoneticPr fontId="2" type="noConversion"/>
  </si>
  <si>
    <t>SF2255 I/V</t>
    <phoneticPr fontId="2" type="noConversion"/>
  </si>
  <si>
    <t>JD4901</t>
    <phoneticPr fontId="2" type="noConversion"/>
  </si>
  <si>
    <t>수정</t>
    <phoneticPr fontId="2" type="noConversion"/>
  </si>
  <si>
    <t>옵션</t>
    <phoneticPr fontId="2" type="noConversion"/>
  </si>
  <si>
    <t>12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</si>
  <si>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</si>
  <si>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</si>
  <si>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2021년 12월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</si>
  <si>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KR6457-GA315PNA</t>
    <phoneticPr fontId="2" type="noConversion"/>
  </si>
  <si>
    <t>SF2250EPR N/P</t>
    <phoneticPr fontId="2" type="noConversion"/>
  </si>
  <si>
    <t>AMM08012A-KAA-R1</t>
    <phoneticPr fontId="2" type="noConversion"/>
  </si>
  <si>
    <t>56T1-05-T2-BA-2</t>
    <phoneticPr fontId="2" type="noConversion"/>
  </si>
  <si>
    <t>KR6457-A315YA</t>
    <phoneticPr fontId="2" type="noConversion"/>
  </si>
  <si>
    <t>KR6457BB315PMA</t>
    <phoneticPr fontId="2" type="noConversion"/>
  </si>
  <si>
    <t>LATCH</t>
    <phoneticPr fontId="2" type="noConversion"/>
  </si>
  <si>
    <t>KR6457-E01TA</t>
    <phoneticPr fontId="2" type="noConversion"/>
  </si>
  <si>
    <t>전일 ISSUE 사항(30일)</t>
    <phoneticPr fontId="2" type="noConversion"/>
  </si>
  <si>
    <t>발주분양산-&gt;BURR수리-&gt;코아파손수리-&gt;게이트파손정지</t>
    <phoneticPr fontId="2" type="noConversion"/>
  </si>
  <si>
    <t>수리후양산</t>
    <phoneticPr fontId="2" type="noConversion"/>
  </si>
  <si>
    <t>11</t>
    <phoneticPr fontId="2" type="noConversion"/>
  </si>
  <si>
    <t>SLIDER</t>
    <phoneticPr fontId="2" type="noConversion"/>
  </si>
  <si>
    <t>13</t>
    <phoneticPr fontId="2" type="noConversion"/>
  </si>
  <si>
    <t>15</t>
    <phoneticPr fontId="2" type="noConversion"/>
  </si>
  <si>
    <t>LATCH</t>
    <phoneticPr fontId="2" type="noConversion"/>
  </si>
  <si>
    <t>2</t>
    <phoneticPr fontId="2" type="noConversion"/>
  </si>
  <si>
    <t>ADAPTER</t>
    <phoneticPr fontId="2" type="noConversion"/>
  </si>
  <si>
    <t>AMB07Z1A-KAA-R1</t>
    <phoneticPr fontId="2" type="noConversion"/>
  </si>
  <si>
    <t>1</t>
    <phoneticPr fontId="2" type="noConversion"/>
  </si>
  <si>
    <t>KR6197-06KA</t>
    <phoneticPr fontId="2" type="noConversion"/>
  </si>
  <si>
    <t>SST</t>
    <phoneticPr fontId="2" type="noConversion"/>
  </si>
  <si>
    <t>6</t>
    <phoneticPr fontId="2" type="noConversion"/>
  </si>
  <si>
    <t>SHAFT</t>
    <phoneticPr fontId="2" type="noConversion"/>
  </si>
  <si>
    <t>AMB0189A-KAA-R2</t>
    <phoneticPr fontId="2" type="noConversion"/>
  </si>
  <si>
    <t>8</t>
    <phoneticPr fontId="2" type="noConversion"/>
  </si>
  <si>
    <t>AMB1905B-KAA-R1</t>
    <phoneticPr fontId="2" type="noConversion"/>
  </si>
  <si>
    <t>ACTUATOR</t>
    <phoneticPr fontId="2" type="noConversion"/>
  </si>
  <si>
    <t>AMB2071A-KAA-R2</t>
    <phoneticPr fontId="2" type="noConversion"/>
  </si>
  <si>
    <t>10</t>
    <phoneticPr fontId="2" type="noConversion"/>
  </si>
  <si>
    <t>F/A</t>
    <phoneticPr fontId="2" type="noConversion"/>
  </si>
  <si>
    <t>AM0148E-K-R2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</si>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</sst>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32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8" borderId="20" xfId="8" applyFont="1" applyFill="1" applyBorder="1" applyAlignment="1">
      <alignment horizontal="center" vertical="center"/>
    </xf>
    <xf numFmtId="9" fontId="7" fillId="28" borderId="54" xfId="8" applyFont="1" applyFill="1" applyBorder="1" applyAlignment="1">
      <alignment horizontal="center" vertical="center"/>
    </xf>
    <xf numFmtId="9" fontId="7" fillId="28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8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8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8" borderId="8" xfId="2" applyFont="1" applyFill="1" applyBorder="1" applyAlignment="1">
      <alignment horizontal="center" vertical="center"/>
    </xf>
    <xf numFmtId="0" fontId="7" fillId="28" borderId="53" xfId="0" applyFont="1" applyFill="1" applyBorder="1" applyAlignment="1">
      <alignment horizontal="center" vertical="center"/>
    </xf>
    <xf numFmtId="9" fontId="7" fillId="28" borderId="38" xfId="8" applyFont="1" applyFill="1" applyBorder="1" applyAlignment="1">
      <alignment horizontal="center" vertical="center"/>
    </xf>
    <xf numFmtId="9" fontId="7" fillId="28" borderId="24" xfId="8" applyFont="1" applyFill="1" applyBorder="1" applyAlignment="1">
      <alignment horizontal="center" vertical="center"/>
    </xf>
    <xf numFmtId="9" fontId="7" fillId="28" borderId="33" xfId="8" applyFont="1" applyFill="1" applyBorder="1" applyAlignment="1">
      <alignment horizontal="center" vertical="center"/>
    </xf>
    <xf numFmtId="9" fontId="7" fillId="28" borderId="31" xfId="8" applyFont="1" applyFill="1" applyBorder="1" applyAlignment="1">
      <alignment horizontal="center" vertical="center"/>
    </xf>
    <xf numFmtId="9" fontId="7" fillId="28" borderId="5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29" xfId="2" applyFont="1" applyFill="1" applyBorder="1" applyAlignment="1">
      <alignment horizontal="center" vertical="center"/>
    </xf>
    <xf numFmtId="0" fontId="19" fillId="2" borderId="16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5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19" xfId="2" applyNumberFormat="1" applyFont="1" applyBorder="1" applyAlignment="1">
      <alignment horizontal="left" vertical="center" shrinkToFit="1"/>
    </xf>
    <xf numFmtId="49" fontId="13" fillId="0" borderId="27" xfId="2" applyNumberFormat="1" applyFont="1" applyBorder="1" applyAlignment="1">
      <alignment horizontal="left" vertical="center" shrinkToFit="1"/>
    </xf>
    <xf numFmtId="49" fontId="13" fillId="0" borderId="63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42" fontId="15" fillId="0" borderId="22" xfId="7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'01'!$L$6:$L$31</c:f>
              <c:numCache>
                <c:formatCode>_(* #,##0_);_(* \(#,##0\);_(* "-"_);_(@_)</c:formatCode>
                <c:ptCount val="26"/>
                <c:pt idx="2">
                  <c:v>2238</c:v>
                </c:pt>
                <c:pt idx="3">
                  <c:v>30</c:v>
                </c:pt>
                <c:pt idx="4">
                  <c:v>7625</c:v>
                </c:pt>
                <c:pt idx="5">
                  <c:v>5443</c:v>
                </c:pt>
                <c:pt idx="6">
                  <c:v>4493</c:v>
                </c:pt>
                <c:pt idx="7">
                  <c:v>9592</c:v>
                </c:pt>
                <c:pt idx="8">
                  <c:v>14940</c:v>
                </c:pt>
                <c:pt idx="9">
                  <c:v>631</c:v>
                </c:pt>
                <c:pt idx="10">
                  <c:v>24984</c:v>
                </c:pt>
                <c:pt idx="11">
                  <c:v>11420</c:v>
                </c:pt>
                <c:pt idx="13">
                  <c:v>11244</c:v>
                </c:pt>
                <c:pt idx="14">
                  <c:v>1633</c:v>
                </c:pt>
                <c:pt idx="15">
                  <c:v>3362</c:v>
                </c:pt>
                <c:pt idx="16">
                  <c:v>5426</c:v>
                </c:pt>
                <c:pt idx="17">
                  <c:v>64780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E-42B7-B411-83B331C3531D}"/>
            </c:ext>
          </c:extLst>
        </c:ser>
        <c:ser>
          <c:idx val="1"/>
          <c:order val="1"/>
          <c:tx>
            <c:v>계획</c:v>
          </c:tx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'01'!$J$6:$J$31</c:f>
              <c:numCache>
                <c:formatCode>_(* #,##0_);_(* \(#,##0\);_(* "-"_);_(@_)</c:formatCode>
                <c:ptCount val="26"/>
                <c:pt idx="0">
                  <c:v>5292</c:v>
                </c:pt>
                <c:pt idx="1">
                  <c:v>585</c:v>
                </c:pt>
                <c:pt idx="2">
                  <c:v>2238</c:v>
                </c:pt>
                <c:pt idx="3">
                  <c:v>30</c:v>
                </c:pt>
                <c:pt idx="4">
                  <c:v>7625</c:v>
                </c:pt>
                <c:pt idx="5">
                  <c:v>5443</c:v>
                </c:pt>
                <c:pt idx="6">
                  <c:v>4493</c:v>
                </c:pt>
                <c:pt idx="7">
                  <c:v>9592</c:v>
                </c:pt>
                <c:pt idx="8">
                  <c:v>14940</c:v>
                </c:pt>
                <c:pt idx="9">
                  <c:v>631</c:v>
                </c:pt>
                <c:pt idx="10">
                  <c:v>24984</c:v>
                </c:pt>
                <c:pt idx="11">
                  <c:v>11420</c:v>
                </c:pt>
                <c:pt idx="12">
                  <c:v>600</c:v>
                </c:pt>
                <c:pt idx="13">
                  <c:v>11244</c:v>
                </c:pt>
                <c:pt idx="14">
                  <c:v>1633</c:v>
                </c:pt>
                <c:pt idx="15">
                  <c:v>3362</c:v>
                </c:pt>
                <c:pt idx="16">
                  <c:v>5426</c:v>
                </c:pt>
                <c:pt idx="17">
                  <c:v>64780</c:v>
                </c:pt>
                <c:pt idx="18">
                  <c:v>0</c:v>
                </c:pt>
                <c:pt idx="19">
                  <c:v>24024</c:v>
                </c:pt>
                <c:pt idx="20">
                  <c:v>22300</c:v>
                </c:pt>
                <c:pt idx="21">
                  <c:v>189476</c:v>
                </c:pt>
                <c:pt idx="22">
                  <c:v>15393</c:v>
                </c:pt>
                <c:pt idx="23">
                  <c:v>24332</c:v>
                </c:pt>
                <c:pt idx="24">
                  <c:v>26116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2E-42B7-B411-83B331C35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'01'!$AD$6:$AD$31</c:f>
              <c:strCache>
                <c:ptCount val="26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8%</c:v>
                </c:pt>
                <c:pt idx="4">
                  <c:v>100%</c:v>
                </c:pt>
                <c:pt idx="5">
                  <c:v>100%</c:v>
                </c:pt>
                <c:pt idx="6">
                  <c:v>83%</c:v>
                </c:pt>
                <c:pt idx="7">
                  <c:v>100%</c:v>
                </c:pt>
                <c:pt idx="8">
                  <c:v>100%</c:v>
                </c:pt>
                <c:pt idx="9">
                  <c:v>54%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38%</c:v>
                </c:pt>
                <c:pt idx="15">
                  <c:v>58%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'01'!$AD$6:$AD$31</c:f>
              <c:numCache>
                <c:formatCode>0%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8.3333333333333329E-2</c:v>
                </c:pt>
                <c:pt idx="4">
                  <c:v>1</c:v>
                </c:pt>
                <c:pt idx="5">
                  <c:v>1</c:v>
                </c:pt>
                <c:pt idx="6">
                  <c:v>0.83333333333333337</c:v>
                </c:pt>
                <c:pt idx="7">
                  <c:v>1</c:v>
                </c:pt>
                <c:pt idx="8">
                  <c:v>1</c:v>
                </c:pt>
                <c:pt idx="9">
                  <c:v>0.54166666666666663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0.375</c:v>
                </c:pt>
                <c:pt idx="15">
                  <c:v>0.58333333333333337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7-4947-AE96-EFA5D3BA3CF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17-4947-AE96-EFA5D3BA3CF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'01'!$AE$6:$AE$31</c:f>
              <c:numCache>
                <c:formatCode>0%</c:formatCode>
                <c:ptCount val="26"/>
                <c:pt idx="0">
                  <c:v>0.45993589743589747</c:v>
                </c:pt>
                <c:pt idx="1">
                  <c:v>0.45993589743589747</c:v>
                </c:pt>
                <c:pt idx="2">
                  <c:v>0.45993589743589747</c:v>
                </c:pt>
                <c:pt idx="3">
                  <c:v>0.45993589743589747</c:v>
                </c:pt>
                <c:pt idx="4">
                  <c:v>0.45993589743589747</c:v>
                </c:pt>
                <c:pt idx="5">
                  <c:v>0.45993589743589747</c:v>
                </c:pt>
                <c:pt idx="6">
                  <c:v>0.45993589743589747</c:v>
                </c:pt>
                <c:pt idx="7">
                  <c:v>0.45993589743589747</c:v>
                </c:pt>
                <c:pt idx="8">
                  <c:v>0.45993589743589747</c:v>
                </c:pt>
                <c:pt idx="9">
                  <c:v>0.45993589743589747</c:v>
                </c:pt>
                <c:pt idx="10">
                  <c:v>0.45993589743589747</c:v>
                </c:pt>
                <c:pt idx="11">
                  <c:v>0.45993589743589747</c:v>
                </c:pt>
                <c:pt idx="12">
                  <c:v>0.45993589743589747</c:v>
                </c:pt>
                <c:pt idx="13">
                  <c:v>0.45993589743589747</c:v>
                </c:pt>
                <c:pt idx="14">
                  <c:v>0.45993589743589747</c:v>
                </c:pt>
                <c:pt idx="15">
                  <c:v>0.45993589743589747</c:v>
                </c:pt>
                <c:pt idx="16">
                  <c:v>0.45993589743589747</c:v>
                </c:pt>
                <c:pt idx="17">
                  <c:v>0.45993589743589747</c:v>
                </c:pt>
                <c:pt idx="18">
                  <c:v>0.45993589743589747</c:v>
                </c:pt>
                <c:pt idx="19">
                  <c:v>0.45993589743589747</c:v>
                </c:pt>
                <c:pt idx="20">
                  <c:v>0.45993589743589747</c:v>
                </c:pt>
                <c:pt idx="21">
                  <c:v>0.45993589743589747</c:v>
                </c:pt>
                <c:pt idx="22">
                  <c:v>0.45993589743589747</c:v>
                </c:pt>
                <c:pt idx="23">
                  <c:v>0.45993589743589747</c:v>
                </c:pt>
                <c:pt idx="24">
                  <c:v>0.45993589743589747</c:v>
                </c:pt>
                <c:pt idx="25">
                  <c:v>0.45993589743589747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7-4947-AE96-EFA5D3BA3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'01'!$L$6:$L$31</c:f>
              <c:numCache>
                <c:formatCode>_(* #,##0_);_(* \(#,##0\);_(* "-"_);_(@_)</c:formatCode>
                <c:ptCount val="26"/>
                <c:pt idx="2">
                  <c:v>2238</c:v>
                </c:pt>
                <c:pt idx="3">
                  <c:v>30</c:v>
                </c:pt>
                <c:pt idx="4">
                  <c:v>7625</c:v>
                </c:pt>
                <c:pt idx="5">
                  <c:v>5443</c:v>
                </c:pt>
                <c:pt idx="6">
                  <c:v>4493</c:v>
                </c:pt>
                <c:pt idx="7">
                  <c:v>9592</c:v>
                </c:pt>
                <c:pt idx="8">
                  <c:v>14940</c:v>
                </c:pt>
                <c:pt idx="9">
                  <c:v>631</c:v>
                </c:pt>
                <c:pt idx="10">
                  <c:v>24984</c:v>
                </c:pt>
                <c:pt idx="11">
                  <c:v>11420</c:v>
                </c:pt>
                <c:pt idx="13">
                  <c:v>11244</c:v>
                </c:pt>
                <c:pt idx="14">
                  <c:v>1633</c:v>
                </c:pt>
                <c:pt idx="15">
                  <c:v>3362</c:v>
                </c:pt>
                <c:pt idx="16">
                  <c:v>5426</c:v>
                </c:pt>
                <c:pt idx="17">
                  <c:v>64780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F-47EC-8DB3-3F7B99803BFB}"/>
            </c:ext>
          </c:extLst>
        </c:ser>
        <c:ser>
          <c:idx val="1"/>
          <c:order val="1"/>
          <c:tx>
            <c:v>계획</c:v>
          </c:tx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'01'!$J$6:$J$31</c:f>
              <c:numCache>
                <c:formatCode>_(* #,##0_);_(* \(#,##0\);_(* "-"_);_(@_)</c:formatCode>
                <c:ptCount val="26"/>
                <c:pt idx="0">
                  <c:v>5292</c:v>
                </c:pt>
                <c:pt idx="1">
                  <c:v>585</c:v>
                </c:pt>
                <c:pt idx="2">
                  <c:v>2238</c:v>
                </c:pt>
                <c:pt idx="3">
                  <c:v>30</c:v>
                </c:pt>
                <c:pt idx="4">
                  <c:v>7625</c:v>
                </c:pt>
                <c:pt idx="5">
                  <c:v>5443</c:v>
                </c:pt>
                <c:pt idx="6">
                  <c:v>4493</c:v>
                </c:pt>
                <c:pt idx="7">
                  <c:v>9592</c:v>
                </c:pt>
                <c:pt idx="8">
                  <c:v>14940</c:v>
                </c:pt>
                <c:pt idx="9">
                  <c:v>631</c:v>
                </c:pt>
                <c:pt idx="10">
                  <c:v>24984</c:v>
                </c:pt>
                <c:pt idx="11">
                  <c:v>11420</c:v>
                </c:pt>
                <c:pt idx="12">
                  <c:v>600</c:v>
                </c:pt>
                <c:pt idx="13">
                  <c:v>11244</c:v>
                </c:pt>
                <c:pt idx="14">
                  <c:v>1633</c:v>
                </c:pt>
                <c:pt idx="15">
                  <c:v>3362</c:v>
                </c:pt>
                <c:pt idx="16">
                  <c:v>5426</c:v>
                </c:pt>
                <c:pt idx="17">
                  <c:v>64780</c:v>
                </c:pt>
                <c:pt idx="18">
                  <c:v>0</c:v>
                </c:pt>
                <c:pt idx="19">
                  <c:v>24024</c:v>
                </c:pt>
                <c:pt idx="20">
                  <c:v>22300</c:v>
                </c:pt>
                <c:pt idx="21">
                  <c:v>189476</c:v>
                </c:pt>
                <c:pt idx="22">
                  <c:v>15393</c:v>
                </c:pt>
                <c:pt idx="23">
                  <c:v>24332</c:v>
                </c:pt>
                <c:pt idx="24">
                  <c:v>26116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F-47EC-8DB3-3F7B99803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'01'!$AD$6:$AD$31</c:f>
              <c:strCache>
                <c:ptCount val="26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8%</c:v>
                </c:pt>
                <c:pt idx="4">
                  <c:v>100%</c:v>
                </c:pt>
                <c:pt idx="5">
                  <c:v>100%</c:v>
                </c:pt>
                <c:pt idx="6">
                  <c:v>83%</c:v>
                </c:pt>
                <c:pt idx="7">
                  <c:v>100%</c:v>
                </c:pt>
                <c:pt idx="8">
                  <c:v>100%</c:v>
                </c:pt>
                <c:pt idx="9">
                  <c:v>54%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38%</c:v>
                </c:pt>
                <c:pt idx="15">
                  <c:v>58%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'01'!$AD$6:$AD$31</c:f>
              <c:numCache>
                <c:formatCode>0%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8.3333333333333329E-2</c:v>
                </c:pt>
                <c:pt idx="4">
                  <c:v>1</c:v>
                </c:pt>
                <c:pt idx="5">
                  <c:v>1</c:v>
                </c:pt>
                <c:pt idx="6">
                  <c:v>0.83333333333333337</c:v>
                </c:pt>
                <c:pt idx="7">
                  <c:v>1</c:v>
                </c:pt>
                <c:pt idx="8">
                  <c:v>1</c:v>
                </c:pt>
                <c:pt idx="9">
                  <c:v>0.54166666666666663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0.375</c:v>
                </c:pt>
                <c:pt idx="15">
                  <c:v>0.58333333333333337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B-4BA1-8B38-24FC640D417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AB-4BA1-8B38-24FC640D417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'01'!$D$6:$D$31</c:f>
              <c:strCache>
                <c:ptCount val="25"/>
                <c:pt idx="0">
                  <c:v>FLOATING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LED A</c:v>
                </c:pt>
                <c:pt idx="11">
                  <c:v>SLIDER</c:v>
                </c:pt>
                <c:pt idx="13">
                  <c:v>BASE</c:v>
                </c:pt>
                <c:pt idx="14">
                  <c:v>TOP</c:v>
                </c:pt>
                <c:pt idx="15">
                  <c:v>BOTTOM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'01'!$AE$6:$AE$31</c:f>
              <c:numCache>
                <c:formatCode>0%</c:formatCode>
                <c:ptCount val="26"/>
                <c:pt idx="0">
                  <c:v>0.45993589743589747</c:v>
                </c:pt>
                <c:pt idx="1">
                  <c:v>0.45993589743589747</c:v>
                </c:pt>
                <c:pt idx="2">
                  <c:v>0.45993589743589747</c:v>
                </c:pt>
                <c:pt idx="3">
                  <c:v>0.45993589743589747</c:v>
                </c:pt>
                <c:pt idx="4">
                  <c:v>0.45993589743589747</c:v>
                </c:pt>
                <c:pt idx="5">
                  <c:v>0.45993589743589747</c:v>
                </c:pt>
                <c:pt idx="6">
                  <c:v>0.45993589743589747</c:v>
                </c:pt>
                <c:pt idx="7">
                  <c:v>0.45993589743589747</c:v>
                </c:pt>
                <c:pt idx="8">
                  <c:v>0.45993589743589747</c:v>
                </c:pt>
                <c:pt idx="9">
                  <c:v>0.45993589743589747</c:v>
                </c:pt>
                <c:pt idx="10">
                  <c:v>0.45993589743589747</c:v>
                </c:pt>
                <c:pt idx="11">
                  <c:v>0.45993589743589747</c:v>
                </c:pt>
                <c:pt idx="12">
                  <c:v>0.45993589743589747</c:v>
                </c:pt>
                <c:pt idx="13">
                  <c:v>0.45993589743589747</c:v>
                </c:pt>
                <c:pt idx="14">
                  <c:v>0.45993589743589747</c:v>
                </c:pt>
                <c:pt idx="15">
                  <c:v>0.45993589743589747</c:v>
                </c:pt>
                <c:pt idx="16">
                  <c:v>0.45993589743589747</c:v>
                </c:pt>
                <c:pt idx="17">
                  <c:v>0.45993589743589747</c:v>
                </c:pt>
                <c:pt idx="18">
                  <c:v>0.45993589743589747</c:v>
                </c:pt>
                <c:pt idx="19">
                  <c:v>0.45993589743589747</c:v>
                </c:pt>
                <c:pt idx="20">
                  <c:v>0.45993589743589747</c:v>
                </c:pt>
                <c:pt idx="21">
                  <c:v>0.45993589743589747</c:v>
                </c:pt>
                <c:pt idx="22">
                  <c:v>0.45993589743589747</c:v>
                </c:pt>
                <c:pt idx="23">
                  <c:v>0.45993589743589747</c:v>
                </c:pt>
                <c:pt idx="24">
                  <c:v>0.45993589743589747</c:v>
                </c:pt>
                <c:pt idx="25">
                  <c:v>0.45993589743589747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AB-4BA1-8B38-24FC640D4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959-4FA9-8D7A-9C4EE2CB44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9-4FA9-8D7A-9C4EE2CB4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959-4FA9-8D7A-9C4EE2CB44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59-4FA9-8D7A-9C4EE2CB4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'02'!$L$6:$L$29</c:f>
              <c:numCache>
                <c:formatCode>_(* #,##0_);_(* \(#,##0\);_(* "-"_);_(@_)</c:formatCode>
                <c:ptCount val="24"/>
                <c:pt idx="2">
                  <c:v>2502</c:v>
                </c:pt>
                <c:pt idx="3">
                  <c:v>2398</c:v>
                </c:pt>
                <c:pt idx="4">
                  <c:v>5205</c:v>
                </c:pt>
                <c:pt idx="5">
                  <c:v>5508</c:v>
                </c:pt>
                <c:pt idx="6">
                  <c:v>8372</c:v>
                </c:pt>
                <c:pt idx="7">
                  <c:v>14268</c:v>
                </c:pt>
                <c:pt idx="9">
                  <c:v>24984</c:v>
                </c:pt>
                <c:pt idx="10">
                  <c:v>11054</c:v>
                </c:pt>
                <c:pt idx="11">
                  <c:v>5064</c:v>
                </c:pt>
                <c:pt idx="12">
                  <c:v>5352</c:v>
                </c:pt>
                <c:pt idx="13">
                  <c:v>4789</c:v>
                </c:pt>
                <c:pt idx="14">
                  <c:v>2305</c:v>
                </c:pt>
                <c:pt idx="15">
                  <c:v>64192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6-4942-8501-905E65A1D0C4}"/>
            </c:ext>
          </c:extLst>
        </c:ser>
        <c:ser>
          <c:idx val="1"/>
          <c:order val="1"/>
          <c:tx>
            <c:v>계획</c:v>
          </c:tx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2502</c:v>
                </c:pt>
                <c:pt idx="3">
                  <c:v>2398</c:v>
                </c:pt>
                <c:pt idx="4">
                  <c:v>5205</c:v>
                </c:pt>
                <c:pt idx="5">
                  <c:v>5508</c:v>
                </c:pt>
                <c:pt idx="6">
                  <c:v>8372</c:v>
                </c:pt>
                <c:pt idx="7">
                  <c:v>14268</c:v>
                </c:pt>
                <c:pt idx="8">
                  <c:v>631</c:v>
                </c:pt>
                <c:pt idx="9">
                  <c:v>24984</c:v>
                </c:pt>
                <c:pt idx="10">
                  <c:v>11054</c:v>
                </c:pt>
                <c:pt idx="11">
                  <c:v>5064</c:v>
                </c:pt>
                <c:pt idx="12">
                  <c:v>5352</c:v>
                </c:pt>
                <c:pt idx="13">
                  <c:v>4789</c:v>
                </c:pt>
                <c:pt idx="14">
                  <c:v>2305</c:v>
                </c:pt>
                <c:pt idx="15">
                  <c:v>64192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15393</c:v>
                </c:pt>
                <c:pt idx="21">
                  <c:v>24332</c:v>
                </c:pt>
                <c:pt idx="22">
                  <c:v>26116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6-4942-8501-905E65A1D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50%</c:v>
                </c:pt>
                <c:pt idx="4">
                  <c:v>100%</c:v>
                </c:pt>
                <c:pt idx="5">
                  <c:v>100%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50%</c:v>
                </c:pt>
                <c:pt idx="13">
                  <c:v>100%</c:v>
                </c:pt>
                <c:pt idx="14">
                  <c:v>46%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1</c:v>
                </c:pt>
                <c:pt idx="14">
                  <c:v>0.45833333333333331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F-4766-BCFD-5A9A7B1C19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2F-4766-BCFD-5A9A7B1C19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'02'!$AE$6:$AE$29</c:f>
              <c:numCache>
                <c:formatCode>0%</c:formatCode>
                <c:ptCount val="24"/>
                <c:pt idx="0">
                  <c:v>0.45659722222222227</c:v>
                </c:pt>
                <c:pt idx="1">
                  <c:v>0.45659722222222227</c:v>
                </c:pt>
                <c:pt idx="2">
                  <c:v>0.45659722222222227</c:v>
                </c:pt>
                <c:pt idx="3">
                  <c:v>0.45659722222222227</c:v>
                </c:pt>
                <c:pt idx="4">
                  <c:v>0.45659722222222227</c:v>
                </c:pt>
                <c:pt idx="5">
                  <c:v>0.45659722222222227</c:v>
                </c:pt>
                <c:pt idx="6">
                  <c:v>0.45659722222222227</c:v>
                </c:pt>
                <c:pt idx="7">
                  <c:v>0.45659722222222227</c:v>
                </c:pt>
                <c:pt idx="8">
                  <c:v>0.45659722222222227</c:v>
                </c:pt>
                <c:pt idx="9">
                  <c:v>0.45659722222222227</c:v>
                </c:pt>
                <c:pt idx="10">
                  <c:v>0.45659722222222227</c:v>
                </c:pt>
                <c:pt idx="11">
                  <c:v>0.45659722222222227</c:v>
                </c:pt>
                <c:pt idx="12">
                  <c:v>0.45659722222222227</c:v>
                </c:pt>
                <c:pt idx="13">
                  <c:v>0.45659722222222227</c:v>
                </c:pt>
                <c:pt idx="14">
                  <c:v>0.45659722222222227</c:v>
                </c:pt>
                <c:pt idx="15">
                  <c:v>0.45659722222222227</c:v>
                </c:pt>
                <c:pt idx="16">
                  <c:v>0.45659722222222227</c:v>
                </c:pt>
                <c:pt idx="17">
                  <c:v>0.45659722222222227</c:v>
                </c:pt>
                <c:pt idx="18">
                  <c:v>0.45659722222222227</c:v>
                </c:pt>
                <c:pt idx="19">
                  <c:v>0.45659722222222227</c:v>
                </c:pt>
                <c:pt idx="20">
                  <c:v>0.45659722222222227</c:v>
                </c:pt>
                <c:pt idx="21">
                  <c:v>0.45659722222222227</c:v>
                </c:pt>
                <c:pt idx="22">
                  <c:v>0.45659722222222227</c:v>
                </c:pt>
                <c:pt idx="23">
                  <c:v>0.45659722222222227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2F-4766-BCFD-5A9A7B1C1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'02'!$L$6:$L$29</c:f>
              <c:numCache>
                <c:formatCode>_(* #,##0_);_(* \(#,##0\);_(* "-"_);_(@_)</c:formatCode>
                <c:ptCount val="24"/>
                <c:pt idx="2">
                  <c:v>2502</c:v>
                </c:pt>
                <c:pt idx="3">
                  <c:v>2398</c:v>
                </c:pt>
                <c:pt idx="4">
                  <c:v>5205</c:v>
                </c:pt>
                <c:pt idx="5">
                  <c:v>5508</c:v>
                </c:pt>
                <c:pt idx="6">
                  <c:v>8372</c:v>
                </c:pt>
                <c:pt idx="7">
                  <c:v>14268</c:v>
                </c:pt>
                <c:pt idx="9">
                  <c:v>24984</c:v>
                </c:pt>
                <c:pt idx="10">
                  <c:v>11054</c:v>
                </c:pt>
                <c:pt idx="11">
                  <c:v>5064</c:v>
                </c:pt>
                <c:pt idx="12">
                  <c:v>5352</c:v>
                </c:pt>
                <c:pt idx="13">
                  <c:v>4789</c:v>
                </c:pt>
                <c:pt idx="14">
                  <c:v>2305</c:v>
                </c:pt>
                <c:pt idx="15">
                  <c:v>64192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7-4660-93BC-59D5B7FA9098}"/>
            </c:ext>
          </c:extLst>
        </c:ser>
        <c:ser>
          <c:idx val="1"/>
          <c:order val="1"/>
          <c:tx>
            <c:v>계획</c:v>
          </c:tx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2502</c:v>
                </c:pt>
                <c:pt idx="3">
                  <c:v>2398</c:v>
                </c:pt>
                <c:pt idx="4">
                  <c:v>5205</c:v>
                </c:pt>
                <c:pt idx="5">
                  <c:v>5508</c:v>
                </c:pt>
                <c:pt idx="6">
                  <c:v>8372</c:v>
                </c:pt>
                <c:pt idx="7">
                  <c:v>14268</c:v>
                </c:pt>
                <c:pt idx="8">
                  <c:v>631</c:v>
                </c:pt>
                <c:pt idx="9">
                  <c:v>24984</c:v>
                </c:pt>
                <c:pt idx="10">
                  <c:v>11054</c:v>
                </c:pt>
                <c:pt idx="11">
                  <c:v>5064</c:v>
                </c:pt>
                <c:pt idx="12">
                  <c:v>5352</c:v>
                </c:pt>
                <c:pt idx="13">
                  <c:v>4789</c:v>
                </c:pt>
                <c:pt idx="14">
                  <c:v>2305</c:v>
                </c:pt>
                <c:pt idx="15">
                  <c:v>64192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15393</c:v>
                </c:pt>
                <c:pt idx="21">
                  <c:v>24332</c:v>
                </c:pt>
                <c:pt idx="22">
                  <c:v>26116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27-4660-93BC-59D5B7FA9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50%</c:v>
                </c:pt>
                <c:pt idx="4">
                  <c:v>100%</c:v>
                </c:pt>
                <c:pt idx="5">
                  <c:v>100%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50%</c:v>
                </c:pt>
                <c:pt idx="13">
                  <c:v>100%</c:v>
                </c:pt>
                <c:pt idx="14">
                  <c:v>46%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1</c:v>
                </c:pt>
                <c:pt idx="14">
                  <c:v>0.45833333333333331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3-4329-A576-2B845738675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73-4329-A576-2B84573867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ACTUATOR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'02'!$AE$6:$AE$29</c:f>
              <c:numCache>
                <c:formatCode>0%</c:formatCode>
                <c:ptCount val="24"/>
                <c:pt idx="0">
                  <c:v>0.45659722222222227</c:v>
                </c:pt>
                <c:pt idx="1">
                  <c:v>0.45659722222222227</c:v>
                </c:pt>
                <c:pt idx="2">
                  <c:v>0.45659722222222227</c:v>
                </c:pt>
                <c:pt idx="3">
                  <c:v>0.45659722222222227</c:v>
                </c:pt>
                <c:pt idx="4">
                  <c:v>0.45659722222222227</c:v>
                </c:pt>
                <c:pt idx="5">
                  <c:v>0.45659722222222227</c:v>
                </c:pt>
                <c:pt idx="6">
                  <c:v>0.45659722222222227</c:v>
                </c:pt>
                <c:pt idx="7">
                  <c:v>0.45659722222222227</c:v>
                </c:pt>
                <c:pt idx="8">
                  <c:v>0.45659722222222227</c:v>
                </c:pt>
                <c:pt idx="9">
                  <c:v>0.45659722222222227</c:v>
                </c:pt>
                <c:pt idx="10">
                  <c:v>0.45659722222222227</c:v>
                </c:pt>
                <c:pt idx="11">
                  <c:v>0.45659722222222227</c:v>
                </c:pt>
                <c:pt idx="12">
                  <c:v>0.45659722222222227</c:v>
                </c:pt>
                <c:pt idx="13">
                  <c:v>0.45659722222222227</c:v>
                </c:pt>
                <c:pt idx="14">
                  <c:v>0.45659722222222227</c:v>
                </c:pt>
                <c:pt idx="15">
                  <c:v>0.45659722222222227</c:v>
                </c:pt>
                <c:pt idx="16">
                  <c:v>0.45659722222222227</c:v>
                </c:pt>
                <c:pt idx="17">
                  <c:v>0.45659722222222227</c:v>
                </c:pt>
                <c:pt idx="18">
                  <c:v>0.45659722222222227</c:v>
                </c:pt>
                <c:pt idx="19">
                  <c:v>0.45659722222222227</c:v>
                </c:pt>
                <c:pt idx="20">
                  <c:v>0.45659722222222227</c:v>
                </c:pt>
                <c:pt idx="21">
                  <c:v>0.45659722222222227</c:v>
                </c:pt>
                <c:pt idx="22">
                  <c:v>0.45659722222222227</c:v>
                </c:pt>
                <c:pt idx="23">
                  <c:v>0.45659722222222227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3-4329-A576-2B8457386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9F4-4CE0-BBE9-6D85BCC77E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4-4CE0-BBE9-6D85BCC77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9F4-4CE0-BBE9-6D85BCC77E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4-4CE0-BBE9-6D85BCC77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'03'!$L$6:$L$29</c:f>
              <c:numCache>
                <c:formatCode>_(* #,##0_);_(* \(#,##0\);_(* "-"_);_(@_)</c:formatCode>
                <c:ptCount val="24"/>
                <c:pt idx="2">
                  <c:v>2278</c:v>
                </c:pt>
                <c:pt idx="3">
                  <c:v>3425</c:v>
                </c:pt>
                <c:pt idx="4">
                  <c:v>5282</c:v>
                </c:pt>
                <c:pt idx="5">
                  <c:v>5711</c:v>
                </c:pt>
                <c:pt idx="6">
                  <c:v>8842</c:v>
                </c:pt>
                <c:pt idx="7">
                  <c:v>11302</c:v>
                </c:pt>
                <c:pt idx="9">
                  <c:v>26012</c:v>
                </c:pt>
                <c:pt idx="10">
                  <c:v>11778</c:v>
                </c:pt>
                <c:pt idx="11">
                  <c:v>5683</c:v>
                </c:pt>
                <c:pt idx="12">
                  <c:v>4283</c:v>
                </c:pt>
                <c:pt idx="13">
                  <c:v>3637</c:v>
                </c:pt>
                <c:pt idx="14">
                  <c:v>3941</c:v>
                </c:pt>
                <c:pt idx="15">
                  <c:v>63920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6-48CD-8D96-7D5B190AD3AF}"/>
            </c:ext>
          </c:extLst>
        </c:ser>
        <c:ser>
          <c:idx val="1"/>
          <c:order val="1"/>
          <c:tx>
            <c:v>계획</c:v>
          </c:tx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2278</c:v>
                </c:pt>
                <c:pt idx="3">
                  <c:v>3425</c:v>
                </c:pt>
                <c:pt idx="4">
                  <c:v>5282</c:v>
                </c:pt>
                <c:pt idx="5">
                  <c:v>5711</c:v>
                </c:pt>
                <c:pt idx="6">
                  <c:v>8842</c:v>
                </c:pt>
                <c:pt idx="7">
                  <c:v>11302</c:v>
                </c:pt>
                <c:pt idx="8">
                  <c:v>631</c:v>
                </c:pt>
                <c:pt idx="9">
                  <c:v>26012</c:v>
                </c:pt>
                <c:pt idx="10">
                  <c:v>11778</c:v>
                </c:pt>
                <c:pt idx="11">
                  <c:v>5683</c:v>
                </c:pt>
                <c:pt idx="12">
                  <c:v>4283</c:v>
                </c:pt>
                <c:pt idx="13">
                  <c:v>3637</c:v>
                </c:pt>
                <c:pt idx="14">
                  <c:v>3941</c:v>
                </c:pt>
                <c:pt idx="15">
                  <c:v>63920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15393</c:v>
                </c:pt>
                <c:pt idx="21">
                  <c:v>24332</c:v>
                </c:pt>
                <c:pt idx="22">
                  <c:v>26116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6-48CD-8D96-7D5B190AD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67%</c:v>
                </c:pt>
                <c:pt idx="4">
                  <c:v>100%</c:v>
                </c:pt>
                <c:pt idx="5">
                  <c:v>100%</c:v>
                </c:pt>
                <c:pt idx="6">
                  <c:v>96%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83%</c:v>
                </c:pt>
                <c:pt idx="13">
                  <c:v>79%</c:v>
                </c:pt>
                <c:pt idx="14">
                  <c:v>71%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0.66666666666666663</c:v>
                </c:pt>
                <c:pt idx="4">
                  <c:v>1</c:v>
                </c:pt>
                <c:pt idx="5">
                  <c:v>1</c:v>
                </c:pt>
                <c:pt idx="6">
                  <c:v>0.95833333333333337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0.70833333333333337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3-49EC-B8E4-EF1DB2C784B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23-49EC-B8E4-EF1DB2C784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'03'!$AE$6:$AE$29</c:f>
              <c:numCache>
                <c:formatCode>0%</c:formatCode>
                <c:ptCount val="24"/>
                <c:pt idx="0">
                  <c:v>0.47222222222222227</c:v>
                </c:pt>
                <c:pt idx="1">
                  <c:v>0.47222222222222227</c:v>
                </c:pt>
                <c:pt idx="2">
                  <c:v>0.47222222222222227</c:v>
                </c:pt>
                <c:pt idx="3">
                  <c:v>0.47222222222222227</c:v>
                </c:pt>
                <c:pt idx="4">
                  <c:v>0.47222222222222227</c:v>
                </c:pt>
                <c:pt idx="5">
                  <c:v>0.47222222222222227</c:v>
                </c:pt>
                <c:pt idx="6">
                  <c:v>0.47222222222222227</c:v>
                </c:pt>
                <c:pt idx="7">
                  <c:v>0.47222222222222227</c:v>
                </c:pt>
                <c:pt idx="8">
                  <c:v>0.47222222222222227</c:v>
                </c:pt>
                <c:pt idx="9">
                  <c:v>0.47222222222222227</c:v>
                </c:pt>
                <c:pt idx="10">
                  <c:v>0.47222222222222227</c:v>
                </c:pt>
                <c:pt idx="11">
                  <c:v>0.47222222222222227</c:v>
                </c:pt>
                <c:pt idx="12">
                  <c:v>0.47222222222222227</c:v>
                </c:pt>
                <c:pt idx="13">
                  <c:v>0.47222222222222227</c:v>
                </c:pt>
                <c:pt idx="14">
                  <c:v>0.47222222222222227</c:v>
                </c:pt>
                <c:pt idx="15">
                  <c:v>0.47222222222222227</c:v>
                </c:pt>
                <c:pt idx="16">
                  <c:v>0.47222222222222227</c:v>
                </c:pt>
                <c:pt idx="17">
                  <c:v>0.47222222222222227</c:v>
                </c:pt>
                <c:pt idx="18">
                  <c:v>0.47222222222222227</c:v>
                </c:pt>
                <c:pt idx="19">
                  <c:v>0.47222222222222227</c:v>
                </c:pt>
                <c:pt idx="20">
                  <c:v>0.47222222222222227</c:v>
                </c:pt>
                <c:pt idx="21">
                  <c:v>0.47222222222222227</c:v>
                </c:pt>
                <c:pt idx="22">
                  <c:v>0.47222222222222227</c:v>
                </c:pt>
                <c:pt idx="23">
                  <c:v>0.47222222222222227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3-49EC-B8E4-EF1DB2C78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'03'!$L$6:$L$29</c:f>
              <c:numCache>
                <c:formatCode>_(* #,##0_);_(* \(#,##0\);_(* "-"_);_(@_)</c:formatCode>
                <c:ptCount val="24"/>
                <c:pt idx="2">
                  <c:v>2278</c:v>
                </c:pt>
                <c:pt idx="3">
                  <c:v>3425</c:v>
                </c:pt>
                <c:pt idx="4">
                  <c:v>5282</c:v>
                </c:pt>
                <c:pt idx="5">
                  <c:v>5711</c:v>
                </c:pt>
                <c:pt idx="6">
                  <c:v>8842</c:v>
                </c:pt>
                <c:pt idx="7">
                  <c:v>11302</c:v>
                </c:pt>
                <c:pt idx="9">
                  <c:v>26012</c:v>
                </c:pt>
                <c:pt idx="10">
                  <c:v>11778</c:v>
                </c:pt>
                <c:pt idx="11">
                  <c:v>5683</c:v>
                </c:pt>
                <c:pt idx="12">
                  <c:v>4283</c:v>
                </c:pt>
                <c:pt idx="13">
                  <c:v>3637</c:v>
                </c:pt>
                <c:pt idx="14">
                  <c:v>3941</c:v>
                </c:pt>
                <c:pt idx="15">
                  <c:v>63920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7-4188-9A90-D6530F4F2AC6}"/>
            </c:ext>
          </c:extLst>
        </c:ser>
        <c:ser>
          <c:idx val="1"/>
          <c:order val="1"/>
          <c:tx>
            <c:v>계획</c:v>
          </c:tx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2278</c:v>
                </c:pt>
                <c:pt idx="3">
                  <c:v>3425</c:v>
                </c:pt>
                <c:pt idx="4">
                  <c:v>5282</c:v>
                </c:pt>
                <c:pt idx="5">
                  <c:v>5711</c:v>
                </c:pt>
                <c:pt idx="6">
                  <c:v>8842</c:v>
                </c:pt>
                <c:pt idx="7">
                  <c:v>11302</c:v>
                </c:pt>
                <c:pt idx="8">
                  <c:v>631</c:v>
                </c:pt>
                <c:pt idx="9">
                  <c:v>26012</c:v>
                </c:pt>
                <c:pt idx="10">
                  <c:v>11778</c:v>
                </c:pt>
                <c:pt idx="11">
                  <c:v>5683</c:v>
                </c:pt>
                <c:pt idx="12">
                  <c:v>4283</c:v>
                </c:pt>
                <c:pt idx="13">
                  <c:v>3637</c:v>
                </c:pt>
                <c:pt idx="14">
                  <c:v>3941</c:v>
                </c:pt>
                <c:pt idx="15">
                  <c:v>63920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15393</c:v>
                </c:pt>
                <c:pt idx="21">
                  <c:v>24332</c:v>
                </c:pt>
                <c:pt idx="22">
                  <c:v>26116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A7-4188-9A90-D6530F4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67%</c:v>
                </c:pt>
                <c:pt idx="4">
                  <c:v>100%</c:v>
                </c:pt>
                <c:pt idx="5">
                  <c:v>100%</c:v>
                </c:pt>
                <c:pt idx="6">
                  <c:v>96%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83%</c:v>
                </c:pt>
                <c:pt idx="13">
                  <c:v>79%</c:v>
                </c:pt>
                <c:pt idx="14">
                  <c:v>71%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0.66666666666666663</c:v>
                </c:pt>
                <c:pt idx="4">
                  <c:v>1</c:v>
                </c:pt>
                <c:pt idx="5">
                  <c:v>1</c:v>
                </c:pt>
                <c:pt idx="6">
                  <c:v>0.95833333333333337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0.70833333333333337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5-4923-A982-74C68D254C2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F5-4923-A982-74C68D254C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'03'!$AE$6:$AE$29</c:f>
              <c:numCache>
                <c:formatCode>0%</c:formatCode>
                <c:ptCount val="24"/>
                <c:pt idx="0">
                  <c:v>0.47222222222222227</c:v>
                </c:pt>
                <c:pt idx="1">
                  <c:v>0.47222222222222227</c:v>
                </c:pt>
                <c:pt idx="2">
                  <c:v>0.47222222222222227</c:v>
                </c:pt>
                <c:pt idx="3">
                  <c:v>0.47222222222222227</c:v>
                </c:pt>
                <c:pt idx="4">
                  <c:v>0.47222222222222227</c:v>
                </c:pt>
                <c:pt idx="5">
                  <c:v>0.47222222222222227</c:v>
                </c:pt>
                <c:pt idx="6">
                  <c:v>0.47222222222222227</c:v>
                </c:pt>
                <c:pt idx="7">
                  <c:v>0.47222222222222227</c:v>
                </c:pt>
                <c:pt idx="8">
                  <c:v>0.47222222222222227</c:v>
                </c:pt>
                <c:pt idx="9">
                  <c:v>0.47222222222222227</c:v>
                </c:pt>
                <c:pt idx="10">
                  <c:v>0.47222222222222227</c:v>
                </c:pt>
                <c:pt idx="11">
                  <c:v>0.47222222222222227</c:v>
                </c:pt>
                <c:pt idx="12">
                  <c:v>0.47222222222222227</c:v>
                </c:pt>
                <c:pt idx="13">
                  <c:v>0.47222222222222227</c:v>
                </c:pt>
                <c:pt idx="14">
                  <c:v>0.47222222222222227</c:v>
                </c:pt>
                <c:pt idx="15">
                  <c:v>0.47222222222222227</c:v>
                </c:pt>
                <c:pt idx="16">
                  <c:v>0.47222222222222227</c:v>
                </c:pt>
                <c:pt idx="17">
                  <c:v>0.47222222222222227</c:v>
                </c:pt>
                <c:pt idx="18">
                  <c:v>0.47222222222222227</c:v>
                </c:pt>
                <c:pt idx="19">
                  <c:v>0.47222222222222227</c:v>
                </c:pt>
                <c:pt idx="20">
                  <c:v>0.47222222222222227</c:v>
                </c:pt>
                <c:pt idx="21">
                  <c:v>0.47222222222222227</c:v>
                </c:pt>
                <c:pt idx="22">
                  <c:v>0.47222222222222227</c:v>
                </c:pt>
                <c:pt idx="23">
                  <c:v>0.47222222222222227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F5-4923-A982-74C68D25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546-4EA6-A66E-053CA037F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6-4EA6-A66E-053CA037F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546-4EA6-A66E-053CA037F7D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6-4EA6-A66E-053CA037F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'04'!$L$6:$L$29</c:f>
              <c:numCache>
                <c:formatCode>_(* #,##0_);_(* \(#,##0\);_(* "-"_);_(@_)</c:formatCode>
                <c:ptCount val="24"/>
                <c:pt idx="2">
                  <c:v>3290</c:v>
                </c:pt>
                <c:pt idx="3">
                  <c:v>4039</c:v>
                </c:pt>
                <c:pt idx="4">
                  <c:v>4501</c:v>
                </c:pt>
                <c:pt idx="5">
                  <c:v>4227</c:v>
                </c:pt>
                <c:pt idx="11">
                  <c:v>4157</c:v>
                </c:pt>
                <c:pt idx="12">
                  <c:v>3910</c:v>
                </c:pt>
                <c:pt idx="14">
                  <c:v>4162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3-4DD4-AAFC-1DADA2591830}"/>
            </c:ext>
          </c:extLst>
        </c:ser>
        <c:ser>
          <c:idx val="1"/>
          <c:order val="1"/>
          <c:tx>
            <c:v>계획</c:v>
          </c:tx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3290</c:v>
                </c:pt>
                <c:pt idx="3">
                  <c:v>4039</c:v>
                </c:pt>
                <c:pt idx="4">
                  <c:v>4501</c:v>
                </c:pt>
                <c:pt idx="5">
                  <c:v>4227</c:v>
                </c:pt>
                <c:pt idx="6">
                  <c:v>8842</c:v>
                </c:pt>
                <c:pt idx="7">
                  <c:v>11302</c:v>
                </c:pt>
                <c:pt idx="8">
                  <c:v>631</c:v>
                </c:pt>
                <c:pt idx="9">
                  <c:v>26012</c:v>
                </c:pt>
                <c:pt idx="10">
                  <c:v>11778</c:v>
                </c:pt>
                <c:pt idx="11">
                  <c:v>4157</c:v>
                </c:pt>
                <c:pt idx="12">
                  <c:v>3910</c:v>
                </c:pt>
                <c:pt idx="13">
                  <c:v>3637</c:v>
                </c:pt>
                <c:pt idx="14">
                  <c:v>4162</c:v>
                </c:pt>
                <c:pt idx="15">
                  <c:v>63920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15393</c:v>
                </c:pt>
                <c:pt idx="21">
                  <c:v>24332</c:v>
                </c:pt>
                <c:pt idx="22">
                  <c:v>26116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3-4DD4-AAFC-1DADA2591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83%</c:v>
                </c:pt>
                <c:pt idx="4">
                  <c:v>83%</c:v>
                </c:pt>
                <c:pt idx="5">
                  <c:v>83%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75%</c:v>
                </c:pt>
                <c:pt idx="13">
                  <c:v>0%</c:v>
                </c:pt>
                <c:pt idx="14">
                  <c:v>83%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0.75</c:v>
                </c:pt>
                <c:pt idx="13">
                  <c:v>0</c:v>
                </c:pt>
                <c:pt idx="14">
                  <c:v>0.83333333333333337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9-4651-B525-965CE8E39DB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09-4651-B525-965CE8E39D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'04'!$AE$6:$AE$29</c:f>
              <c:numCache>
                <c:formatCode>0%</c:formatCode>
                <c:ptCount val="24"/>
                <c:pt idx="0">
                  <c:v>0.23263888888888887</c:v>
                </c:pt>
                <c:pt idx="1">
                  <c:v>0.23263888888888887</c:v>
                </c:pt>
                <c:pt idx="2">
                  <c:v>0.23263888888888887</c:v>
                </c:pt>
                <c:pt idx="3">
                  <c:v>0.23263888888888887</c:v>
                </c:pt>
                <c:pt idx="4">
                  <c:v>0.23263888888888887</c:v>
                </c:pt>
                <c:pt idx="5">
                  <c:v>0.23263888888888887</c:v>
                </c:pt>
                <c:pt idx="6">
                  <c:v>0.23263888888888887</c:v>
                </c:pt>
                <c:pt idx="7">
                  <c:v>0.23263888888888887</c:v>
                </c:pt>
                <c:pt idx="8">
                  <c:v>0.23263888888888887</c:v>
                </c:pt>
                <c:pt idx="9">
                  <c:v>0.23263888888888887</c:v>
                </c:pt>
                <c:pt idx="10">
                  <c:v>0.23263888888888887</c:v>
                </c:pt>
                <c:pt idx="11">
                  <c:v>0.23263888888888887</c:v>
                </c:pt>
                <c:pt idx="12">
                  <c:v>0.23263888888888887</c:v>
                </c:pt>
                <c:pt idx="13">
                  <c:v>0.23263888888888887</c:v>
                </c:pt>
                <c:pt idx="14">
                  <c:v>0.23263888888888887</c:v>
                </c:pt>
                <c:pt idx="15">
                  <c:v>0.23263888888888887</c:v>
                </c:pt>
                <c:pt idx="16">
                  <c:v>0.23263888888888887</c:v>
                </c:pt>
                <c:pt idx="17">
                  <c:v>0.23263888888888887</c:v>
                </c:pt>
                <c:pt idx="18">
                  <c:v>0.23263888888888887</c:v>
                </c:pt>
                <c:pt idx="19">
                  <c:v>0.23263888888888887</c:v>
                </c:pt>
                <c:pt idx="20">
                  <c:v>0.23263888888888887</c:v>
                </c:pt>
                <c:pt idx="21">
                  <c:v>0.23263888888888887</c:v>
                </c:pt>
                <c:pt idx="22">
                  <c:v>0.23263888888888887</c:v>
                </c:pt>
                <c:pt idx="23">
                  <c:v>0.23263888888888887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09-4651-B525-965CE8E39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'04'!$L$6:$L$29</c:f>
              <c:numCache>
                <c:formatCode>_(* #,##0_);_(* \(#,##0\);_(* "-"_);_(@_)</c:formatCode>
                <c:ptCount val="24"/>
                <c:pt idx="2">
                  <c:v>3290</c:v>
                </c:pt>
                <c:pt idx="3">
                  <c:v>4039</c:v>
                </c:pt>
                <c:pt idx="4">
                  <c:v>4501</c:v>
                </c:pt>
                <c:pt idx="5">
                  <c:v>4227</c:v>
                </c:pt>
                <c:pt idx="11">
                  <c:v>4157</c:v>
                </c:pt>
                <c:pt idx="12">
                  <c:v>3910</c:v>
                </c:pt>
                <c:pt idx="14">
                  <c:v>4162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2-4B90-B062-229607EBC37C}"/>
            </c:ext>
          </c:extLst>
        </c:ser>
        <c:ser>
          <c:idx val="1"/>
          <c:order val="1"/>
          <c:tx>
            <c:v>계획</c:v>
          </c:tx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3290</c:v>
                </c:pt>
                <c:pt idx="3">
                  <c:v>4039</c:v>
                </c:pt>
                <c:pt idx="4">
                  <c:v>4501</c:v>
                </c:pt>
                <c:pt idx="5">
                  <c:v>4227</c:v>
                </c:pt>
                <c:pt idx="6">
                  <c:v>8842</c:v>
                </c:pt>
                <c:pt idx="7">
                  <c:v>11302</c:v>
                </c:pt>
                <c:pt idx="8">
                  <c:v>631</c:v>
                </c:pt>
                <c:pt idx="9">
                  <c:v>26012</c:v>
                </c:pt>
                <c:pt idx="10">
                  <c:v>11778</c:v>
                </c:pt>
                <c:pt idx="11">
                  <c:v>4157</c:v>
                </c:pt>
                <c:pt idx="12">
                  <c:v>3910</c:v>
                </c:pt>
                <c:pt idx="13">
                  <c:v>3637</c:v>
                </c:pt>
                <c:pt idx="14">
                  <c:v>4162</c:v>
                </c:pt>
                <c:pt idx="15">
                  <c:v>63920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15393</c:v>
                </c:pt>
                <c:pt idx="21">
                  <c:v>24332</c:v>
                </c:pt>
                <c:pt idx="22">
                  <c:v>26116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2-4B90-B062-229607EB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83%</c:v>
                </c:pt>
                <c:pt idx="4">
                  <c:v>83%</c:v>
                </c:pt>
                <c:pt idx="5">
                  <c:v>83%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75%</c:v>
                </c:pt>
                <c:pt idx="13">
                  <c:v>0%</c:v>
                </c:pt>
                <c:pt idx="14">
                  <c:v>83%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0.75</c:v>
                </c:pt>
                <c:pt idx="13">
                  <c:v>0</c:v>
                </c:pt>
                <c:pt idx="14">
                  <c:v>0.83333333333333337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5-4EBA-B916-2A8A101E320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55-4EBA-B916-2A8A101E32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'04'!$AE$6:$AE$29</c:f>
              <c:numCache>
                <c:formatCode>0%</c:formatCode>
                <c:ptCount val="24"/>
                <c:pt idx="0">
                  <c:v>0.23263888888888887</c:v>
                </c:pt>
                <c:pt idx="1">
                  <c:v>0.23263888888888887</c:v>
                </c:pt>
                <c:pt idx="2">
                  <c:v>0.23263888888888887</c:v>
                </c:pt>
                <c:pt idx="3">
                  <c:v>0.23263888888888887</c:v>
                </c:pt>
                <c:pt idx="4">
                  <c:v>0.23263888888888887</c:v>
                </c:pt>
                <c:pt idx="5">
                  <c:v>0.23263888888888887</c:v>
                </c:pt>
                <c:pt idx="6">
                  <c:v>0.23263888888888887</c:v>
                </c:pt>
                <c:pt idx="7">
                  <c:v>0.23263888888888887</c:v>
                </c:pt>
                <c:pt idx="8">
                  <c:v>0.23263888888888887</c:v>
                </c:pt>
                <c:pt idx="9">
                  <c:v>0.23263888888888887</c:v>
                </c:pt>
                <c:pt idx="10">
                  <c:v>0.23263888888888887</c:v>
                </c:pt>
                <c:pt idx="11">
                  <c:v>0.23263888888888887</c:v>
                </c:pt>
                <c:pt idx="12">
                  <c:v>0.23263888888888887</c:v>
                </c:pt>
                <c:pt idx="13">
                  <c:v>0.23263888888888887</c:v>
                </c:pt>
                <c:pt idx="14">
                  <c:v>0.23263888888888887</c:v>
                </c:pt>
                <c:pt idx="15">
                  <c:v>0.23263888888888887</c:v>
                </c:pt>
                <c:pt idx="16">
                  <c:v>0.23263888888888887</c:v>
                </c:pt>
                <c:pt idx="17">
                  <c:v>0.23263888888888887</c:v>
                </c:pt>
                <c:pt idx="18">
                  <c:v>0.23263888888888887</c:v>
                </c:pt>
                <c:pt idx="19">
                  <c:v>0.23263888888888887</c:v>
                </c:pt>
                <c:pt idx="20">
                  <c:v>0.23263888888888887</c:v>
                </c:pt>
                <c:pt idx="21">
                  <c:v>0.23263888888888887</c:v>
                </c:pt>
                <c:pt idx="22">
                  <c:v>0.23263888888888887</c:v>
                </c:pt>
                <c:pt idx="23">
                  <c:v>0.23263888888888887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55-4EBA-B916-2A8A101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E99-493C-870C-A1A271501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9-493C-870C-A1A271501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E99-493C-870C-A1A271501B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99-493C-870C-A1A271501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'06'!$L$6:$L$29</c:f>
              <c:numCache>
                <c:formatCode>_(* #,##0_);_(* \(#,##0\);_(* "-"_);_(@_)</c:formatCode>
                <c:ptCount val="24"/>
                <c:pt idx="2">
                  <c:v>2732</c:v>
                </c:pt>
                <c:pt idx="3">
                  <c:v>4649</c:v>
                </c:pt>
                <c:pt idx="4">
                  <c:v>5601</c:v>
                </c:pt>
                <c:pt idx="5">
                  <c:v>4788</c:v>
                </c:pt>
                <c:pt idx="6">
                  <c:v>4285</c:v>
                </c:pt>
                <c:pt idx="7">
                  <c:v>5025</c:v>
                </c:pt>
                <c:pt idx="9">
                  <c:v>21116</c:v>
                </c:pt>
                <c:pt idx="10">
                  <c:v>10788</c:v>
                </c:pt>
                <c:pt idx="11">
                  <c:v>5190</c:v>
                </c:pt>
                <c:pt idx="12">
                  <c:v>8064</c:v>
                </c:pt>
                <c:pt idx="13">
                  <c:v>9720</c:v>
                </c:pt>
                <c:pt idx="14">
                  <c:v>5371</c:v>
                </c:pt>
                <c:pt idx="15">
                  <c:v>55712</c:v>
                </c:pt>
                <c:pt idx="20">
                  <c:v>20480</c:v>
                </c:pt>
                <c:pt idx="21">
                  <c:v>22128</c:v>
                </c:pt>
                <c:pt idx="22">
                  <c:v>18992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7-424F-B47A-FFDF98662A31}"/>
            </c:ext>
          </c:extLst>
        </c:ser>
        <c:ser>
          <c:idx val="1"/>
          <c:order val="1"/>
          <c:tx>
            <c:v>계획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2732</c:v>
                </c:pt>
                <c:pt idx="3">
                  <c:v>4649</c:v>
                </c:pt>
                <c:pt idx="4">
                  <c:v>5601</c:v>
                </c:pt>
                <c:pt idx="5">
                  <c:v>4788</c:v>
                </c:pt>
                <c:pt idx="6">
                  <c:v>4285</c:v>
                </c:pt>
                <c:pt idx="7">
                  <c:v>5025</c:v>
                </c:pt>
                <c:pt idx="8">
                  <c:v>631</c:v>
                </c:pt>
                <c:pt idx="9">
                  <c:v>21116</c:v>
                </c:pt>
                <c:pt idx="10">
                  <c:v>10788</c:v>
                </c:pt>
                <c:pt idx="11">
                  <c:v>5190</c:v>
                </c:pt>
                <c:pt idx="12">
                  <c:v>8064</c:v>
                </c:pt>
                <c:pt idx="13">
                  <c:v>9720</c:v>
                </c:pt>
                <c:pt idx="14">
                  <c:v>5371</c:v>
                </c:pt>
                <c:pt idx="15">
                  <c:v>55712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20480</c:v>
                </c:pt>
                <c:pt idx="21">
                  <c:v>18128</c:v>
                </c:pt>
                <c:pt idx="22">
                  <c:v>18992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7-424F-B47A-FFDF98662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92%</c:v>
                </c:pt>
                <c:pt idx="4">
                  <c:v>100%</c:v>
                </c:pt>
                <c:pt idx="5">
                  <c:v>92%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92%</c:v>
                </c:pt>
                <c:pt idx="21">
                  <c:v>112%</c:v>
                </c:pt>
                <c:pt idx="22">
                  <c:v>75%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0.91666666666666663</c:v>
                </c:pt>
                <c:pt idx="4">
                  <c:v>1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0.91666666666666663</c:v>
                </c:pt>
                <c:pt idx="21">
                  <c:v>1.1189320388349515</c:v>
                </c:pt>
                <c:pt idx="22">
                  <c:v>0.75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B-41FD-9331-550212F3C3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AB-41FD-9331-550212F3C3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'06'!$AE$6:$AE$29</c:f>
              <c:numCache>
                <c:formatCode>0%</c:formatCode>
                <c:ptCount val="24"/>
                <c:pt idx="0">
                  <c:v>0.61953883495145623</c:v>
                </c:pt>
                <c:pt idx="1">
                  <c:v>0.61953883495145623</c:v>
                </c:pt>
                <c:pt idx="2">
                  <c:v>0.61953883495145623</c:v>
                </c:pt>
                <c:pt idx="3">
                  <c:v>0.61953883495145623</c:v>
                </c:pt>
                <c:pt idx="4">
                  <c:v>0.61953883495145623</c:v>
                </c:pt>
                <c:pt idx="5">
                  <c:v>0.61953883495145623</c:v>
                </c:pt>
                <c:pt idx="6">
                  <c:v>0.61953883495145623</c:v>
                </c:pt>
                <c:pt idx="7">
                  <c:v>0.61953883495145623</c:v>
                </c:pt>
                <c:pt idx="8">
                  <c:v>0.61953883495145623</c:v>
                </c:pt>
                <c:pt idx="9">
                  <c:v>0.61953883495145623</c:v>
                </c:pt>
                <c:pt idx="10">
                  <c:v>0.61953883495145623</c:v>
                </c:pt>
                <c:pt idx="11">
                  <c:v>0.61953883495145623</c:v>
                </c:pt>
                <c:pt idx="12">
                  <c:v>0.61953883495145623</c:v>
                </c:pt>
                <c:pt idx="13">
                  <c:v>0.61953883495145623</c:v>
                </c:pt>
                <c:pt idx="14">
                  <c:v>0.61953883495145623</c:v>
                </c:pt>
                <c:pt idx="15">
                  <c:v>0.61953883495145623</c:v>
                </c:pt>
                <c:pt idx="16">
                  <c:v>0.61953883495145623</c:v>
                </c:pt>
                <c:pt idx="17">
                  <c:v>0.61953883495145623</c:v>
                </c:pt>
                <c:pt idx="18">
                  <c:v>0.61953883495145623</c:v>
                </c:pt>
                <c:pt idx="19">
                  <c:v>0.61953883495145623</c:v>
                </c:pt>
                <c:pt idx="20">
                  <c:v>0.61953883495145623</c:v>
                </c:pt>
                <c:pt idx="21">
                  <c:v>0.61953883495145623</c:v>
                </c:pt>
                <c:pt idx="22">
                  <c:v>0.61953883495145623</c:v>
                </c:pt>
                <c:pt idx="23">
                  <c:v>0.61953883495145623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B-41FD-9331-550212F3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'06'!$L$6:$L$29</c:f>
              <c:numCache>
                <c:formatCode>_(* #,##0_);_(* \(#,##0\);_(* "-"_);_(@_)</c:formatCode>
                <c:ptCount val="24"/>
                <c:pt idx="2">
                  <c:v>2732</c:v>
                </c:pt>
                <c:pt idx="3">
                  <c:v>4649</c:v>
                </c:pt>
                <c:pt idx="4">
                  <c:v>5601</c:v>
                </c:pt>
                <c:pt idx="5">
                  <c:v>4788</c:v>
                </c:pt>
                <c:pt idx="6">
                  <c:v>4285</c:v>
                </c:pt>
                <c:pt idx="7">
                  <c:v>5025</c:v>
                </c:pt>
                <c:pt idx="9">
                  <c:v>21116</c:v>
                </c:pt>
                <c:pt idx="10">
                  <c:v>10788</c:v>
                </c:pt>
                <c:pt idx="11">
                  <c:v>5190</c:v>
                </c:pt>
                <c:pt idx="12">
                  <c:v>8064</c:v>
                </c:pt>
                <c:pt idx="13">
                  <c:v>9720</c:v>
                </c:pt>
                <c:pt idx="14">
                  <c:v>5371</c:v>
                </c:pt>
                <c:pt idx="15">
                  <c:v>55712</c:v>
                </c:pt>
                <c:pt idx="20">
                  <c:v>20480</c:v>
                </c:pt>
                <c:pt idx="21">
                  <c:v>22128</c:v>
                </c:pt>
                <c:pt idx="22">
                  <c:v>18992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B-4B25-AC3B-C49B3845656E}"/>
            </c:ext>
          </c:extLst>
        </c:ser>
        <c:ser>
          <c:idx val="1"/>
          <c:order val="1"/>
          <c:tx>
            <c:v>계획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'06'!$J$6:$J$29</c:f>
              <c:numCache>
                <c:formatCode>_(* #,##0_);_(* \(#,##0\);_(* "-"_);_(@_)</c:formatCode>
                <c:ptCount val="24"/>
                <c:pt idx="0">
                  <c:v>5292</c:v>
                </c:pt>
                <c:pt idx="1">
                  <c:v>585</c:v>
                </c:pt>
                <c:pt idx="2">
                  <c:v>2732</c:v>
                </c:pt>
                <c:pt idx="3">
                  <c:v>4649</c:v>
                </c:pt>
                <c:pt idx="4">
                  <c:v>5601</c:v>
                </c:pt>
                <c:pt idx="5">
                  <c:v>4788</c:v>
                </c:pt>
                <c:pt idx="6">
                  <c:v>4285</c:v>
                </c:pt>
                <c:pt idx="7">
                  <c:v>5025</c:v>
                </c:pt>
                <c:pt idx="8">
                  <c:v>631</c:v>
                </c:pt>
                <c:pt idx="9">
                  <c:v>21116</c:v>
                </c:pt>
                <c:pt idx="10">
                  <c:v>10788</c:v>
                </c:pt>
                <c:pt idx="11">
                  <c:v>5190</c:v>
                </c:pt>
                <c:pt idx="12">
                  <c:v>8064</c:v>
                </c:pt>
                <c:pt idx="13">
                  <c:v>9720</c:v>
                </c:pt>
                <c:pt idx="14">
                  <c:v>5371</c:v>
                </c:pt>
                <c:pt idx="15">
                  <c:v>55712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20480</c:v>
                </c:pt>
                <c:pt idx="21">
                  <c:v>18128</c:v>
                </c:pt>
                <c:pt idx="22">
                  <c:v>18992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B-4B25-AC3B-C49B38456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'06'!$AD$6:$AD$29</c:f>
              <c:strCache>
                <c:ptCount val="24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92%</c:v>
                </c:pt>
                <c:pt idx="4">
                  <c:v>100%</c:v>
                </c:pt>
                <c:pt idx="5">
                  <c:v>92%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92%</c:v>
                </c:pt>
                <c:pt idx="21">
                  <c:v>112%</c:v>
                </c:pt>
                <c:pt idx="22">
                  <c:v>75%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'06'!$AD$6:$AD$29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0.91666666666666663</c:v>
                </c:pt>
                <c:pt idx="4">
                  <c:v>1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0.91666666666666663</c:v>
                </c:pt>
                <c:pt idx="21">
                  <c:v>1.1189320388349515</c:v>
                </c:pt>
                <c:pt idx="22">
                  <c:v>0.75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B-4978-BC69-B0507AE66E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6B-4978-BC69-B0507AE66E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'06'!$AE$6:$AE$29</c:f>
              <c:numCache>
                <c:formatCode>0%</c:formatCode>
                <c:ptCount val="24"/>
                <c:pt idx="0">
                  <c:v>0.61953883495145623</c:v>
                </c:pt>
                <c:pt idx="1">
                  <c:v>0.61953883495145623</c:v>
                </c:pt>
                <c:pt idx="2">
                  <c:v>0.61953883495145623</c:v>
                </c:pt>
                <c:pt idx="3">
                  <c:v>0.61953883495145623</c:v>
                </c:pt>
                <c:pt idx="4">
                  <c:v>0.61953883495145623</c:v>
                </c:pt>
                <c:pt idx="5">
                  <c:v>0.61953883495145623</c:v>
                </c:pt>
                <c:pt idx="6">
                  <c:v>0.61953883495145623</c:v>
                </c:pt>
                <c:pt idx="7">
                  <c:v>0.61953883495145623</c:v>
                </c:pt>
                <c:pt idx="8">
                  <c:v>0.61953883495145623</c:v>
                </c:pt>
                <c:pt idx="9">
                  <c:v>0.61953883495145623</c:v>
                </c:pt>
                <c:pt idx="10">
                  <c:v>0.61953883495145623</c:v>
                </c:pt>
                <c:pt idx="11">
                  <c:v>0.61953883495145623</c:v>
                </c:pt>
                <c:pt idx="12">
                  <c:v>0.61953883495145623</c:v>
                </c:pt>
                <c:pt idx="13">
                  <c:v>0.61953883495145623</c:v>
                </c:pt>
                <c:pt idx="14">
                  <c:v>0.61953883495145623</c:v>
                </c:pt>
                <c:pt idx="15">
                  <c:v>0.61953883495145623</c:v>
                </c:pt>
                <c:pt idx="16">
                  <c:v>0.61953883495145623</c:v>
                </c:pt>
                <c:pt idx="17">
                  <c:v>0.61953883495145623</c:v>
                </c:pt>
                <c:pt idx="18">
                  <c:v>0.61953883495145623</c:v>
                </c:pt>
                <c:pt idx="19">
                  <c:v>0.61953883495145623</c:v>
                </c:pt>
                <c:pt idx="20">
                  <c:v>0.61953883495145623</c:v>
                </c:pt>
                <c:pt idx="21">
                  <c:v>0.61953883495145623</c:v>
                </c:pt>
                <c:pt idx="22">
                  <c:v>0.61953883495145623</c:v>
                </c:pt>
                <c:pt idx="23">
                  <c:v>0.61953883495145623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6B-4978-BC69-B0507AE66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F07-4A7A-A1C0-96C612EB1E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07-4A7A-A1C0-96C612EB1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F07-4A7A-A1C0-96C612EB1E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07-4A7A-A1C0-96C612EB1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'07'!$L$6:$L$29</c:f>
              <c:numCache>
                <c:formatCode>_(* #,##0_);_(* \(#,##0\);_(* "-"_);_(@_)</c:formatCode>
                <c:ptCount val="24"/>
                <c:pt idx="0">
                  <c:v>10316</c:v>
                </c:pt>
                <c:pt idx="2">
                  <c:v>8168</c:v>
                </c:pt>
                <c:pt idx="3">
                  <c:v>5831</c:v>
                </c:pt>
                <c:pt idx="4">
                  <c:v>3858</c:v>
                </c:pt>
                <c:pt idx="5">
                  <c:v>5516</c:v>
                </c:pt>
                <c:pt idx="6">
                  <c:v>4023</c:v>
                </c:pt>
                <c:pt idx="7">
                  <c:v>5301</c:v>
                </c:pt>
                <c:pt idx="9">
                  <c:v>23796</c:v>
                </c:pt>
                <c:pt idx="10">
                  <c:v>11600</c:v>
                </c:pt>
                <c:pt idx="11">
                  <c:v>4787</c:v>
                </c:pt>
                <c:pt idx="12">
                  <c:v>11508</c:v>
                </c:pt>
                <c:pt idx="13">
                  <c:v>11486</c:v>
                </c:pt>
                <c:pt idx="14">
                  <c:v>5135</c:v>
                </c:pt>
                <c:pt idx="15">
                  <c:v>65444</c:v>
                </c:pt>
                <c:pt idx="20">
                  <c:v>24108</c:v>
                </c:pt>
                <c:pt idx="21">
                  <c:v>27588</c:v>
                </c:pt>
                <c:pt idx="22">
                  <c:v>29436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2-4DD2-9ABE-66DB5131C192}"/>
            </c:ext>
          </c:extLst>
        </c:ser>
        <c:ser>
          <c:idx val="1"/>
          <c:order val="1"/>
          <c:tx>
            <c:v>계획</c:v>
          </c:tx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'07'!$J$6:$J$29</c:f>
              <c:numCache>
                <c:formatCode>_(* #,##0_);_(* \(#,##0\);_(* "-"_);_(@_)</c:formatCode>
                <c:ptCount val="24"/>
                <c:pt idx="0">
                  <c:v>10316</c:v>
                </c:pt>
                <c:pt idx="1">
                  <c:v>585</c:v>
                </c:pt>
                <c:pt idx="2">
                  <c:v>8168</c:v>
                </c:pt>
                <c:pt idx="3">
                  <c:v>5831</c:v>
                </c:pt>
                <c:pt idx="4">
                  <c:v>3858</c:v>
                </c:pt>
                <c:pt idx="5">
                  <c:v>5516</c:v>
                </c:pt>
                <c:pt idx="6">
                  <c:v>4023</c:v>
                </c:pt>
                <c:pt idx="7">
                  <c:v>5301</c:v>
                </c:pt>
                <c:pt idx="8">
                  <c:v>631</c:v>
                </c:pt>
                <c:pt idx="9">
                  <c:v>23796</c:v>
                </c:pt>
                <c:pt idx="10">
                  <c:v>11600</c:v>
                </c:pt>
                <c:pt idx="11">
                  <c:v>4787</c:v>
                </c:pt>
                <c:pt idx="12">
                  <c:v>11508</c:v>
                </c:pt>
                <c:pt idx="13">
                  <c:v>11486</c:v>
                </c:pt>
                <c:pt idx="14">
                  <c:v>5135</c:v>
                </c:pt>
                <c:pt idx="15">
                  <c:v>65444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24108</c:v>
                </c:pt>
                <c:pt idx="21">
                  <c:v>27588</c:v>
                </c:pt>
                <c:pt idx="22">
                  <c:v>29436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2-4DD2-9ABE-66DB5131C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'07'!$AD$6:$AD$29</c:f>
              <c:strCache>
                <c:ptCount val="24"/>
                <c:pt idx="0">
                  <c:v>92%</c:v>
                </c:pt>
                <c:pt idx="1">
                  <c:v>0%</c:v>
                </c:pt>
                <c:pt idx="2">
                  <c:v>83%</c:v>
                </c:pt>
                <c:pt idx="3">
                  <c:v>100%</c:v>
                </c:pt>
                <c:pt idx="4">
                  <c:v>71%</c:v>
                </c:pt>
                <c:pt idx="5">
                  <c:v>100%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92%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'07'!$AD$6:$AD$29</c:f>
              <c:numCache>
                <c:formatCode>0%</c:formatCode>
                <c:ptCount val="24"/>
                <c:pt idx="0">
                  <c:v>0.91666666666666663</c:v>
                </c:pt>
                <c:pt idx="1">
                  <c:v>0</c:v>
                </c:pt>
                <c:pt idx="2">
                  <c:v>0.83333333333333337</c:v>
                </c:pt>
                <c:pt idx="3">
                  <c:v>1</c:v>
                </c:pt>
                <c:pt idx="4">
                  <c:v>0.70833333333333337</c:v>
                </c:pt>
                <c:pt idx="5">
                  <c:v>1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0.91666666666666663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6-4FBF-BD3D-71B887DF57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F6-4FBF-BD3D-71B887DF57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'07'!$AE$6:$AE$29</c:f>
              <c:numCache>
                <c:formatCode>0%</c:formatCode>
                <c:ptCount val="24"/>
                <c:pt idx="0">
                  <c:v>0.67708333333333337</c:v>
                </c:pt>
                <c:pt idx="1">
                  <c:v>0.67708333333333337</c:v>
                </c:pt>
                <c:pt idx="2">
                  <c:v>0.67708333333333337</c:v>
                </c:pt>
                <c:pt idx="3">
                  <c:v>0.67708333333333337</c:v>
                </c:pt>
                <c:pt idx="4">
                  <c:v>0.67708333333333337</c:v>
                </c:pt>
                <c:pt idx="5">
                  <c:v>0.67708333333333337</c:v>
                </c:pt>
                <c:pt idx="6">
                  <c:v>0.67708333333333337</c:v>
                </c:pt>
                <c:pt idx="7">
                  <c:v>0.67708333333333337</c:v>
                </c:pt>
                <c:pt idx="8">
                  <c:v>0.67708333333333337</c:v>
                </c:pt>
                <c:pt idx="9">
                  <c:v>0.67708333333333337</c:v>
                </c:pt>
                <c:pt idx="10">
                  <c:v>0.67708333333333337</c:v>
                </c:pt>
                <c:pt idx="11">
                  <c:v>0.67708333333333337</c:v>
                </c:pt>
                <c:pt idx="12">
                  <c:v>0.67708333333333337</c:v>
                </c:pt>
                <c:pt idx="13">
                  <c:v>0.67708333333333337</c:v>
                </c:pt>
                <c:pt idx="14">
                  <c:v>0.67708333333333337</c:v>
                </c:pt>
                <c:pt idx="15">
                  <c:v>0.67708333333333337</c:v>
                </c:pt>
                <c:pt idx="16">
                  <c:v>0.67708333333333337</c:v>
                </c:pt>
                <c:pt idx="17">
                  <c:v>0.67708333333333337</c:v>
                </c:pt>
                <c:pt idx="18">
                  <c:v>0.67708333333333337</c:v>
                </c:pt>
                <c:pt idx="19">
                  <c:v>0.67708333333333337</c:v>
                </c:pt>
                <c:pt idx="20">
                  <c:v>0.67708333333333337</c:v>
                </c:pt>
                <c:pt idx="21">
                  <c:v>0.67708333333333337</c:v>
                </c:pt>
                <c:pt idx="22">
                  <c:v>0.67708333333333337</c:v>
                </c:pt>
                <c:pt idx="23">
                  <c:v>0.67708333333333337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6-4FBF-BD3D-71B887DF5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'07'!$L$6:$L$29</c:f>
              <c:numCache>
                <c:formatCode>_(* #,##0_);_(* \(#,##0\);_(* "-"_);_(@_)</c:formatCode>
                <c:ptCount val="24"/>
                <c:pt idx="0">
                  <c:v>10316</c:v>
                </c:pt>
                <c:pt idx="2">
                  <c:v>8168</c:v>
                </c:pt>
                <c:pt idx="3">
                  <c:v>5831</c:v>
                </c:pt>
                <c:pt idx="4">
                  <c:v>3858</c:v>
                </c:pt>
                <c:pt idx="5">
                  <c:v>5516</c:v>
                </c:pt>
                <c:pt idx="6">
                  <c:v>4023</c:v>
                </c:pt>
                <c:pt idx="7">
                  <c:v>5301</c:v>
                </c:pt>
                <c:pt idx="9">
                  <c:v>23796</c:v>
                </c:pt>
                <c:pt idx="10">
                  <c:v>11600</c:v>
                </c:pt>
                <c:pt idx="11">
                  <c:v>4787</c:v>
                </c:pt>
                <c:pt idx="12">
                  <c:v>11508</c:v>
                </c:pt>
                <c:pt idx="13">
                  <c:v>11486</c:v>
                </c:pt>
                <c:pt idx="14">
                  <c:v>5135</c:v>
                </c:pt>
                <c:pt idx="15">
                  <c:v>65444</c:v>
                </c:pt>
                <c:pt idx="20">
                  <c:v>24108</c:v>
                </c:pt>
                <c:pt idx="21">
                  <c:v>27588</c:v>
                </c:pt>
                <c:pt idx="22">
                  <c:v>29436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C-4971-BFBF-7F53B7632A7F}"/>
            </c:ext>
          </c:extLst>
        </c:ser>
        <c:ser>
          <c:idx val="1"/>
          <c:order val="1"/>
          <c:tx>
            <c:v>계획</c:v>
          </c:tx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'07'!$J$6:$J$29</c:f>
              <c:numCache>
                <c:formatCode>_(* #,##0_);_(* \(#,##0\);_(* "-"_);_(@_)</c:formatCode>
                <c:ptCount val="24"/>
                <c:pt idx="0">
                  <c:v>10316</c:v>
                </c:pt>
                <c:pt idx="1">
                  <c:v>585</c:v>
                </c:pt>
                <c:pt idx="2">
                  <c:v>8168</c:v>
                </c:pt>
                <c:pt idx="3">
                  <c:v>5831</c:v>
                </c:pt>
                <c:pt idx="4">
                  <c:v>3858</c:v>
                </c:pt>
                <c:pt idx="5">
                  <c:v>5516</c:v>
                </c:pt>
                <c:pt idx="6">
                  <c:v>4023</c:v>
                </c:pt>
                <c:pt idx="7">
                  <c:v>5301</c:v>
                </c:pt>
                <c:pt idx="8">
                  <c:v>631</c:v>
                </c:pt>
                <c:pt idx="9">
                  <c:v>23796</c:v>
                </c:pt>
                <c:pt idx="10">
                  <c:v>11600</c:v>
                </c:pt>
                <c:pt idx="11">
                  <c:v>4787</c:v>
                </c:pt>
                <c:pt idx="12">
                  <c:v>11508</c:v>
                </c:pt>
                <c:pt idx="13">
                  <c:v>11486</c:v>
                </c:pt>
                <c:pt idx="14">
                  <c:v>5135</c:v>
                </c:pt>
                <c:pt idx="15">
                  <c:v>65444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24108</c:v>
                </c:pt>
                <c:pt idx="21">
                  <c:v>27588</c:v>
                </c:pt>
                <c:pt idx="22">
                  <c:v>29436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C-4971-BFBF-7F53B7632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'07'!$AD$6:$AD$29</c:f>
              <c:strCache>
                <c:ptCount val="24"/>
                <c:pt idx="0">
                  <c:v>92%</c:v>
                </c:pt>
                <c:pt idx="1">
                  <c:v>0%</c:v>
                </c:pt>
                <c:pt idx="2">
                  <c:v>83%</c:v>
                </c:pt>
                <c:pt idx="3">
                  <c:v>100%</c:v>
                </c:pt>
                <c:pt idx="4">
                  <c:v>71%</c:v>
                </c:pt>
                <c:pt idx="5">
                  <c:v>100%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92%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'07'!$AD$6:$AD$29</c:f>
              <c:numCache>
                <c:formatCode>0%</c:formatCode>
                <c:ptCount val="24"/>
                <c:pt idx="0">
                  <c:v>0.91666666666666663</c:v>
                </c:pt>
                <c:pt idx="1">
                  <c:v>0</c:v>
                </c:pt>
                <c:pt idx="2">
                  <c:v>0.83333333333333337</c:v>
                </c:pt>
                <c:pt idx="3">
                  <c:v>1</c:v>
                </c:pt>
                <c:pt idx="4">
                  <c:v>0.70833333333333337</c:v>
                </c:pt>
                <c:pt idx="5">
                  <c:v>1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0.91666666666666663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0-43AB-8B8D-E89CEDBD3ED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F0-43AB-8B8D-E89CEDBD3E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'07'!$AE$6:$AE$29</c:f>
              <c:numCache>
                <c:formatCode>0%</c:formatCode>
                <c:ptCount val="24"/>
                <c:pt idx="0">
                  <c:v>0.67708333333333337</c:v>
                </c:pt>
                <c:pt idx="1">
                  <c:v>0.67708333333333337</c:v>
                </c:pt>
                <c:pt idx="2">
                  <c:v>0.67708333333333337</c:v>
                </c:pt>
                <c:pt idx="3">
                  <c:v>0.67708333333333337</c:v>
                </c:pt>
                <c:pt idx="4">
                  <c:v>0.67708333333333337</c:v>
                </c:pt>
                <c:pt idx="5">
                  <c:v>0.67708333333333337</c:v>
                </c:pt>
                <c:pt idx="6">
                  <c:v>0.67708333333333337</c:v>
                </c:pt>
                <c:pt idx="7">
                  <c:v>0.67708333333333337</c:v>
                </c:pt>
                <c:pt idx="8">
                  <c:v>0.67708333333333337</c:v>
                </c:pt>
                <c:pt idx="9">
                  <c:v>0.67708333333333337</c:v>
                </c:pt>
                <c:pt idx="10">
                  <c:v>0.67708333333333337</c:v>
                </c:pt>
                <c:pt idx="11">
                  <c:v>0.67708333333333337</c:v>
                </c:pt>
                <c:pt idx="12">
                  <c:v>0.67708333333333337</c:v>
                </c:pt>
                <c:pt idx="13">
                  <c:v>0.67708333333333337</c:v>
                </c:pt>
                <c:pt idx="14">
                  <c:v>0.67708333333333337</c:v>
                </c:pt>
                <c:pt idx="15">
                  <c:v>0.67708333333333337</c:v>
                </c:pt>
                <c:pt idx="16">
                  <c:v>0.67708333333333337</c:v>
                </c:pt>
                <c:pt idx="17">
                  <c:v>0.67708333333333337</c:v>
                </c:pt>
                <c:pt idx="18">
                  <c:v>0.67708333333333337</c:v>
                </c:pt>
                <c:pt idx="19">
                  <c:v>0.67708333333333337</c:v>
                </c:pt>
                <c:pt idx="20">
                  <c:v>0.67708333333333337</c:v>
                </c:pt>
                <c:pt idx="21">
                  <c:v>0.67708333333333337</c:v>
                </c:pt>
                <c:pt idx="22">
                  <c:v>0.67708333333333337</c:v>
                </c:pt>
                <c:pt idx="23">
                  <c:v>0.67708333333333337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F0-43AB-8B8D-E89CEDBD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937-4E9F-9F60-9A57F6BF4C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7-4E9F-9F60-9A57F6BF4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937-4E9F-9F60-9A57F6BF4C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37-4E9F-9F60-9A57F6BF4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'08'!$L$6:$L$29</c:f>
              <c:numCache>
                <c:formatCode>_(* #,##0_);_(* \(#,##0\);_(* "-"_);_(@_)</c:formatCode>
                <c:ptCount val="24"/>
                <c:pt idx="0">
                  <c:v>11230</c:v>
                </c:pt>
                <c:pt idx="1">
                  <c:v>100</c:v>
                </c:pt>
                <c:pt idx="2">
                  <c:v>10878</c:v>
                </c:pt>
                <c:pt idx="3">
                  <c:v>4936</c:v>
                </c:pt>
                <c:pt idx="4">
                  <c:v>6127</c:v>
                </c:pt>
                <c:pt idx="5">
                  <c:v>4117</c:v>
                </c:pt>
                <c:pt idx="6">
                  <c:v>4778</c:v>
                </c:pt>
                <c:pt idx="7">
                  <c:v>23900</c:v>
                </c:pt>
                <c:pt idx="9">
                  <c:v>25180</c:v>
                </c:pt>
                <c:pt idx="10">
                  <c:v>11484</c:v>
                </c:pt>
                <c:pt idx="11">
                  <c:v>11722</c:v>
                </c:pt>
                <c:pt idx="12">
                  <c:v>10790</c:v>
                </c:pt>
                <c:pt idx="13">
                  <c:v>11352</c:v>
                </c:pt>
                <c:pt idx="14">
                  <c:v>1065</c:v>
                </c:pt>
                <c:pt idx="15">
                  <c:v>64496</c:v>
                </c:pt>
                <c:pt idx="20">
                  <c:v>23840</c:v>
                </c:pt>
                <c:pt idx="21">
                  <c:v>27392</c:v>
                </c:pt>
                <c:pt idx="22">
                  <c:v>29448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C-465F-AFFC-0AD58231122B}"/>
            </c:ext>
          </c:extLst>
        </c:ser>
        <c:ser>
          <c:idx val="1"/>
          <c:order val="1"/>
          <c:tx>
            <c:v>계획</c:v>
          </c:tx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'08'!$J$6:$J$29</c:f>
              <c:numCache>
                <c:formatCode>_(* #,##0_);_(* \(#,##0\);_(* "-"_);_(@_)</c:formatCode>
                <c:ptCount val="24"/>
                <c:pt idx="0">
                  <c:v>11230</c:v>
                </c:pt>
                <c:pt idx="1">
                  <c:v>100</c:v>
                </c:pt>
                <c:pt idx="2">
                  <c:v>10878</c:v>
                </c:pt>
                <c:pt idx="3">
                  <c:v>4936</c:v>
                </c:pt>
                <c:pt idx="4">
                  <c:v>6127</c:v>
                </c:pt>
                <c:pt idx="5">
                  <c:v>4117</c:v>
                </c:pt>
                <c:pt idx="6">
                  <c:v>4778</c:v>
                </c:pt>
                <c:pt idx="7">
                  <c:v>23900</c:v>
                </c:pt>
                <c:pt idx="8">
                  <c:v>631</c:v>
                </c:pt>
                <c:pt idx="9">
                  <c:v>25180</c:v>
                </c:pt>
                <c:pt idx="10">
                  <c:v>11484</c:v>
                </c:pt>
                <c:pt idx="11">
                  <c:v>11722</c:v>
                </c:pt>
                <c:pt idx="12">
                  <c:v>10790</c:v>
                </c:pt>
                <c:pt idx="13">
                  <c:v>11352</c:v>
                </c:pt>
                <c:pt idx="14">
                  <c:v>1065</c:v>
                </c:pt>
                <c:pt idx="15">
                  <c:v>64496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23840</c:v>
                </c:pt>
                <c:pt idx="21">
                  <c:v>27392</c:v>
                </c:pt>
                <c:pt idx="22">
                  <c:v>29448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C-465F-AFFC-0AD58231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'08'!$AD$6:$AD$29</c:f>
              <c:strCache>
                <c:ptCount val="24"/>
                <c:pt idx="0">
                  <c:v>100%</c:v>
                </c:pt>
                <c:pt idx="1">
                  <c:v>17%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83%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92%</c:v>
                </c:pt>
                <c:pt idx="12">
                  <c:v>100%</c:v>
                </c:pt>
                <c:pt idx="13">
                  <c:v>100%</c:v>
                </c:pt>
                <c:pt idx="14">
                  <c:v>21%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'08'!$AD$6:$AD$29</c:f>
              <c:numCache>
                <c:formatCode>0%</c:formatCode>
                <c:ptCount val="24"/>
                <c:pt idx="0">
                  <c:v>1</c:v>
                </c:pt>
                <c:pt idx="1">
                  <c:v>0.16666666666666666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0.91666666666666663</c:v>
                </c:pt>
                <c:pt idx="12">
                  <c:v>1</c:v>
                </c:pt>
                <c:pt idx="13">
                  <c:v>1</c:v>
                </c:pt>
                <c:pt idx="14">
                  <c:v>0.20833333333333334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C-425F-AFC8-717B61BD14B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FC-425F-AFC8-717B61BD14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'08'!$AE$6:$AE$29</c:f>
              <c:numCache>
                <c:formatCode>0%</c:formatCode>
                <c:ptCount val="24"/>
                <c:pt idx="0">
                  <c:v>0.671875</c:v>
                </c:pt>
                <c:pt idx="1">
                  <c:v>0.671875</c:v>
                </c:pt>
                <c:pt idx="2">
                  <c:v>0.671875</c:v>
                </c:pt>
                <c:pt idx="3">
                  <c:v>0.671875</c:v>
                </c:pt>
                <c:pt idx="4">
                  <c:v>0.671875</c:v>
                </c:pt>
                <c:pt idx="5">
                  <c:v>0.671875</c:v>
                </c:pt>
                <c:pt idx="6">
                  <c:v>0.671875</c:v>
                </c:pt>
                <c:pt idx="7">
                  <c:v>0.671875</c:v>
                </c:pt>
                <c:pt idx="8">
                  <c:v>0.671875</c:v>
                </c:pt>
                <c:pt idx="9">
                  <c:v>0.671875</c:v>
                </c:pt>
                <c:pt idx="10">
                  <c:v>0.671875</c:v>
                </c:pt>
                <c:pt idx="11">
                  <c:v>0.671875</c:v>
                </c:pt>
                <c:pt idx="12">
                  <c:v>0.671875</c:v>
                </c:pt>
                <c:pt idx="13">
                  <c:v>0.671875</c:v>
                </c:pt>
                <c:pt idx="14">
                  <c:v>0.671875</c:v>
                </c:pt>
                <c:pt idx="15">
                  <c:v>0.671875</c:v>
                </c:pt>
                <c:pt idx="16">
                  <c:v>0.671875</c:v>
                </c:pt>
                <c:pt idx="17">
                  <c:v>0.671875</c:v>
                </c:pt>
                <c:pt idx="18">
                  <c:v>0.671875</c:v>
                </c:pt>
                <c:pt idx="19">
                  <c:v>0.671875</c:v>
                </c:pt>
                <c:pt idx="20">
                  <c:v>0.671875</c:v>
                </c:pt>
                <c:pt idx="21">
                  <c:v>0.671875</c:v>
                </c:pt>
                <c:pt idx="22">
                  <c:v>0.671875</c:v>
                </c:pt>
                <c:pt idx="23">
                  <c:v>0.671875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C-425F-AFC8-717B61BD1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'08'!$L$6:$L$29</c:f>
              <c:numCache>
                <c:formatCode>_(* #,##0_);_(* \(#,##0\);_(* "-"_);_(@_)</c:formatCode>
                <c:ptCount val="24"/>
                <c:pt idx="0">
                  <c:v>11230</c:v>
                </c:pt>
                <c:pt idx="1">
                  <c:v>100</c:v>
                </c:pt>
                <c:pt idx="2">
                  <c:v>10878</c:v>
                </c:pt>
                <c:pt idx="3">
                  <c:v>4936</c:v>
                </c:pt>
                <c:pt idx="4">
                  <c:v>6127</c:v>
                </c:pt>
                <c:pt idx="5">
                  <c:v>4117</c:v>
                </c:pt>
                <c:pt idx="6">
                  <c:v>4778</c:v>
                </c:pt>
                <c:pt idx="7">
                  <c:v>23900</c:v>
                </c:pt>
                <c:pt idx="9">
                  <c:v>25180</c:v>
                </c:pt>
                <c:pt idx="10">
                  <c:v>11484</c:v>
                </c:pt>
                <c:pt idx="11">
                  <c:v>11722</c:v>
                </c:pt>
                <c:pt idx="12">
                  <c:v>10790</c:v>
                </c:pt>
                <c:pt idx="13">
                  <c:v>11352</c:v>
                </c:pt>
                <c:pt idx="14">
                  <c:v>1065</c:v>
                </c:pt>
                <c:pt idx="15">
                  <c:v>64496</c:v>
                </c:pt>
                <c:pt idx="20">
                  <c:v>23840</c:v>
                </c:pt>
                <c:pt idx="21">
                  <c:v>27392</c:v>
                </c:pt>
                <c:pt idx="22">
                  <c:v>29448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6-4F39-9EBE-C31336DE9807}"/>
            </c:ext>
          </c:extLst>
        </c:ser>
        <c:ser>
          <c:idx val="1"/>
          <c:order val="1"/>
          <c:tx>
            <c:v>계획</c:v>
          </c:tx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'08'!$J$6:$J$29</c:f>
              <c:numCache>
                <c:formatCode>_(* #,##0_);_(* \(#,##0\);_(* "-"_);_(@_)</c:formatCode>
                <c:ptCount val="24"/>
                <c:pt idx="0">
                  <c:v>11230</c:v>
                </c:pt>
                <c:pt idx="1">
                  <c:v>100</c:v>
                </c:pt>
                <c:pt idx="2">
                  <c:v>10878</c:v>
                </c:pt>
                <c:pt idx="3">
                  <c:v>4936</c:v>
                </c:pt>
                <c:pt idx="4">
                  <c:v>6127</c:v>
                </c:pt>
                <c:pt idx="5">
                  <c:v>4117</c:v>
                </c:pt>
                <c:pt idx="6">
                  <c:v>4778</c:v>
                </c:pt>
                <c:pt idx="7">
                  <c:v>23900</c:v>
                </c:pt>
                <c:pt idx="8">
                  <c:v>631</c:v>
                </c:pt>
                <c:pt idx="9">
                  <c:v>25180</c:v>
                </c:pt>
                <c:pt idx="10">
                  <c:v>11484</c:v>
                </c:pt>
                <c:pt idx="11">
                  <c:v>11722</c:v>
                </c:pt>
                <c:pt idx="12">
                  <c:v>10790</c:v>
                </c:pt>
                <c:pt idx="13">
                  <c:v>11352</c:v>
                </c:pt>
                <c:pt idx="14">
                  <c:v>1065</c:v>
                </c:pt>
                <c:pt idx="15">
                  <c:v>64496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23840</c:v>
                </c:pt>
                <c:pt idx="21">
                  <c:v>27392</c:v>
                </c:pt>
                <c:pt idx="22">
                  <c:v>29448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6-4F39-9EBE-C31336DE9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'08'!$AD$6:$AD$29</c:f>
              <c:strCache>
                <c:ptCount val="24"/>
                <c:pt idx="0">
                  <c:v>100%</c:v>
                </c:pt>
                <c:pt idx="1">
                  <c:v>17%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83%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92%</c:v>
                </c:pt>
                <c:pt idx="12">
                  <c:v>100%</c:v>
                </c:pt>
                <c:pt idx="13">
                  <c:v>100%</c:v>
                </c:pt>
                <c:pt idx="14">
                  <c:v>21%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'08'!$AD$6:$AD$29</c:f>
              <c:numCache>
                <c:formatCode>0%</c:formatCode>
                <c:ptCount val="24"/>
                <c:pt idx="0">
                  <c:v>1</c:v>
                </c:pt>
                <c:pt idx="1">
                  <c:v>0.16666666666666666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0.91666666666666663</c:v>
                </c:pt>
                <c:pt idx="12">
                  <c:v>1</c:v>
                </c:pt>
                <c:pt idx="13">
                  <c:v>1</c:v>
                </c:pt>
                <c:pt idx="14">
                  <c:v>0.20833333333333334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D-421D-B3EB-C67CA3F04C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CD-421D-B3EB-C67CA3F04C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'08'!$D$6:$D$29</c:f>
              <c:strCache>
                <c:ptCount val="23"/>
                <c:pt idx="0">
                  <c:v>SLIDER</c:v>
                </c:pt>
                <c:pt idx="1">
                  <c:v>BASE</c:v>
                </c:pt>
                <c:pt idx="2">
                  <c:v>BASE</c:v>
                </c:pt>
                <c:pt idx="5">
                  <c:v>120P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'08'!$AE$6:$AE$29</c:f>
              <c:numCache>
                <c:formatCode>0%</c:formatCode>
                <c:ptCount val="24"/>
                <c:pt idx="0">
                  <c:v>0.671875</c:v>
                </c:pt>
                <c:pt idx="1">
                  <c:v>0.671875</c:v>
                </c:pt>
                <c:pt idx="2">
                  <c:v>0.671875</c:v>
                </c:pt>
                <c:pt idx="3">
                  <c:v>0.671875</c:v>
                </c:pt>
                <c:pt idx="4">
                  <c:v>0.671875</c:v>
                </c:pt>
                <c:pt idx="5">
                  <c:v>0.671875</c:v>
                </c:pt>
                <c:pt idx="6">
                  <c:v>0.671875</c:v>
                </c:pt>
                <c:pt idx="7">
                  <c:v>0.671875</c:v>
                </c:pt>
                <c:pt idx="8">
                  <c:v>0.671875</c:v>
                </c:pt>
                <c:pt idx="9">
                  <c:v>0.671875</c:v>
                </c:pt>
                <c:pt idx="10">
                  <c:v>0.671875</c:v>
                </c:pt>
                <c:pt idx="11">
                  <c:v>0.671875</c:v>
                </c:pt>
                <c:pt idx="12">
                  <c:v>0.671875</c:v>
                </c:pt>
                <c:pt idx="13">
                  <c:v>0.671875</c:v>
                </c:pt>
                <c:pt idx="14">
                  <c:v>0.671875</c:v>
                </c:pt>
                <c:pt idx="15">
                  <c:v>0.671875</c:v>
                </c:pt>
                <c:pt idx="16">
                  <c:v>0.671875</c:v>
                </c:pt>
                <c:pt idx="17">
                  <c:v>0.671875</c:v>
                </c:pt>
                <c:pt idx="18">
                  <c:v>0.671875</c:v>
                </c:pt>
                <c:pt idx="19">
                  <c:v>0.671875</c:v>
                </c:pt>
                <c:pt idx="20">
                  <c:v>0.671875</c:v>
                </c:pt>
                <c:pt idx="21">
                  <c:v>0.671875</c:v>
                </c:pt>
                <c:pt idx="22">
                  <c:v>0.671875</c:v>
                </c:pt>
                <c:pt idx="23">
                  <c:v>0.671875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CD-421D-B3EB-C67CA3F0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7E4-4DB9-A6DD-F2E4455271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4-4DB9-A6DD-F2E445527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7E4-4DB9-A6DD-F2E4455271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E4-4DB9-A6DD-F2E445527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'09'!$L$6:$L$29</c:f>
              <c:numCache>
                <c:formatCode>_(* #,##0_);_(* \(#,##0\);_(* "-"_);_(@_)</c:formatCode>
                <c:ptCount val="24"/>
                <c:pt idx="0">
                  <c:v>10284</c:v>
                </c:pt>
                <c:pt idx="1">
                  <c:v>2568</c:v>
                </c:pt>
                <c:pt idx="2">
                  <c:v>10884</c:v>
                </c:pt>
                <c:pt idx="3">
                  <c:v>5784</c:v>
                </c:pt>
                <c:pt idx="4">
                  <c:v>5942</c:v>
                </c:pt>
                <c:pt idx="5">
                  <c:v>7570</c:v>
                </c:pt>
                <c:pt idx="6">
                  <c:v>4814</c:v>
                </c:pt>
                <c:pt idx="7">
                  <c:v>20228</c:v>
                </c:pt>
                <c:pt idx="9">
                  <c:v>25256</c:v>
                </c:pt>
                <c:pt idx="10">
                  <c:v>12810</c:v>
                </c:pt>
                <c:pt idx="11">
                  <c:v>12262</c:v>
                </c:pt>
                <c:pt idx="12">
                  <c:v>11124</c:v>
                </c:pt>
                <c:pt idx="13">
                  <c:v>11400</c:v>
                </c:pt>
                <c:pt idx="14">
                  <c:v>500</c:v>
                </c:pt>
                <c:pt idx="15">
                  <c:v>64864</c:v>
                </c:pt>
                <c:pt idx="20">
                  <c:v>23940</c:v>
                </c:pt>
                <c:pt idx="21">
                  <c:v>27540</c:v>
                </c:pt>
                <c:pt idx="22">
                  <c:v>29672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8-41E5-A78E-616756C8FF15}"/>
            </c:ext>
          </c:extLst>
        </c:ser>
        <c:ser>
          <c:idx val="1"/>
          <c:order val="1"/>
          <c:tx>
            <c:v>계획</c:v>
          </c:tx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'09'!$J$6:$J$29</c:f>
              <c:numCache>
                <c:formatCode>_(* #,##0_);_(* \(#,##0\);_(* "-"_);_(@_)</c:formatCode>
                <c:ptCount val="24"/>
                <c:pt idx="0">
                  <c:v>10284</c:v>
                </c:pt>
                <c:pt idx="1">
                  <c:v>2568</c:v>
                </c:pt>
                <c:pt idx="2">
                  <c:v>10884</c:v>
                </c:pt>
                <c:pt idx="3">
                  <c:v>5784</c:v>
                </c:pt>
                <c:pt idx="4">
                  <c:v>5942</c:v>
                </c:pt>
                <c:pt idx="5">
                  <c:v>7570</c:v>
                </c:pt>
                <c:pt idx="6">
                  <c:v>4814</c:v>
                </c:pt>
                <c:pt idx="7">
                  <c:v>20228</c:v>
                </c:pt>
                <c:pt idx="8">
                  <c:v>631</c:v>
                </c:pt>
                <c:pt idx="9">
                  <c:v>25256</c:v>
                </c:pt>
                <c:pt idx="10">
                  <c:v>12810</c:v>
                </c:pt>
                <c:pt idx="11">
                  <c:v>12262</c:v>
                </c:pt>
                <c:pt idx="12">
                  <c:v>11124</c:v>
                </c:pt>
                <c:pt idx="13">
                  <c:v>11400</c:v>
                </c:pt>
                <c:pt idx="14">
                  <c:v>500</c:v>
                </c:pt>
                <c:pt idx="15">
                  <c:v>64864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23940</c:v>
                </c:pt>
                <c:pt idx="21">
                  <c:v>27540</c:v>
                </c:pt>
                <c:pt idx="22">
                  <c:v>29672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8-41E5-A78E-616756C8F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'09'!$AD$6:$AD$29</c:f>
              <c:strCache>
                <c:ptCount val="24"/>
                <c:pt idx="0">
                  <c:v>92%</c:v>
                </c:pt>
                <c:pt idx="1">
                  <c:v>46%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96%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'09'!$AD$6:$AD$29</c:f>
              <c:numCache>
                <c:formatCode>0%</c:formatCode>
                <c:ptCount val="24"/>
                <c:pt idx="0">
                  <c:v>0.91666666666666663</c:v>
                </c:pt>
                <c:pt idx="1">
                  <c:v>0.45833333333333331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0.95833333333333337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2-44F0-B99B-DF9F27F47B1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62-44F0-B99B-DF9F27F47B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'09'!$AE$6:$AE$29</c:f>
              <c:numCache>
                <c:formatCode>0%</c:formatCode>
                <c:ptCount val="24"/>
                <c:pt idx="0">
                  <c:v>0.68576388888888884</c:v>
                </c:pt>
                <c:pt idx="1">
                  <c:v>0.68576388888888884</c:v>
                </c:pt>
                <c:pt idx="2">
                  <c:v>0.68576388888888884</c:v>
                </c:pt>
                <c:pt idx="3">
                  <c:v>0.68576388888888884</c:v>
                </c:pt>
                <c:pt idx="4">
                  <c:v>0.68576388888888884</c:v>
                </c:pt>
                <c:pt idx="5">
                  <c:v>0.68576388888888884</c:v>
                </c:pt>
                <c:pt idx="6">
                  <c:v>0.68576388888888884</c:v>
                </c:pt>
                <c:pt idx="7">
                  <c:v>0.68576388888888884</c:v>
                </c:pt>
                <c:pt idx="8">
                  <c:v>0.68576388888888884</c:v>
                </c:pt>
                <c:pt idx="9">
                  <c:v>0.68576388888888884</c:v>
                </c:pt>
                <c:pt idx="10">
                  <c:v>0.68576388888888884</c:v>
                </c:pt>
                <c:pt idx="11">
                  <c:v>0.68576388888888884</c:v>
                </c:pt>
                <c:pt idx="12">
                  <c:v>0.68576388888888884</c:v>
                </c:pt>
                <c:pt idx="13">
                  <c:v>0.68576388888888884</c:v>
                </c:pt>
                <c:pt idx="14">
                  <c:v>0.68576388888888884</c:v>
                </c:pt>
                <c:pt idx="15">
                  <c:v>0.68576388888888884</c:v>
                </c:pt>
                <c:pt idx="16">
                  <c:v>0.68576388888888884</c:v>
                </c:pt>
                <c:pt idx="17">
                  <c:v>0.68576388888888884</c:v>
                </c:pt>
                <c:pt idx="18">
                  <c:v>0.68576388888888884</c:v>
                </c:pt>
                <c:pt idx="19">
                  <c:v>0.68576388888888884</c:v>
                </c:pt>
                <c:pt idx="20">
                  <c:v>0.68576388888888884</c:v>
                </c:pt>
                <c:pt idx="21">
                  <c:v>0.68576388888888884</c:v>
                </c:pt>
                <c:pt idx="22">
                  <c:v>0.68576388888888884</c:v>
                </c:pt>
                <c:pt idx="23">
                  <c:v>0.68576388888888884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2-44F0-B99B-DF9F27F47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'09'!$L$6:$L$29</c:f>
              <c:numCache>
                <c:formatCode>_(* #,##0_);_(* \(#,##0\);_(* "-"_);_(@_)</c:formatCode>
                <c:ptCount val="24"/>
                <c:pt idx="0">
                  <c:v>10284</c:v>
                </c:pt>
                <c:pt idx="1">
                  <c:v>2568</c:v>
                </c:pt>
                <c:pt idx="2">
                  <c:v>10884</c:v>
                </c:pt>
                <c:pt idx="3">
                  <c:v>5784</c:v>
                </c:pt>
                <c:pt idx="4">
                  <c:v>5942</c:v>
                </c:pt>
                <c:pt idx="5">
                  <c:v>7570</c:v>
                </c:pt>
                <c:pt idx="6">
                  <c:v>4814</c:v>
                </c:pt>
                <c:pt idx="7">
                  <c:v>20228</c:v>
                </c:pt>
                <c:pt idx="9">
                  <c:v>25256</c:v>
                </c:pt>
                <c:pt idx="10">
                  <c:v>12810</c:v>
                </c:pt>
                <c:pt idx="11">
                  <c:v>12262</c:v>
                </c:pt>
                <c:pt idx="12">
                  <c:v>11124</c:v>
                </c:pt>
                <c:pt idx="13">
                  <c:v>11400</c:v>
                </c:pt>
                <c:pt idx="14">
                  <c:v>500</c:v>
                </c:pt>
                <c:pt idx="15">
                  <c:v>64864</c:v>
                </c:pt>
                <c:pt idx="20">
                  <c:v>23940</c:v>
                </c:pt>
                <c:pt idx="21">
                  <c:v>27540</c:v>
                </c:pt>
                <c:pt idx="22">
                  <c:v>29672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1-4BBE-A3E4-48142808B39F}"/>
            </c:ext>
          </c:extLst>
        </c:ser>
        <c:ser>
          <c:idx val="1"/>
          <c:order val="1"/>
          <c:tx>
            <c:v>계획</c:v>
          </c:tx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'09'!$J$6:$J$29</c:f>
              <c:numCache>
                <c:formatCode>_(* #,##0_);_(* \(#,##0\);_(* "-"_);_(@_)</c:formatCode>
                <c:ptCount val="24"/>
                <c:pt idx="0">
                  <c:v>10284</c:v>
                </c:pt>
                <c:pt idx="1">
                  <c:v>2568</c:v>
                </c:pt>
                <c:pt idx="2">
                  <c:v>10884</c:v>
                </c:pt>
                <c:pt idx="3">
                  <c:v>5784</c:v>
                </c:pt>
                <c:pt idx="4">
                  <c:v>5942</c:v>
                </c:pt>
                <c:pt idx="5">
                  <c:v>7570</c:v>
                </c:pt>
                <c:pt idx="6">
                  <c:v>4814</c:v>
                </c:pt>
                <c:pt idx="7">
                  <c:v>20228</c:v>
                </c:pt>
                <c:pt idx="8">
                  <c:v>631</c:v>
                </c:pt>
                <c:pt idx="9">
                  <c:v>25256</c:v>
                </c:pt>
                <c:pt idx="10">
                  <c:v>12810</c:v>
                </c:pt>
                <c:pt idx="11">
                  <c:v>12262</c:v>
                </c:pt>
                <c:pt idx="12">
                  <c:v>11124</c:v>
                </c:pt>
                <c:pt idx="13">
                  <c:v>11400</c:v>
                </c:pt>
                <c:pt idx="14">
                  <c:v>500</c:v>
                </c:pt>
                <c:pt idx="15">
                  <c:v>64864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23940</c:v>
                </c:pt>
                <c:pt idx="21">
                  <c:v>27540</c:v>
                </c:pt>
                <c:pt idx="22">
                  <c:v>29672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1-4BBE-A3E4-48142808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'09'!$AD$6:$AD$29</c:f>
              <c:strCache>
                <c:ptCount val="24"/>
                <c:pt idx="0">
                  <c:v>92%</c:v>
                </c:pt>
                <c:pt idx="1">
                  <c:v>46%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96%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'09'!$AD$6:$AD$29</c:f>
              <c:numCache>
                <c:formatCode>0%</c:formatCode>
                <c:ptCount val="24"/>
                <c:pt idx="0">
                  <c:v>0.91666666666666663</c:v>
                </c:pt>
                <c:pt idx="1">
                  <c:v>0.45833333333333331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0.95833333333333337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3-4E6C-A74A-B9279A5F91E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13-4E6C-A74A-B9279A5F91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'09'!$D$6:$D$29</c:f>
              <c:strCache>
                <c:ptCount val="23"/>
                <c:pt idx="0">
                  <c:v>SLIDER</c:v>
                </c:pt>
                <c:pt idx="2">
                  <c:v>BASE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LEAD GUIDE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'09'!$AE$6:$AE$29</c:f>
              <c:numCache>
                <c:formatCode>0%</c:formatCode>
                <c:ptCount val="24"/>
                <c:pt idx="0">
                  <c:v>0.68576388888888884</c:v>
                </c:pt>
                <c:pt idx="1">
                  <c:v>0.68576388888888884</c:v>
                </c:pt>
                <c:pt idx="2">
                  <c:v>0.68576388888888884</c:v>
                </c:pt>
                <c:pt idx="3">
                  <c:v>0.68576388888888884</c:v>
                </c:pt>
                <c:pt idx="4">
                  <c:v>0.68576388888888884</c:v>
                </c:pt>
                <c:pt idx="5">
                  <c:v>0.68576388888888884</c:v>
                </c:pt>
                <c:pt idx="6">
                  <c:v>0.68576388888888884</c:v>
                </c:pt>
                <c:pt idx="7">
                  <c:v>0.68576388888888884</c:v>
                </c:pt>
                <c:pt idx="8">
                  <c:v>0.68576388888888884</c:v>
                </c:pt>
                <c:pt idx="9">
                  <c:v>0.68576388888888884</c:v>
                </c:pt>
                <c:pt idx="10">
                  <c:v>0.68576388888888884</c:v>
                </c:pt>
                <c:pt idx="11">
                  <c:v>0.68576388888888884</c:v>
                </c:pt>
                <c:pt idx="12">
                  <c:v>0.68576388888888884</c:v>
                </c:pt>
                <c:pt idx="13">
                  <c:v>0.68576388888888884</c:v>
                </c:pt>
                <c:pt idx="14">
                  <c:v>0.68576388888888884</c:v>
                </c:pt>
                <c:pt idx="15">
                  <c:v>0.68576388888888884</c:v>
                </c:pt>
                <c:pt idx="16">
                  <c:v>0.68576388888888884</c:v>
                </c:pt>
                <c:pt idx="17">
                  <c:v>0.68576388888888884</c:v>
                </c:pt>
                <c:pt idx="18">
                  <c:v>0.68576388888888884</c:v>
                </c:pt>
                <c:pt idx="19">
                  <c:v>0.68576388888888884</c:v>
                </c:pt>
                <c:pt idx="20">
                  <c:v>0.68576388888888884</c:v>
                </c:pt>
                <c:pt idx="21">
                  <c:v>0.68576388888888884</c:v>
                </c:pt>
                <c:pt idx="22">
                  <c:v>0.68576388888888884</c:v>
                </c:pt>
                <c:pt idx="23">
                  <c:v>0.68576388888888884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13-4E6C-A74A-B9279A5F9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C78-4AFF-BE86-AED32FBCF6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8-4AFF-BE86-AED32FBCF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78-4AFF-BE86-AED32FBCF6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78-4AFF-BE86-AED32FBCF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'10'!$L$6:$L$29</c:f>
              <c:numCache>
                <c:formatCode>_(* #,##0_);_(* \(#,##0\);_(* "-"_);_(@_)</c:formatCode>
                <c:ptCount val="24"/>
                <c:pt idx="0">
                  <c:v>10670</c:v>
                </c:pt>
                <c:pt idx="1">
                  <c:v>1053</c:v>
                </c:pt>
                <c:pt idx="2">
                  <c:v>10350</c:v>
                </c:pt>
                <c:pt idx="3">
                  <c:v>5200</c:v>
                </c:pt>
                <c:pt idx="4">
                  <c:v>9568</c:v>
                </c:pt>
                <c:pt idx="5">
                  <c:v>7037</c:v>
                </c:pt>
                <c:pt idx="6">
                  <c:v>4613</c:v>
                </c:pt>
                <c:pt idx="7">
                  <c:v>19588</c:v>
                </c:pt>
                <c:pt idx="9">
                  <c:v>20812</c:v>
                </c:pt>
                <c:pt idx="10">
                  <c:v>7446</c:v>
                </c:pt>
                <c:pt idx="12">
                  <c:v>10528</c:v>
                </c:pt>
                <c:pt idx="13">
                  <c:v>10842</c:v>
                </c:pt>
                <c:pt idx="14">
                  <c:v>2159</c:v>
                </c:pt>
                <c:pt idx="15">
                  <c:v>62952</c:v>
                </c:pt>
                <c:pt idx="20">
                  <c:v>22144</c:v>
                </c:pt>
                <c:pt idx="21">
                  <c:v>25512</c:v>
                </c:pt>
                <c:pt idx="22">
                  <c:v>26652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E-4A54-9117-98E3549BC1B6}"/>
            </c:ext>
          </c:extLst>
        </c:ser>
        <c:ser>
          <c:idx val="1"/>
          <c:order val="1"/>
          <c:tx>
            <c:v>계획</c:v>
          </c:tx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'10'!$J$6:$J$29</c:f>
              <c:numCache>
                <c:formatCode>_(* #,##0_);_(* \(#,##0\);_(* "-"_);_(@_)</c:formatCode>
                <c:ptCount val="24"/>
                <c:pt idx="0">
                  <c:v>10670</c:v>
                </c:pt>
                <c:pt idx="1">
                  <c:v>1053</c:v>
                </c:pt>
                <c:pt idx="2">
                  <c:v>10350</c:v>
                </c:pt>
                <c:pt idx="3">
                  <c:v>5200</c:v>
                </c:pt>
                <c:pt idx="4">
                  <c:v>9568</c:v>
                </c:pt>
                <c:pt idx="5">
                  <c:v>7037</c:v>
                </c:pt>
                <c:pt idx="6">
                  <c:v>4613</c:v>
                </c:pt>
                <c:pt idx="7">
                  <c:v>19588</c:v>
                </c:pt>
                <c:pt idx="8">
                  <c:v>631</c:v>
                </c:pt>
                <c:pt idx="9">
                  <c:v>20812</c:v>
                </c:pt>
                <c:pt idx="10">
                  <c:v>7446</c:v>
                </c:pt>
                <c:pt idx="11">
                  <c:v>12262</c:v>
                </c:pt>
                <c:pt idx="12">
                  <c:v>10528</c:v>
                </c:pt>
                <c:pt idx="13">
                  <c:v>10842</c:v>
                </c:pt>
                <c:pt idx="14">
                  <c:v>2159</c:v>
                </c:pt>
                <c:pt idx="15">
                  <c:v>62952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22144</c:v>
                </c:pt>
                <c:pt idx="21">
                  <c:v>25512</c:v>
                </c:pt>
                <c:pt idx="22">
                  <c:v>26652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E-4A54-9117-98E3549BC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'10'!$AD$6:$AD$29</c:f>
              <c:strCache>
                <c:ptCount val="24"/>
                <c:pt idx="0">
                  <c:v>100%</c:v>
                </c:pt>
                <c:pt idx="1">
                  <c:v>25%</c:v>
                </c:pt>
                <c:pt idx="2">
                  <c:v>100%</c:v>
                </c:pt>
                <c:pt idx="3">
                  <c:v>100%</c:v>
                </c:pt>
                <c:pt idx="4">
                  <c:v>88%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'10'!$AD$6:$AD$29</c:f>
              <c:numCache>
                <c:formatCode>0%</c:formatCode>
                <c:ptCount val="24"/>
                <c:pt idx="0">
                  <c:v>1</c:v>
                </c:pt>
                <c:pt idx="1">
                  <c:v>0.25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9-465E-BE0A-5141B12AB9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99-465E-BE0A-5141B12AB9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'10'!$AE$6:$AE$29</c:f>
              <c:numCache>
                <c:formatCode>0%</c:formatCode>
                <c:ptCount val="24"/>
                <c:pt idx="0">
                  <c:v>0.63715277777777779</c:v>
                </c:pt>
                <c:pt idx="1">
                  <c:v>0.63715277777777779</c:v>
                </c:pt>
                <c:pt idx="2">
                  <c:v>0.63715277777777779</c:v>
                </c:pt>
                <c:pt idx="3">
                  <c:v>0.63715277777777779</c:v>
                </c:pt>
                <c:pt idx="4">
                  <c:v>0.63715277777777779</c:v>
                </c:pt>
                <c:pt idx="5">
                  <c:v>0.63715277777777779</c:v>
                </c:pt>
                <c:pt idx="6">
                  <c:v>0.63715277777777779</c:v>
                </c:pt>
                <c:pt idx="7">
                  <c:v>0.63715277777777779</c:v>
                </c:pt>
                <c:pt idx="8">
                  <c:v>0.63715277777777779</c:v>
                </c:pt>
                <c:pt idx="9">
                  <c:v>0.63715277777777779</c:v>
                </c:pt>
                <c:pt idx="10">
                  <c:v>0.63715277777777779</c:v>
                </c:pt>
                <c:pt idx="11">
                  <c:v>0.63715277777777779</c:v>
                </c:pt>
                <c:pt idx="12">
                  <c:v>0.63715277777777779</c:v>
                </c:pt>
                <c:pt idx="13">
                  <c:v>0.63715277777777779</c:v>
                </c:pt>
                <c:pt idx="14">
                  <c:v>0.63715277777777779</c:v>
                </c:pt>
                <c:pt idx="15">
                  <c:v>0.63715277777777779</c:v>
                </c:pt>
                <c:pt idx="16">
                  <c:v>0.63715277777777779</c:v>
                </c:pt>
                <c:pt idx="17">
                  <c:v>0.63715277777777779</c:v>
                </c:pt>
                <c:pt idx="18">
                  <c:v>0.63715277777777779</c:v>
                </c:pt>
                <c:pt idx="19">
                  <c:v>0.63715277777777779</c:v>
                </c:pt>
                <c:pt idx="20">
                  <c:v>0.63715277777777779</c:v>
                </c:pt>
                <c:pt idx="21">
                  <c:v>0.63715277777777779</c:v>
                </c:pt>
                <c:pt idx="22">
                  <c:v>0.63715277777777779</c:v>
                </c:pt>
                <c:pt idx="23">
                  <c:v>0.63715277777777779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9-465E-BE0A-5141B12AB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'10'!$L$6:$L$29</c:f>
              <c:numCache>
                <c:formatCode>_(* #,##0_);_(* \(#,##0\);_(* "-"_);_(@_)</c:formatCode>
                <c:ptCount val="24"/>
                <c:pt idx="0">
                  <c:v>10670</c:v>
                </c:pt>
                <c:pt idx="1">
                  <c:v>1053</c:v>
                </c:pt>
                <c:pt idx="2">
                  <c:v>10350</c:v>
                </c:pt>
                <c:pt idx="3">
                  <c:v>5200</c:v>
                </c:pt>
                <c:pt idx="4">
                  <c:v>9568</c:v>
                </c:pt>
                <c:pt idx="5">
                  <c:v>7037</c:v>
                </c:pt>
                <c:pt idx="6">
                  <c:v>4613</c:v>
                </c:pt>
                <c:pt idx="7">
                  <c:v>19588</c:v>
                </c:pt>
                <c:pt idx="9">
                  <c:v>20812</c:v>
                </c:pt>
                <c:pt idx="10">
                  <c:v>7446</c:v>
                </c:pt>
                <c:pt idx="12">
                  <c:v>10528</c:v>
                </c:pt>
                <c:pt idx="13">
                  <c:v>10842</c:v>
                </c:pt>
                <c:pt idx="14">
                  <c:v>2159</c:v>
                </c:pt>
                <c:pt idx="15">
                  <c:v>62952</c:v>
                </c:pt>
                <c:pt idx="20">
                  <c:v>22144</c:v>
                </c:pt>
                <c:pt idx="21">
                  <c:v>25512</c:v>
                </c:pt>
                <c:pt idx="22">
                  <c:v>26652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E-4E74-A2C9-DD72E65F3108}"/>
            </c:ext>
          </c:extLst>
        </c:ser>
        <c:ser>
          <c:idx val="1"/>
          <c:order val="1"/>
          <c:tx>
            <c:v>계획</c:v>
          </c:tx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'10'!$J$6:$J$29</c:f>
              <c:numCache>
                <c:formatCode>_(* #,##0_);_(* \(#,##0\);_(* "-"_);_(@_)</c:formatCode>
                <c:ptCount val="24"/>
                <c:pt idx="0">
                  <c:v>10670</c:v>
                </c:pt>
                <c:pt idx="1">
                  <c:v>1053</c:v>
                </c:pt>
                <c:pt idx="2">
                  <c:v>10350</c:v>
                </c:pt>
                <c:pt idx="3">
                  <c:v>5200</c:v>
                </c:pt>
                <c:pt idx="4">
                  <c:v>9568</c:v>
                </c:pt>
                <c:pt idx="5">
                  <c:v>7037</c:v>
                </c:pt>
                <c:pt idx="6">
                  <c:v>4613</c:v>
                </c:pt>
                <c:pt idx="7">
                  <c:v>19588</c:v>
                </c:pt>
                <c:pt idx="8">
                  <c:v>631</c:v>
                </c:pt>
                <c:pt idx="9">
                  <c:v>20812</c:v>
                </c:pt>
                <c:pt idx="10">
                  <c:v>7446</c:v>
                </c:pt>
                <c:pt idx="11">
                  <c:v>12262</c:v>
                </c:pt>
                <c:pt idx="12">
                  <c:v>10528</c:v>
                </c:pt>
                <c:pt idx="13">
                  <c:v>10842</c:v>
                </c:pt>
                <c:pt idx="14">
                  <c:v>2159</c:v>
                </c:pt>
                <c:pt idx="15">
                  <c:v>62952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22144</c:v>
                </c:pt>
                <c:pt idx="21">
                  <c:v>25512</c:v>
                </c:pt>
                <c:pt idx="22">
                  <c:v>26652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E-4E74-A2C9-DD72E65F3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'10'!$AD$6:$AD$29</c:f>
              <c:strCache>
                <c:ptCount val="24"/>
                <c:pt idx="0">
                  <c:v>100%</c:v>
                </c:pt>
                <c:pt idx="1">
                  <c:v>25%</c:v>
                </c:pt>
                <c:pt idx="2">
                  <c:v>100%</c:v>
                </c:pt>
                <c:pt idx="3">
                  <c:v>100%</c:v>
                </c:pt>
                <c:pt idx="4">
                  <c:v>88%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'10'!$AD$6:$AD$29</c:f>
              <c:numCache>
                <c:formatCode>0%</c:formatCode>
                <c:ptCount val="24"/>
                <c:pt idx="0">
                  <c:v>1</c:v>
                </c:pt>
                <c:pt idx="1">
                  <c:v>0.25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E-402C-81F9-E4B2462804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3E-402C-81F9-E4B2462804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4">
                  <c:v>COVER</c:v>
                </c:pt>
                <c:pt idx="5">
                  <c:v>SEPARATOR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LED A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'10'!$AE$6:$AE$29</c:f>
              <c:numCache>
                <c:formatCode>0%</c:formatCode>
                <c:ptCount val="24"/>
                <c:pt idx="0">
                  <c:v>0.63715277777777779</c:v>
                </c:pt>
                <c:pt idx="1">
                  <c:v>0.63715277777777779</c:v>
                </c:pt>
                <c:pt idx="2">
                  <c:v>0.63715277777777779</c:v>
                </c:pt>
                <c:pt idx="3">
                  <c:v>0.63715277777777779</c:v>
                </c:pt>
                <c:pt idx="4">
                  <c:v>0.63715277777777779</c:v>
                </c:pt>
                <c:pt idx="5">
                  <c:v>0.63715277777777779</c:v>
                </c:pt>
                <c:pt idx="6">
                  <c:v>0.63715277777777779</c:v>
                </c:pt>
                <c:pt idx="7">
                  <c:v>0.63715277777777779</c:v>
                </c:pt>
                <c:pt idx="8">
                  <c:v>0.63715277777777779</c:v>
                </c:pt>
                <c:pt idx="9">
                  <c:v>0.63715277777777779</c:v>
                </c:pt>
                <c:pt idx="10">
                  <c:v>0.63715277777777779</c:v>
                </c:pt>
                <c:pt idx="11">
                  <c:v>0.63715277777777779</c:v>
                </c:pt>
                <c:pt idx="12">
                  <c:v>0.63715277777777779</c:v>
                </c:pt>
                <c:pt idx="13">
                  <c:v>0.63715277777777779</c:v>
                </c:pt>
                <c:pt idx="14">
                  <c:v>0.63715277777777779</c:v>
                </c:pt>
                <c:pt idx="15">
                  <c:v>0.63715277777777779</c:v>
                </c:pt>
                <c:pt idx="16">
                  <c:v>0.63715277777777779</c:v>
                </c:pt>
                <c:pt idx="17">
                  <c:v>0.63715277777777779</c:v>
                </c:pt>
                <c:pt idx="18">
                  <c:v>0.63715277777777779</c:v>
                </c:pt>
                <c:pt idx="19">
                  <c:v>0.63715277777777779</c:v>
                </c:pt>
                <c:pt idx="20">
                  <c:v>0.63715277777777779</c:v>
                </c:pt>
                <c:pt idx="21">
                  <c:v>0.63715277777777779</c:v>
                </c:pt>
                <c:pt idx="22">
                  <c:v>0.63715277777777779</c:v>
                </c:pt>
                <c:pt idx="23">
                  <c:v>0.63715277777777779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3E-402C-81F9-E4B24628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FDF-4BFE-AC53-3F8197D8B9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F-4BFE-AC53-3F8197D8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FDF-4BFE-AC53-3F8197D8B9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F-4BFE-AC53-3F8197D8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'13'!$L$6:$L$29</c:f>
              <c:numCache>
                <c:formatCode>_(* #,##0_);_(* \(#,##0\);_(* "-"_);_(@_)</c:formatCode>
                <c:ptCount val="24"/>
                <c:pt idx="0">
                  <c:v>10340</c:v>
                </c:pt>
                <c:pt idx="2">
                  <c:v>9202</c:v>
                </c:pt>
                <c:pt idx="3">
                  <c:v>4502</c:v>
                </c:pt>
                <c:pt idx="4">
                  <c:v>10464</c:v>
                </c:pt>
                <c:pt idx="5">
                  <c:v>355</c:v>
                </c:pt>
                <c:pt idx="6">
                  <c:v>4574</c:v>
                </c:pt>
                <c:pt idx="7">
                  <c:v>16652</c:v>
                </c:pt>
                <c:pt idx="9">
                  <c:v>10468</c:v>
                </c:pt>
                <c:pt idx="10">
                  <c:v>10628</c:v>
                </c:pt>
                <c:pt idx="12">
                  <c:v>9522</c:v>
                </c:pt>
                <c:pt idx="13">
                  <c:v>7716</c:v>
                </c:pt>
                <c:pt idx="14">
                  <c:v>4068</c:v>
                </c:pt>
                <c:pt idx="15">
                  <c:v>56316</c:v>
                </c:pt>
                <c:pt idx="21">
                  <c:v>23844</c:v>
                </c:pt>
                <c:pt idx="22">
                  <c:v>25912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3-41DD-81F9-DAD8368FE9F3}"/>
            </c:ext>
          </c:extLst>
        </c:ser>
        <c:ser>
          <c:idx val="1"/>
          <c:order val="1"/>
          <c:tx>
            <c:v>계획</c:v>
          </c:tx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'13'!$J$6:$J$29</c:f>
              <c:numCache>
                <c:formatCode>_(* #,##0_);_(* \(#,##0\);_(* "-"_);_(@_)</c:formatCode>
                <c:ptCount val="24"/>
                <c:pt idx="0">
                  <c:v>10340</c:v>
                </c:pt>
                <c:pt idx="1">
                  <c:v>1053</c:v>
                </c:pt>
                <c:pt idx="2">
                  <c:v>9202</c:v>
                </c:pt>
                <c:pt idx="3">
                  <c:v>4502</c:v>
                </c:pt>
                <c:pt idx="4">
                  <c:v>10464</c:v>
                </c:pt>
                <c:pt idx="5">
                  <c:v>355</c:v>
                </c:pt>
                <c:pt idx="6">
                  <c:v>4574</c:v>
                </c:pt>
                <c:pt idx="7">
                  <c:v>16652</c:v>
                </c:pt>
                <c:pt idx="8">
                  <c:v>631</c:v>
                </c:pt>
                <c:pt idx="9">
                  <c:v>10468</c:v>
                </c:pt>
                <c:pt idx="10">
                  <c:v>10628</c:v>
                </c:pt>
                <c:pt idx="11">
                  <c:v>12262</c:v>
                </c:pt>
                <c:pt idx="12">
                  <c:v>9522</c:v>
                </c:pt>
                <c:pt idx="13">
                  <c:v>7716</c:v>
                </c:pt>
                <c:pt idx="14">
                  <c:v>4068</c:v>
                </c:pt>
                <c:pt idx="15">
                  <c:v>56316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22144</c:v>
                </c:pt>
                <c:pt idx="21">
                  <c:v>23844</c:v>
                </c:pt>
                <c:pt idx="22">
                  <c:v>25912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3-41DD-81F9-DAD8368FE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17%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96%</c:v>
                </c:pt>
                <c:pt idx="10">
                  <c:v>100%</c:v>
                </c:pt>
                <c:pt idx="11">
                  <c:v>0%</c:v>
                </c:pt>
                <c:pt idx="12">
                  <c:v>88%</c:v>
                </c:pt>
                <c:pt idx="13">
                  <c:v>75%</c:v>
                </c:pt>
                <c:pt idx="14">
                  <c:v>88%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0.16666666666666666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0.95833333333333337</c:v>
                </c:pt>
                <c:pt idx="10">
                  <c:v>1</c:v>
                </c:pt>
                <c:pt idx="11">
                  <c:v>0</c:v>
                </c:pt>
                <c:pt idx="12">
                  <c:v>0.875</c:v>
                </c:pt>
                <c:pt idx="13">
                  <c:v>0.75</c:v>
                </c:pt>
                <c:pt idx="14">
                  <c:v>0.875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9-423B-B8C9-70B6809D24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E9-423B-B8C9-70B6809D24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'13'!$AE$6:$AE$29</c:f>
              <c:numCache>
                <c:formatCode>0%</c:formatCode>
                <c:ptCount val="24"/>
                <c:pt idx="0">
                  <c:v>0.55555555555555547</c:v>
                </c:pt>
                <c:pt idx="1">
                  <c:v>0.55555555555555547</c:v>
                </c:pt>
                <c:pt idx="2">
                  <c:v>0.55555555555555547</c:v>
                </c:pt>
                <c:pt idx="3">
                  <c:v>0.55555555555555547</c:v>
                </c:pt>
                <c:pt idx="4">
                  <c:v>0.55555555555555547</c:v>
                </c:pt>
                <c:pt idx="5">
                  <c:v>0.55555555555555547</c:v>
                </c:pt>
                <c:pt idx="6">
                  <c:v>0.55555555555555547</c:v>
                </c:pt>
                <c:pt idx="7">
                  <c:v>0.55555555555555547</c:v>
                </c:pt>
                <c:pt idx="8">
                  <c:v>0.55555555555555547</c:v>
                </c:pt>
                <c:pt idx="9">
                  <c:v>0.55555555555555547</c:v>
                </c:pt>
                <c:pt idx="10">
                  <c:v>0.55555555555555547</c:v>
                </c:pt>
                <c:pt idx="11">
                  <c:v>0.55555555555555547</c:v>
                </c:pt>
                <c:pt idx="12">
                  <c:v>0.55555555555555547</c:v>
                </c:pt>
                <c:pt idx="13">
                  <c:v>0.55555555555555547</c:v>
                </c:pt>
                <c:pt idx="14">
                  <c:v>0.55555555555555547</c:v>
                </c:pt>
                <c:pt idx="15">
                  <c:v>0.55555555555555547</c:v>
                </c:pt>
                <c:pt idx="16">
                  <c:v>0.55555555555555547</c:v>
                </c:pt>
                <c:pt idx="17">
                  <c:v>0.55555555555555547</c:v>
                </c:pt>
                <c:pt idx="18">
                  <c:v>0.55555555555555547</c:v>
                </c:pt>
                <c:pt idx="19">
                  <c:v>0.55555555555555547</c:v>
                </c:pt>
                <c:pt idx="20">
                  <c:v>0.55555555555555547</c:v>
                </c:pt>
                <c:pt idx="21">
                  <c:v>0.55555555555555547</c:v>
                </c:pt>
                <c:pt idx="22">
                  <c:v>0.55555555555555547</c:v>
                </c:pt>
                <c:pt idx="23">
                  <c:v>0.55555555555555547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9-423B-B8C9-70B6809D2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'13'!$L$6:$L$29</c:f>
              <c:numCache>
                <c:formatCode>_(* #,##0_);_(* \(#,##0\);_(* "-"_);_(@_)</c:formatCode>
                <c:ptCount val="24"/>
                <c:pt idx="0">
                  <c:v>10340</c:v>
                </c:pt>
                <c:pt idx="2">
                  <c:v>9202</c:v>
                </c:pt>
                <c:pt idx="3">
                  <c:v>4502</c:v>
                </c:pt>
                <c:pt idx="4">
                  <c:v>10464</c:v>
                </c:pt>
                <c:pt idx="5">
                  <c:v>355</c:v>
                </c:pt>
                <c:pt idx="6">
                  <c:v>4574</c:v>
                </c:pt>
                <c:pt idx="7">
                  <c:v>16652</c:v>
                </c:pt>
                <c:pt idx="9">
                  <c:v>10468</c:v>
                </c:pt>
                <c:pt idx="10">
                  <c:v>10628</c:v>
                </c:pt>
                <c:pt idx="12">
                  <c:v>9522</c:v>
                </c:pt>
                <c:pt idx="13">
                  <c:v>7716</c:v>
                </c:pt>
                <c:pt idx="14">
                  <c:v>4068</c:v>
                </c:pt>
                <c:pt idx="15">
                  <c:v>56316</c:v>
                </c:pt>
                <c:pt idx="21">
                  <c:v>23844</c:v>
                </c:pt>
                <c:pt idx="22">
                  <c:v>25912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D-4A48-A5F2-E18FD2311000}"/>
            </c:ext>
          </c:extLst>
        </c:ser>
        <c:ser>
          <c:idx val="1"/>
          <c:order val="1"/>
          <c:tx>
            <c:v>계획</c:v>
          </c:tx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'13'!$J$6:$J$29</c:f>
              <c:numCache>
                <c:formatCode>_(* #,##0_);_(* \(#,##0\);_(* "-"_);_(@_)</c:formatCode>
                <c:ptCount val="24"/>
                <c:pt idx="0">
                  <c:v>10340</c:v>
                </c:pt>
                <c:pt idx="1">
                  <c:v>1053</c:v>
                </c:pt>
                <c:pt idx="2">
                  <c:v>9202</c:v>
                </c:pt>
                <c:pt idx="3">
                  <c:v>4502</c:v>
                </c:pt>
                <c:pt idx="4">
                  <c:v>10464</c:v>
                </c:pt>
                <c:pt idx="5">
                  <c:v>355</c:v>
                </c:pt>
                <c:pt idx="6">
                  <c:v>4574</c:v>
                </c:pt>
                <c:pt idx="7">
                  <c:v>16652</c:v>
                </c:pt>
                <c:pt idx="8">
                  <c:v>631</c:v>
                </c:pt>
                <c:pt idx="9">
                  <c:v>10468</c:v>
                </c:pt>
                <c:pt idx="10">
                  <c:v>10628</c:v>
                </c:pt>
                <c:pt idx="11">
                  <c:v>12262</c:v>
                </c:pt>
                <c:pt idx="12">
                  <c:v>9522</c:v>
                </c:pt>
                <c:pt idx="13">
                  <c:v>7716</c:v>
                </c:pt>
                <c:pt idx="14">
                  <c:v>4068</c:v>
                </c:pt>
                <c:pt idx="15">
                  <c:v>56316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22144</c:v>
                </c:pt>
                <c:pt idx="21">
                  <c:v>23844</c:v>
                </c:pt>
                <c:pt idx="22">
                  <c:v>25912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0D-4A48-A5F2-E18FD2311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17%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96%</c:v>
                </c:pt>
                <c:pt idx="10">
                  <c:v>100%</c:v>
                </c:pt>
                <c:pt idx="11">
                  <c:v>0%</c:v>
                </c:pt>
                <c:pt idx="12">
                  <c:v>88%</c:v>
                </c:pt>
                <c:pt idx="13">
                  <c:v>75%</c:v>
                </c:pt>
                <c:pt idx="14">
                  <c:v>88%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0.16666666666666666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0.95833333333333337</c:v>
                </c:pt>
                <c:pt idx="10">
                  <c:v>1</c:v>
                </c:pt>
                <c:pt idx="11">
                  <c:v>0</c:v>
                </c:pt>
                <c:pt idx="12">
                  <c:v>0.875</c:v>
                </c:pt>
                <c:pt idx="13">
                  <c:v>0.75</c:v>
                </c:pt>
                <c:pt idx="14">
                  <c:v>0.875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2-475F-B784-DC89E20D41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A2-475F-B784-DC89E20D41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'13'!$AE$6:$AE$29</c:f>
              <c:numCache>
                <c:formatCode>0%</c:formatCode>
                <c:ptCount val="24"/>
                <c:pt idx="0">
                  <c:v>0.55555555555555547</c:v>
                </c:pt>
                <c:pt idx="1">
                  <c:v>0.55555555555555547</c:v>
                </c:pt>
                <c:pt idx="2">
                  <c:v>0.55555555555555547</c:v>
                </c:pt>
                <c:pt idx="3">
                  <c:v>0.55555555555555547</c:v>
                </c:pt>
                <c:pt idx="4">
                  <c:v>0.55555555555555547</c:v>
                </c:pt>
                <c:pt idx="5">
                  <c:v>0.55555555555555547</c:v>
                </c:pt>
                <c:pt idx="6">
                  <c:v>0.55555555555555547</c:v>
                </c:pt>
                <c:pt idx="7">
                  <c:v>0.55555555555555547</c:v>
                </c:pt>
                <c:pt idx="8">
                  <c:v>0.55555555555555547</c:v>
                </c:pt>
                <c:pt idx="9">
                  <c:v>0.55555555555555547</c:v>
                </c:pt>
                <c:pt idx="10">
                  <c:v>0.55555555555555547</c:v>
                </c:pt>
                <c:pt idx="11">
                  <c:v>0.55555555555555547</c:v>
                </c:pt>
                <c:pt idx="12">
                  <c:v>0.55555555555555547</c:v>
                </c:pt>
                <c:pt idx="13">
                  <c:v>0.55555555555555547</c:v>
                </c:pt>
                <c:pt idx="14">
                  <c:v>0.55555555555555547</c:v>
                </c:pt>
                <c:pt idx="15">
                  <c:v>0.55555555555555547</c:v>
                </c:pt>
                <c:pt idx="16">
                  <c:v>0.55555555555555547</c:v>
                </c:pt>
                <c:pt idx="17">
                  <c:v>0.55555555555555547</c:v>
                </c:pt>
                <c:pt idx="18">
                  <c:v>0.55555555555555547</c:v>
                </c:pt>
                <c:pt idx="19">
                  <c:v>0.55555555555555547</c:v>
                </c:pt>
                <c:pt idx="20">
                  <c:v>0.55555555555555547</c:v>
                </c:pt>
                <c:pt idx="21">
                  <c:v>0.55555555555555547</c:v>
                </c:pt>
                <c:pt idx="22">
                  <c:v>0.55555555555555547</c:v>
                </c:pt>
                <c:pt idx="23">
                  <c:v>0.55555555555555547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A2-475F-B784-DC89E20D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652-4C48-B2BC-F7C7957640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2-4C48-B2BC-F7C795764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652-4C48-B2BC-F7C795764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52-4C48-B2BC-F7C795764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'14'!$L$6:$L$29</c:f>
              <c:numCache>
                <c:formatCode>_(* #,##0_);_(* \(#,##0\);_(* "-"_);_(@_)</c:formatCode>
                <c:ptCount val="24"/>
                <c:pt idx="0">
                  <c:v>11054</c:v>
                </c:pt>
                <c:pt idx="2">
                  <c:v>10794</c:v>
                </c:pt>
                <c:pt idx="3">
                  <c:v>2420</c:v>
                </c:pt>
                <c:pt idx="4">
                  <c:v>11332</c:v>
                </c:pt>
                <c:pt idx="6">
                  <c:v>4649</c:v>
                </c:pt>
                <c:pt idx="7">
                  <c:v>23272</c:v>
                </c:pt>
                <c:pt idx="9">
                  <c:v>11782</c:v>
                </c:pt>
                <c:pt idx="10">
                  <c:v>11352</c:v>
                </c:pt>
                <c:pt idx="12">
                  <c:v>10822</c:v>
                </c:pt>
                <c:pt idx="13">
                  <c:v>11382</c:v>
                </c:pt>
                <c:pt idx="14">
                  <c:v>686</c:v>
                </c:pt>
                <c:pt idx="15">
                  <c:v>64508</c:v>
                </c:pt>
                <c:pt idx="20">
                  <c:v>18434</c:v>
                </c:pt>
                <c:pt idx="21">
                  <c:v>27296</c:v>
                </c:pt>
                <c:pt idx="22">
                  <c:v>29256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B-43A9-934D-9445A7297BC5}"/>
            </c:ext>
          </c:extLst>
        </c:ser>
        <c:ser>
          <c:idx val="1"/>
          <c:order val="1"/>
          <c:tx>
            <c:v>계획</c:v>
          </c:tx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'14'!$J$6:$J$29</c:f>
              <c:numCache>
                <c:formatCode>_(* #,##0_);_(* \(#,##0\);_(* "-"_);_(@_)</c:formatCode>
                <c:ptCount val="24"/>
                <c:pt idx="0">
                  <c:v>11054</c:v>
                </c:pt>
                <c:pt idx="1">
                  <c:v>1053</c:v>
                </c:pt>
                <c:pt idx="2">
                  <c:v>10794</c:v>
                </c:pt>
                <c:pt idx="3">
                  <c:v>2420</c:v>
                </c:pt>
                <c:pt idx="4">
                  <c:v>11332</c:v>
                </c:pt>
                <c:pt idx="5">
                  <c:v>355</c:v>
                </c:pt>
                <c:pt idx="6">
                  <c:v>4649</c:v>
                </c:pt>
                <c:pt idx="7">
                  <c:v>23272</c:v>
                </c:pt>
                <c:pt idx="8">
                  <c:v>631</c:v>
                </c:pt>
                <c:pt idx="9">
                  <c:v>11782</c:v>
                </c:pt>
                <c:pt idx="10">
                  <c:v>11352</c:v>
                </c:pt>
                <c:pt idx="11">
                  <c:v>12262</c:v>
                </c:pt>
                <c:pt idx="12">
                  <c:v>10822</c:v>
                </c:pt>
                <c:pt idx="13">
                  <c:v>11382</c:v>
                </c:pt>
                <c:pt idx="14">
                  <c:v>686</c:v>
                </c:pt>
                <c:pt idx="15">
                  <c:v>64508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18434</c:v>
                </c:pt>
                <c:pt idx="21">
                  <c:v>27296</c:v>
                </c:pt>
                <c:pt idx="22">
                  <c:v>29256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8B-43A9-934D-9445A7297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17%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88%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0.16666666666666666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0.875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4-4437-8EB1-1D172D77A14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44-4437-8EB1-1D172D77A1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'14'!$AE$6:$AE$29</c:f>
              <c:numCache>
                <c:formatCode>0%</c:formatCode>
                <c:ptCount val="24"/>
                <c:pt idx="0">
                  <c:v>0.56423611111111105</c:v>
                </c:pt>
                <c:pt idx="1">
                  <c:v>0.56423611111111105</c:v>
                </c:pt>
                <c:pt idx="2">
                  <c:v>0.56423611111111105</c:v>
                </c:pt>
                <c:pt idx="3">
                  <c:v>0.56423611111111105</c:v>
                </c:pt>
                <c:pt idx="4">
                  <c:v>0.56423611111111105</c:v>
                </c:pt>
                <c:pt idx="5">
                  <c:v>0.56423611111111105</c:v>
                </c:pt>
                <c:pt idx="6">
                  <c:v>0.56423611111111105</c:v>
                </c:pt>
                <c:pt idx="7">
                  <c:v>0.56423611111111105</c:v>
                </c:pt>
                <c:pt idx="8">
                  <c:v>0.56423611111111105</c:v>
                </c:pt>
                <c:pt idx="9">
                  <c:v>0.56423611111111105</c:v>
                </c:pt>
                <c:pt idx="10">
                  <c:v>0.56423611111111105</c:v>
                </c:pt>
                <c:pt idx="11">
                  <c:v>0.56423611111111105</c:v>
                </c:pt>
                <c:pt idx="12">
                  <c:v>0.56423611111111105</c:v>
                </c:pt>
                <c:pt idx="13">
                  <c:v>0.56423611111111105</c:v>
                </c:pt>
                <c:pt idx="14">
                  <c:v>0.56423611111111105</c:v>
                </c:pt>
                <c:pt idx="15">
                  <c:v>0.56423611111111105</c:v>
                </c:pt>
                <c:pt idx="16">
                  <c:v>0.56423611111111105</c:v>
                </c:pt>
                <c:pt idx="17">
                  <c:v>0.56423611111111105</c:v>
                </c:pt>
                <c:pt idx="18">
                  <c:v>0.56423611111111105</c:v>
                </c:pt>
                <c:pt idx="19">
                  <c:v>0.56423611111111105</c:v>
                </c:pt>
                <c:pt idx="20">
                  <c:v>0.56423611111111105</c:v>
                </c:pt>
                <c:pt idx="21">
                  <c:v>0.56423611111111105</c:v>
                </c:pt>
                <c:pt idx="22">
                  <c:v>0.56423611111111105</c:v>
                </c:pt>
                <c:pt idx="23">
                  <c:v>0.56423611111111105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44-4437-8EB1-1D172D77A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'14'!$L$6:$L$29</c:f>
              <c:numCache>
                <c:formatCode>_(* #,##0_);_(* \(#,##0\);_(* "-"_);_(@_)</c:formatCode>
                <c:ptCount val="24"/>
                <c:pt idx="0">
                  <c:v>11054</c:v>
                </c:pt>
                <c:pt idx="2">
                  <c:v>10794</c:v>
                </c:pt>
                <c:pt idx="3">
                  <c:v>2420</c:v>
                </c:pt>
                <c:pt idx="4">
                  <c:v>11332</c:v>
                </c:pt>
                <c:pt idx="6">
                  <c:v>4649</c:v>
                </c:pt>
                <c:pt idx="7">
                  <c:v>23272</c:v>
                </c:pt>
                <c:pt idx="9">
                  <c:v>11782</c:v>
                </c:pt>
                <c:pt idx="10">
                  <c:v>11352</c:v>
                </c:pt>
                <c:pt idx="12">
                  <c:v>10822</c:v>
                </c:pt>
                <c:pt idx="13">
                  <c:v>11382</c:v>
                </c:pt>
                <c:pt idx="14">
                  <c:v>686</c:v>
                </c:pt>
                <c:pt idx="15">
                  <c:v>64508</c:v>
                </c:pt>
                <c:pt idx="20">
                  <c:v>18434</c:v>
                </c:pt>
                <c:pt idx="21">
                  <c:v>27296</c:v>
                </c:pt>
                <c:pt idx="22">
                  <c:v>29256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B-498F-BCAE-8E1831414B7E}"/>
            </c:ext>
          </c:extLst>
        </c:ser>
        <c:ser>
          <c:idx val="1"/>
          <c:order val="1"/>
          <c:tx>
            <c:v>계획</c:v>
          </c:tx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'14'!$J$6:$J$29</c:f>
              <c:numCache>
                <c:formatCode>_(* #,##0_);_(* \(#,##0\);_(* "-"_);_(@_)</c:formatCode>
                <c:ptCount val="24"/>
                <c:pt idx="0">
                  <c:v>11054</c:v>
                </c:pt>
                <c:pt idx="1">
                  <c:v>1053</c:v>
                </c:pt>
                <c:pt idx="2">
                  <c:v>10794</c:v>
                </c:pt>
                <c:pt idx="3">
                  <c:v>2420</c:v>
                </c:pt>
                <c:pt idx="4">
                  <c:v>11332</c:v>
                </c:pt>
                <c:pt idx="5">
                  <c:v>355</c:v>
                </c:pt>
                <c:pt idx="6">
                  <c:v>4649</c:v>
                </c:pt>
                <c:pt idx="7">
                  <c:v>23272</c:v>
                </c:pt>
                <c:pt idx="8">
                  <c:v>631</c:v>
                </c:pt>
                <c:pt idx="9">
                  <c:v>11782</c:v>
                </c:pt>
                <c:pt idx="10">
                  <c:v>11352</c:v>
                </c:pt>
                <c:pt idx="11">
                  <c:v>12262</c:v>
                </c:pt>
                <c:pt idx="12">
                  <c:v>10822</c:v>
                </c:pt>
                <c:pt idx="13">
                  <c:v>11382</c:v>
                </c:pt>
                <c:pt idx="14">
                  <c:v>686</c:v>
                </c:pt>
                <c:pt idx="15">
                  <c:v>64508</c:v>
                </c:pt>
                <c:pt idx="16">
                  <c:v>0</c:v>
                </c:pt>
                <c:pt idx="17">
                  <c:v>24024</c:v>
                </c:pt>
                <c:pt idx="18">
                  <c:v>22300</c:v>
                </c:pt>
                <c:pt idx="19">
                  <c:v>189476</c:v>
                </c:pt>
                <c:pt idx="20">
                  <c:v>18434</c:v>
                </c:pt>
                <c:pt idx="21">
                  <c:v>27296</c:v>
                </c:pt>
                <c:pt idx="22">
                  <c:v>29256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498F-BCAE-8E1831414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17%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88%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0.16666666666666666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0.875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E-482E-B8DA-24738C503D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8E-482E-B8DA-24738C503D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'14'!$AE$6:$AE$29</c:f>
              <c:numCache>
                <c:formatCode>0%</c:formatCode>
                <c:ptCount val="24"/>
                <c:pt idx="0">
                  <c:v>0.56423611111111105</c:v>
                </c:pt>
                <c:pt idx="1">
                  <c:v>0.56423611111111105</c:v>
                </c:pt>
                <c:pt idx="2">
                  <c:v>0.56423611111111105</c:v>
                </c:pt>
                <c:pt idx="3">
                  <c:v>0.56423611111111105</c:v>
                </c:pt>
                <c:pt idx="4">
                  <c:v>0.56423611111111105</c:v>
                </c:pt>
                <c:pt idx="5">
                  <c:v>0.56423611111111105</c:v>
                </c:pt>
                <c:pt idx="6">
                  <c:v>0.56423611111111105</c:v>
                </c:pt>
                <c:pt idx="7">
                  <c:v>0.56423611111111105</c:v>
                </c:pt>
                <c:pt idx="8">
                  <c:v>0.56423611111111105</c:v>
                </c:pt>
                <c:pt idx="9">
                  <c:v>0.56423611111111105</c:v>
                </c:pt>
                <c:pt idx="10">
                  <c:v>0.56423611111111105</c:v>
                </c:pt>
                <c:pt idx="11">
                  <c:v>0.56423611111111105</c:v>
                </c:pt>
                <c:pt idx="12">
                  <c:v>0.56423611111111105</c:v>
                </c:pt>
                <c:pt idx="13">
                  <c:v>0.56423611111111105</c:v>
                </c:pt>
                <c:pt idx="14">
                  <c:v>0.56423611111111105</c:v>
                </c:pt>
                <c:pt idx="15">
                  <c:v>0.56423611111111105</c:v>
                </c:pt>
                <c:pt idx="16">
                  <c:v>0.56423611111111105</c:v>
                </c:pt>
                <c:pt idx="17">
                  <c:v>0.56423611111111105</c:v>
                </c:pt>
                <c:pt idx="18">
                  <c:v>0.56423611111111105</c:v>
                </c:pt>
                <c:pt idx="19">
                  <c:v>0.56423611111111105</c:v>
                </c:pt>
                <c:pt idx="20">
                  <c:v>0.56423611111111105</c:v>
                </c:pt>
                <c:pt idx="21">
                  <c:v>0.56423611111111105</c:v>
                </c:pt>
                <c:pt idx="22">
                  <c:v>0.56423611111111105</c:v>
                </c:pt>
                <c:pt idx="23">
                  <c:v>0.56423611111111105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8E-482E-B8DA-24738C503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B46-453C-A613-EFAA95DE3D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6-453C-A613-EFAA95DE3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B46-453C-A613-EFAA95DE3D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46-453C-A613-EFAA95DE3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'15'!$L$6:$L$29</c:f>
              <c:numCache>
                <c:formatCode>_(* #,##0_);_(* \(#,##0\);_(* "-"_);_(@_)</c:formatCode>
                <c:ptCount val="24"/>
                <c:pt idx="0">
                  <c:v>11138</c:v>
                </c:pt>
                <c:pt idx="2">
                  <c:v>10918</c:v>
                </c:pt>
                <c:pt idx="3">
                  <c:v>3622</c:v>
                </c:pt>
                <c:pt idx="4">
                  <c:v>11472</c:v>
                </c:pt>
                <c:pt idx="6">
                  <c:v>9010</c:v>
                </c:pt>
                <c:pt idx="7">
                  <c:v>22808</c:v>
                </c:pt>
                <c:pt idx="9">
                  <c:v>12060</c:v>
                </c:pt>
                <c:pt idx="10">
                  <c:v>8892</c:v>
                </c:pt>
                <c:pt idx="12">
                  <c:v>10878</c:v>
                </c:pt>
                <c:pt idx="13">
                  <c:v>11408</c:v>
                </c:pt>
                <c:pt idx="14">
                  <c:v>4570</c:v>
                </c:pt>
                <c:pt idx="15">
                  <c:v>25968</c:v>
                </c:pt>
                <c:pt idx="18">
                  <c:v>1872</c:v>
                </c:pt>
                <c:pt idx="20">
                  <c:v>21892</c:v>
                </c:pt>
                <c:pt idx="21">
                  <c:v>27604</c:v>
                </c:pt>
                <c:pt idx="22">
                  <c:v>29552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8-44A0-9F04-9B544A5E49D8}"/>
            </c:ext>
          </c:extLst>
        </c:ser>
        <c:ser>
          <c:idx val="1"/>
          <c:order val="1"/>
          <c:tx>
            <c:v>계획</c:v>
          </c:tx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'15'!$J$6:$J$29</c:f>
              <c:numCache>
                <c:formatCode>_(* #,##0_);_(* \(#,##0\);_(* "-"_);_(@_)</c:formatCode>
                <c:ptCount val="24"/>
                <c:pt idx="0">
                  <c:v>11138</c:v>
                </c:pt>
                <c:pt idx="1">
                  <c:v>1053</c:v>
                </c:pt>
                <c:pt idx="2">
                  <c:v>10918</c:v>
                </c:pt>
                <c:pt idx="3">
                  <c:v>3622</c:v>
                </c:pt>
                <c:pt idx="4">
                  <c:v>11472</c:v>
                </c:pt>
                <c:pt idx="5">
                  <c:v>355</c:v>
                </c:pt>
                <c:pt idx="6">
                  <c:v>9010</c:v>
                </c:pt>
                <c:pt idx="7">
                  <c:v>22808</c:v>
                </c:pt>
                <c:pt idx="8">
                  <c:v>631</c:v>
                </c:pt>
                <c:pt idx="9">
                  <c:v>12060</c:v>
                </c:pt>
                <c:pt idx="10">
                  <c:v>8892</c:v>
                </c:pt>
                <c:pt idx="11">
                  <c:v>12262</c:v>
                </c:pt>
                <c:pt idx="12">
                  <c:v>10878</c:v>
                </c:pt>
                <c:pt idx="13">
                  <c:v>11408</c:v>
                </c:pt>
                <c:pt idx="14">
                  <c:v>4570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21892</c:v>
                </c:pt>
                <c:pt idx="21">
                  <c:v>27604</c:v>
                </c:pt>
                <c:pt idx="22">
                  <c:v>29552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8-44A0-9F04-9B544A5E4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92%</c:v>
                </c:pt>
                <c:pt idx="15">
                  <c:v>50%</c:v>
                </c:pt>
                <c:pt idx="16">
                  <c:v>0%</c:v>
                </c:pt>
                <c:pt idx="17">
                  <c:v>0%</c:v>
                </c:pt>
                <c:pt idx="18">
                  <c:v>13%</c:v>
                </c:pt>
                <c:pt idx="19">
                  <c:v>0%</c:v>
                </c:pt>
                <c:pt idx="20">
                  <c:v>92%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0.91666666666666663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0.125</c:v>
                </c:pt>
                <c:pt idx="19">
                  <c:v>0</c:v>
                </c:pt>
                <c:pt idx="20">
                  <c:v>0.91666666666666663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E-4D16-AC01-DABE859CF0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1E-4D16-AC01-DABE859CF0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'15'!$AE$6:$AE$29</c:f>
              <c:numCache>
                <c:formatCode>0%</c:formatCode>
                <c:ptCount val="24"/>
                <c:pt idx="0">
                  <c:v>0.578125</c:v>
                </c:pt>
                <c:pt idx="1">
                  <c:v>0.578125</c:v>
                </c:pt>
                <c:pt idx="2">
                  <c:v>0.578125</c:v>
                </c:pt>
                <c:pt idx="3">
                  <c:v>0.578125</c:v>
                </c:pt>
                <c:pt idx="4">
                  <c:v>0.578125</c:v>
                </c:pt>
                <c:pt idx="5">
                  <c:v>0.578125</c:v>
                </c:pt>
                <c:pt idx="6">
                  <c:v>0.578125</c:v>
                </c:pt>
                <c:pt idx="7">
                  <c:v>0.578125</c:v>
                </c:pt>
                <c:pt idx="8">
                  <c:v>0.578125</c:v>
                </c:pt>
                <c:pt idx="9">
                  <c:v>0.578125</c:v>
                </c:pt>
                <c:pt idx="10">
                  <c:v>0.578125</c:v>
                </c:pt>
                <c:pt idx="11">
                  <c:v>0.578125</c:v>
                </c:pt>
                <c:pt idx="12">
                  <c:v>0.578125</c:v>
                </c:pt>
                <c:pt idx="13">
                  <c:v>0.578125</c:v>
                </c:pt>
                <c:pt idx="14">
                  <c:v>0.578125</c:v>
                </c:pt>
                <c:pt idx="15">
                  <c:v>0.578125</c:v>
                </c:pt>
                <c:pt idx="16">
                  <c:v>0.578125</c:v>
                </c:pt>
                <c:pt idx="17">
                  <c:v>0.578125</c:v>
                </c:pt>
                <c:pt idx="18">
                  <c:v>0.578125</c:v>
                </c:pt>
                <c:pt idx="19">
                  <c:v>0.578125</c:v>
                </c:pt>
                <c:pt idx="20">
                  <c:v>0.578125</c:v>
                </c:pt>
                <c:pt idx="21">
                  <c:v>0.578125</c:v>
                </c:pt>
                <c:pt idx="22">
                  <c:v>0.578125</c:v>
                </c:pt>
                <c:pt idx="23">
                  <c:v>0.578125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1E-4D16-AC01-DABE859CF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'15'!$L$6:$L$29</c:f>
              <c:numCache>
                <c:formatCode>_(* #,##0_);_(* \(#,##0\);_(* "-"_);_(@_)</c:formatCode>
                <c:ptCount val="24"/>
                <c:pt idx="0">
                  <c:v>11138</c:v>
                </c:pt>
                <c:pt idx="2">
                  <c:v>10918</c:v>
                </c:pt>
                <c:pt idx="3">
                  <c:v>3622</c:v>
                </c:pt>
                <c:pt idx="4">
                  <c:v>11472</c:v>
                </c:pt>
                <c:pt idx="6">
                  <c:v>9010</c:v>
                </c:pt>
                <c:pt idx="7">
                  <c:v>22808</c:v>
                </c:pt>
                <c:pt idx="9">
                  <c:v>12060</c:v>
                </c:pt>
                <c:pt idx="10">
                  <c:v>8892</c:v>
                </c:pt>
                <c:pt idx="12">
                  <c:v>10878</c:v>
                </c:pt>
                <c:pt idx="13">
                  <c:v>11408</c:v>
                </c:pt>
                <c:pt idx="14">
                  <c:v>4570</c:v>
                </c:pt>
                <c:pt idx="15">
                  <c:v>25968</c:v>
                </c:pt>
                <c:pt idx="18">
                  <c:v>1872</c:v>
                </c:pt>
                <c:pt idx="20">
                  <c:v>21892</c:v>
                </c:pt>
                <c:pt idx="21">
                  <c:v>27604</c:v>
                </c:pt>
                <c:pt idx="22">
                  <c:v>29552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7-4560-8C1E-78E20464D8F0}"/>
            </c:ext>
          </c:extLst>
        </c:ser>
        <c:ser>
          <c:idx val="1"/>
          <c:order val="1"/>
          <c:tx>
            <c:v>계획</c:v>
          </c:tx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'15'!$J$6:$J$29</c:f>
              <c:numCache>
                <c:formatCode>_(* #,##0_);_(* \(#,##0\);_(* "-"_);_(@_)</c:formatCode>
                <c:ptCount val="24"/>
                <c:pt idx="0">
                  <c:v>11138</c:v>
                </c:pt>
                <c:pt idx="1">
                  <c:v>1053</c:v>
                </c:pt>
                <c:pt idx="2">
                  <c:v>10918</c:v>
                </c:pt>
                <c:pt idx="3">
                  <c:v>3622</c:v>
                </c:pt>
                <c:pt idx="4">
                  <c:v>11472</c:v>
                </c:pt>
                <c:pt idx="5">
                  <c:v>355</c:v>
                </c:pt>
                <c:pt idx="6">
                  <c:v>9010</c:v>
                </c:pt>
                <c:pt idx="7">
                  <c:v>22808</c:v>
                </c:pt>
                <c:pt idx="8">
                  <c:v>631</c:v>
                </c:pt>
                <c:pt idx="9">
                  <c:v>12060</c:v>
                </c:pt>
                <c:pt idx="10">
                  <c:v>8892</c:v>
                </c:pt>
                <c:pt idx="11">
                  <c:v>12262</c:v>
                </c:pt>
                <c:pt idx="12">
                  <c:v>10878</c:v>
                </c:pt>
                <c:pt idx="13">
                  <c:v>11408</c:v>
                </c:pt>
                <c:pt idx="14">
                  <c:v>4570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21892</c:v>
                </c:pt>
                <c:pt idx="21">
                  <c:v>27604</c:v>
                </c:pt>
                <c:pt idx="22">
                  <c:v>29552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7-4560-8C1E-78E20464D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92%</c:v>
                </c:pt>
                <c:pt idx="15">
                  <c:v>50%</c:v>
                </c:pt>
                <c:pt idx="16">
                  <c:v>0%</c:v>
                </c:pt>
                <c:pt idx="17">
                  <c:v>0%</c:v>
                </c:pt>
                <c:pt idx="18">
                  <c:v>13%</c:v>
                </c:pt>
                <c:pt idx="19">
                  <c:v>0%</c:v>
                </c:pt>
                <c:pt idx="20">
                  <c:v>92%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0.91666666666666663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0.125</c:v>
                </c:pt>
                <c:pt idx="19">
                  <c:v>0</c:v>
                </c:pt>
                <c:pt idx="20">
                  <c:v>0.91666666666666663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B-44E1-BDCF-8FB738105A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4B-44E1-BDCF-8FB738105A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'15'!$AE$6:$AE$29</c:f>
              <c:numCache>
                <c:formatCode>0%</c:formatCode>
                <c:ptCount val="24"/>
                <c:pt idx="0">
                  <c:v>0.578125</c:v>
                </c:pt>
                <c:pt idx="1">
                  <c:v>0.578125</c:v>
                </c:pt>
                <c:pt idx="2">
                  <c:v>0.578125</c:v>
                </c:pt>
                <c:pt idx="3">
                  <c:v>0.578125</c:v>
                </c:pt>
                <c:pt idx="4">
                  <c:v>0.578125</c:v>
                </c:pt>
                <c:pt idx="5">
                  <c:v>0.578125</c:v>
                </c:pt>
                <c:pt idx="6">
                  <c:v>0.578125</c:v>
                </c:pt>
                <c:pt idx="7">
                  <c:v>0.578125</c:v>
                </c:pt>
                <c:pt idx="8">
                  <c:v>0.578125</c:v>
                </c:pt>
                <c:pt idx="9">
                  <c:v>0.578125</c:v>
                </c:pt>
                <c:pt idx="10">
                  <c:v>0.578125</c:v>
                </c:pt>
                <c:pt idx="11">
                  <c:v>0.578125</c:v>
                </c:pt>
                <c:pt idx="12">
                  <c:v>0.578125</c:v>
                </c:pt>
                <c:pt idx="13">
                  <c:v>0.578125</c:v>
                </c:pt>
                <c:pt idx="14">
                  <c:v>0.578125</c:v>
                </c:pt>
                <c:pt idx="15">
                  <c:v>0.578125</c:v>
                </c:pt>
                <c:pt idx="16">
                  <c:v>0.578125</c:v>
                </c:pt>
                <c:pt idx="17">
                  <c:v>0.578125</c:v>
                </c:pt>
                <c:pt idx="18">
                  <c:v>0.578125</c:v>
                </c:pt>
                <c:pt idx="19">
                  <c:v>0.578125</c:v>
                </c:pt>
                <c:pt idx="20">
                  <c:v>0.578125</c:v>
                </c:pt>
                <c:pt idx="21">
                  <c:v>0.578125</c:v>
                </c:pt>
                <c:pt idx="22">
                  <c:v>0.578125</c:v>
                </c:pt>
                <c:pt idx="23">
                  <c:v>0.578125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B-44E1-BDCF-8FB738105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62C-4488-B963-8DE947957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C-4488-B963-8DE947957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62C-4488-B963-8DE947957A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2C-4488-B963-8DE947957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'16'!$L$6:$L$29</c:f>
              <c:numCache>
                <c:formatCode>_(* #,##0_);_(* \(#,##0\);_(* "-"_);_(@_)</c:formatCode>
                <c:ptCount val="24"/>
                <c:pt idx="0">
                  <c:v>10532</c:v>
                </c:pt>
                <c:pt idx="2">
                  <c:v>10934</c:v>
                </c:pt>
                <c:pt idx="3">
                  <c:v>4243</c:v>
                </c:pt>
                <c:pt idx="4">
                  <c:v>7370</c:v>
                </c:pt>
                <c:pt idx="6">
                  <c:v>9624</c:v>
                </c:pt>
                <c:pt idx="7">
                  <c:v>6477</c:v>
                </c:pt>
                <c:pt idx="9">
                  <c:v>12004</c:v>
                </c:pt>
                <c:pt idx="10">
                  <c:v>11422</c:v>
                </c:pt>
                <c:pt idx="12">
                  <c:v>10884</c:v>
                </c:pt>
                <c:pt idx="13">
                  <c:v>11492</c:v>
                </c:pt>
                <c:pt idx="14">
                  <c:v>1020</c:v>
                </c:pt>
                <c:pt idx="18">
                  <c:v>6880</c:v>
                </c:pt>
                <c:pt idx="20">
                  <c:v>23604</c:v>
                </c:pt>
                <c:pt idx="21">
                  <c:v>27180</c:v>
                </c:pt>
                <c:pt idx="22">
                  <c:v>29404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7-46D4-9FEB-37CE509D60BE}"/>
            </c:ext>
          </c:extLst>
        </c:ser>
        <c:ser>
          <c:idx val="1"/>
          <c:order val="1"/>
          <c:tx>
            <c:v>계획</c:v>
          </c:tx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'16'!$J$6:$J$29</c:f>
              <c:numCache>
                <c:formatCode>_(* #,##0_);_(* \(#,##0\);_(* "-"_);_(@_)</c:formatCode>
                <c:ptCount val="24"/>
                <c:pt idx="0">
                  <c:v>10532</c:v>
                </c:pt>
                <c:pt idx="1">
                  <c:v>1053</c:v>
                </c:pt>
                <c:pt idx="2">
                  <c:v>10934</c:v>
                </c:pt>
                <c:pt idx="3">
                  <c:v>4243</c:v>
                </c:pt>
                <c:pt idx="4">
                  <c:v>7370</c:v>
                </c:pt>
                <c:pt idx="5">
                  <c:v>355</c:v>
                </c:pt>
                <c:pt idx="6">
                  <c:v>9624</c:v>
                </c:pt>
                <c:pt idx="7">
                  <c:v>6477</c:v>
                </c:pt>
                <c:pt idx="8">
                  <c:v>631</c:v>
                </c:pt>
                <c:pt idx="9">
                  <c:v>12004</c:v>
                </c:pt>
                <c:pt idx="10">
                  <c:v>11422</c:v>
                </c:pt>
                <c:pt idx="11">
                  <c:v>12262</c:v>
                </c:pt>
                <c:pt idx="12">
                  <c:v>10884</c:v>
                </c:pt>
                <c:pt idx="13">
                  <c:v>11492</c:v>
                </c:pt>
                <c:pt idx="14">
                  <c:v>1020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23604</c:v>
                </c:pt>
                <c:pt idx="21">
                  <c:v>27180</c:v>
                </c:pt>
                <c:pt idx="22">
                  <c:v>29404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7-46D4-9FEB-37CE509D6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96%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123%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0.95833333333333337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1.225071225071225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E-4C52-A6CB-6CA287F6A75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EE-4C52-A6CB-6CA287F6A7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'16'!$AE$6:$AE$29</c:f>
              <c:numCache>
                <c:formatCode>0%</c:formatCode>
                <c:ptCount val="24"/>
                <c:pt idx="0">
                  <c:v>0.59444741215574559</c:v>
                </c:pt>
                <c:pt idx="1">
                  <c:v>0.59444741215574559</c:v>
                </c:pt>
                <c:pt idx="2">
                  <c:v>0.59444741215574559</c:v>
                </c:pt>
                <c:pt idx="3">
                  <c:v>0.59444741215574559</c:v>
                </c:pt>
                <c:pt idx="4">
                  <c:v>0.59444741215574559</c:v>
                </c:pt>
                <c:pt idx="5">
                  <c:v>0.59444741215574559</c:v>
                </c:pt>
                <c:pt idx="6">
                  <c:v>0.59444741215574559</c:v>
                </c:pt>
                <c:pt idx="7">
                  <c:v>0.59444741215574559</c:v>
                </c:pt>
                <c:pt idx="8">
                  <c:v>0.59444741215574559</c:v>
                </c:pt>
                <c:pt idx="9">
                  <c:v>0.59444741215574559</c:v>
                </c:pt>
                <c:pt idx="10">
                  <c:v>0.59444741215574559</c:v>
                </c:pt>
                <c:pt idx="11">
                  <c:v>0.59444741215574559</c:v>
                </c:pt>
                <c:pt idx="12">
                  <c:v>0.59444741215574559</c:v>
                </c:pt>
                <c:pt idx="13">
                  <c:v>0.59444741215574559</c:v>
                </c:pt>
                <c:pt idx="14">
                  <c:v>0.59444741215574559</c:v>
                </c:pt>
                <c:pt idx="15">
                  <c:v>0.59444741215574559</c:v>
                </c:pt>
                <c:pt idx="16">
                  <c:v>0.59444741215574559</c:v>
                </c:pt>
                <c:pt idx="17">
                  <c:v>0.59444741215574559</c:v>
                </c:pt>
                <c:pt idx="18">
                  <c:v>0.59444741215574559</c:v>
                </c:pt>
                <c:pt idx="19">
                  <c:v>0.59444741215574559</c:v>
                </c:pt>
                <c:pt idx="20">
                  <c:v>0.59444741215574559</c:v>
                </c:pt>
                <c:pt idx="21">
                  <c:v>0.59444741215574559</c:v>
                </c:pt>
                <c:pt idx="22">
                  <c:v>0.59444741215574559</c:v>
                </c:pt>
                <c:pt idx="23">
                  <c:v>0.59444741215574559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E-4C52-A6CB-6CA287F6A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'16'!$L$6:$L$29</c:f>
              <c:numCache>
                <c:formatCode>_(* #,##0_);_(* \(#,##0\);_(* "-"_);_(@_)</c:formatCode>
                <c:ptCount val="24"/>
                <c:pt idx="0">
                  <c:v>10532</c:v>
                </c:pt>
                <c:pt idx="2">
                  <c:v>10934</c:v>
                </c:pt>
                <c:pt idx="3">
                  <c:v>4243</c:v>
                </c:pt>
                <c:pt idx="4">
                  <c:v>7370</c:v>
                </c:pt>
                <c:pt idx="6">
                  <c:v>9624</c:v>
                </c:pt>
                <c:pt idx="7">
                  <c:v>6477</c:v>
                </c:pt>
                <c:pt idx="9">
                  <c:v>12004</c:v>
                </c:pt>
                <c:pt idx="10">
                  <c:v>11422</c:v>
                </c:pt>
                <c:pt idx="12">
                  <c:v>10884</c:v>
                </c:pt>
                <c:pt idx="13">
                  <c:v>11492</c:v>
                </c:pt>
                <c:pt idx="14">
                  <c:v>1020</c:v>
                </c:pt>
                <c:pt idx="18">
                  <c:v>6880</c:v>
                </c:pt>
                <c:pt idx="20">
                  <c:v>23604</c:v>
                </c:pt>
                <c:pt idx="21">
                  <c:v>27180</c:v>
                </c:pt>
                <c:pt idx="22">
                  <c:v>29404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2-46FD-BE59-494778286637}"/>
            </c:ext>
          </c:extLst>
        </c:ser>
        <c:ser>
          <c:idx val="1"/>
          <c:order val="1"/>
          <c:tx>
            <c:v>계획</c:v>
          </c:tx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'16'!$J$6:$J$29</c:f>
              <c:numCache>
                <c:formatCode>_(* #,##0_);_(* \(#,##0\);_(* "-"_);_(@_)</c:formatCode>
                <c:ptCount val="24"/>
                <c:pt idx="0">
                  <c:v>10532</c:v>
                </c:pt>
                <c:pt idx="1">
                  <c:v>1053</c:v>
                </c:pt>
                <c:pt idx="2">
                  <c:v>10934</c:v>
                </c:pt>
                <c:pt idx="3">
                  <c:v>4243</c:v>
                </c:pt>
                <c:pt idx="4">
                  <c:v>7370</c:v>
                </c:pt>
                <c:pt idx="5">
                  <c:v>355</c:v>
                </c:pt>
                <c:pt idx="6">
                  <c:v>9624</c:v>
                </c:pt>
                <c:pt idx="7">
                  <c:v>6477</c:v>
                </c:pt>
                <c:pt idx="8">
                  <c:v>631</c:v>
                </c:pt>
                <c:pt idx="9">
                  <c:v>12004</c:v>
                </c:pt>
                <c:pt idx="10">
                  <c:v>11422</c:v>
                </c:pt>
                <c:pt idx="11">
                  <c:v>12262</c:v>
                </c:pt>
                <c:pt idx="12">
                  <c:v>10884</c:v>
                </c:pt>
                <c:pt idx="13">
                  <c:v>11492</c:v>
                </c:pt>
                <c:pt idx="14">
                  <c:v>1020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23604</c:v>
                </c:pt>
                <c:pt idx="21">
                  <c:v>27180</c:v>
                </c:pt>
                <c:pt idx="22">
                  <c:v>29404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2-46FD-BE59-49477828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96%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123%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0.95833333333333337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1.225071225071225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9-45DB-BDF5-6F712A12B24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A9-45DB-BDF5-6F712A12B2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ADAPTER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'16'!$AE$6:$AE$29</c:f>
              <c:numCache>
                <c:formatCode>0%</c:formatCode>
                <c:ptCount val="24"/>
                <c:pt idx="0">
                  <c:v>0.59444741215574559</c:v>
                </c:pt>
                <c:pt idx="1">
                  <c:v>0.59444741215574559</c:v>
                </c:pt>
                <c:pt idx="2">
                  <c:v>0.59444741215574559</c:v>
                </c:pt>
                <c:pt idx="3">
                  <c:v>0.59444741215574559</c:v>
                </c:pt>
                <c:pt idx="4">
                  <c:v>0.59444741215574559</c:v>
                </c:pt>
                <c:pt idx="5">
                  <c:v>0.59444741215574559</c:v>
                </c:pt>
                <c:pt idx="6">
                  <c:v>0.59444741215574559</c:v>
                </c:pt>
                <c:pt idx="7">
                  <c:v>0.59444741215574559</c:v>
                </c:pt>
                <c:pt idx="8">
                  <c:v>0.59444741215574559</c:v>
                </c:pt>
                <c:pt idx="9">
                  <c:v>0.59444741215574559</c:v>
                </c:pt>
                <c:pt idx="10">
                  <c:v>0.59444741215574559</c:v>
                </c:pt>
                <c:pt idx="11">
                  <c:v>0.59444741215574559</c:v>
                </c:pt>
                <c:pt idx="12">
                  <c:v>0.59444741215574559</c:v>
                </c:pt>
                <c:pt idx="13">
                  <c:v>0.59444741215574559</c:v>
                </c:pt>
                <c:pt idx="14">
                  <c:v>0.59444741215574559</c:v>
                </c:pt>
                <c:pt idx="15">
                  <c:v>0.59444741215574559</c:v>
                </c:pt>
                <c:pt idx="16">
                  <c:v>0.59444741215574559</c:v>
                </c:pt>
                <c:pt idx="17">
                  <c:v>0.59444741215574559</c:v>
                </c:pt>
                <c:pt idx="18">
                  <c:v>0.59444741215574559</c:v>
                </c:pt>
                <c:pt idx="19">
                  <c:v>0.59444741215574559</c:v>
                </c:pt>
                <c:pt idx="20">
                  <c:v>0.59444741215574559</c:v>
                </c:pt>
                <c:pt idx="21">
                  <c:v>0.59444741215574559</c:v>
                </c:pt>
                <c:pt idx="22">
                  <c:v>0.59444741215574559</c:v>
                </c:pt>
                <c:pt idx="23">
                  <c:v>0.59444741215574559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A9-45DB-BDF5-6F712A12B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5B8-4659-9E07-F8489ED460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8-4659-9E07-F8489ED4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5B8-4659-9E07-F8489ED460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B8-4659-9E07-F8489ED4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'17'!$L$6:$L$29</c:f>
              <c:numCache>
                <c:formatCode>_(* #,##0_);_(* \(#,##0\);_(* "-"_);_(@_)</c:formatCode>
                <c:ptCount val="24"/>
                <c:pt idx="0">
                  <c:v>10088</c:v>
                </c:pt>
                <c:pt idx="2">
                  <c:v>10410</c:v>
                </c:pt>
                <c:pt idx="3">
                  <c:v>4946</c:v>
                </c:pt>
                <c:pt idx="4">
                  <c:v>5067</c:v>
                </c:pt>
                <c:pt idx="6">
                  <c:v>9178</c:v>
                </c:pt>
                <c:pt idx="7">
                  <c:v>6200</c:v>
                </c:pt>
                <c:pt idx="9">
                  <c:v>10080</c:v>
                </c:pt>
                <c:pt idx="10">
                  <c:v>10680</c:v>
                </c:pt>
                <c:pt idx="12">
                  <c:v>5888</c:v>
                </c:pt>
                <c:pt idx="13">
                  <c:v>10720</c:v>
                </c:pt>
                <c:pt idx="14">
                  <c:v>2484</c:v>
                </c:pt>
                <c:pt idx="20">
                  <c:v>20052</c:v>
                </c:pt>
                <c:pt idx="21">
                  <c:v>23324</c:v>
                </c:pt>
                <c:pt idx="22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7-4EC3-B9DC-04D979F86074}"/>
            </c:ext>
          </c:extLst>
        </c:ser>
        <c:ser>
          <c:idx val="1"/>
          <c:order val="1"/>
          <c:tx>
            <c:v>계획</c:v>
          </c:tx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'17'!$J$6:$J$29</c:f>
              <c:numCache>
                <c:formatCode>_(* #,##0_);_(* \(#,##0\);_(* "-"_);_(@_)</c:formatCode>
                <c:ptCount val="24"/>
                <c:pt idx="0">
                  <c:v>10088</c:v>
                </c:pt>
                <c:pt idx="1">
                  <c:v>1053</c:v>
                </c:pt>
                <c:pt idx="2">
                  <c:v>10410</c:v>
                </c:pt>
                <c:pt idx="3">
                  <c:v>4946</c:v>
                </c:pt>
                <c:pt idx="4">
                  <c:v>5067</c:v>
                </c:pt>
                <c:pt idx="5">
                  <c:v>355</c:v>
                </c:pt>
                <c:pt idx="6">
                  <c:v>9178</c:v>
                </c:pt>
                <c:pt idx="7">
                  <c:v>6200</c:v>
                </c:pt>
                <c:pt idx="8">
                  <c:v>631</c:v>
                </c:pt>
                <c:pt idx="9">
                  <c:v>10080</c:v>
                </c:pt>
                <c:pt idx="10">
                  <c:v>10680</c:v>
                </c:pt>
                <c:pt idx="11">
                  <c:v>12262</c:v>
                </c:pt>
                <c:pt idx="12">
                  <c:v>5888</c:v>
                </c:pt>
                <c:pt idx="13">
                  <c:v>10720</c:v>
                </c:pt>
                <c:pt idx="14">
                  <c:v>2484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20052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7-4EC3-B9DC-04D979F86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58%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0.58333333333333337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E-446A-BD5C-E42661A412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4E-446A-BD5C-E42661A412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'17'!$AE$6:$AE$29</c:f>
              <c:numCache>
                <c:formatCode>0%</c:formatCode>
                <c:ptCount val="24"/>
                <c:pt idx="0">
                  <c:v>0.54861111111111116</c:v>
                </c:pt>
                <c:pt idx="1">
                  <c:v>0.54861111111111116</c:v>
                </c:pt>
                <c:pt idx="2">
                  <c:v>0.54861111111111116</c:v>
                </c:pt>
                <c:pt idx="3">
                  <c:v>0.54861111111111116</c:v>
                </c:pt>
                <c:pt idx="4">
                  <c:v>0.54861111111111116</c:v>
                </c:pt>
                <c:pt idx="5">
                  <c:v>0.54861111111111116</c:v>
                </c:pt>
                <c:pt idx="6">
                  <c:v>0.54861111111111116</c:v>
                </c:pt>
                <c:pt idx="7">
                  <c:v>0.54861111111111116</c:v>
                </c:pt>
                <c:pt idx="8">
                  <c:v>0.54861111111111116</c:v>
                </c:pt>
                <c:pt idx="9">
                  <c:v>0.54861111111111116</c:v>
                </c:pt>
                <c:pt idx="10">
                  <c:v>0.54861111111111116</c:v>
                </c:pt>
                <c:pt idx="11">
                  <c:v>0.54861111111111116</c:v>
                </c:pt>
                <c:pt idx="12">
                  <c:v>0.54861111111111116</c:v>
                </c:pt>
                <c:pt idx="13">
                  <c:v>0.54861111111111116</c:v>
                </c:pt>
                <c:pt idx="14">
                  <c:v>0.54861111111111116</c:v>
                </c:pt>
                <c:pt idx="15">
                  <c:v>0.54861111111111116</c:v>
                </c:pt>
                <c:pt idx="16">
                  <c:v>0.54861111111111116</c:v>
                </c:pt>
                <c:pt idx="17">
                  <c:v>0.54861111111111116</c:v>
                </c:pt>
                <c:pt idx="18">
                  <c:v>0.54861111111111116</c:v>
                </c:pt>
                <c:pt idx="19">
                  <c:v>0.54861111111111116</c:v>
                </c:pt>
                <c:pt idx="20">
                  <c:v>0.54861111111111116</c:v>
                </c:pt>
                <c:pt idx="21">
                  <c:v>0.54861111111111116</c:v>
                </c:pt>
                <c:pt idx="22">
                  <c:v>0.54861111111111116</c:v>
                </c:pt>
                <c:pt idx="23">
                  <c:v>0.54861111111111116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E-446A-BD5C-E42661A41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'17'!$L$6:$L$29</c:f>
              <c:numCache>
                <c:formatCode>_(* #,##0_);_(* \(#,##0\);_(* "-"_);_(@_)</c:formatCode>
                <c:ptCount val="24"/>
                <c:pt idx="0">
                  <c:v>10088</c:v>
                </c:pt>
                <c:pt idx="2">
                  <c:v>10410</c:v>
                </c:pt>
                <c:pt idx="3">
                  <c:v>4946</c:v>
                </c:pt>
                <c:pt idx="4">
                  <c:v>5067</c:v>
                </c:pt>
                <c:pt idx="6">
                  <c:v>9178</c:v>
                </c:pt>
                <c:pt idx="7">
                  <c:v>6200</c:v>
                </c:pt>
                <c:pt idx="9">
                  <c:v>10080</c:v>
                </c:pt>
                <c:pt idx="10">
                  <c:v>10680</c:v>
                </c:pt>
                <c:pt idx="12">
                  <c:v>5888</c:v>
                </c:pt>
                <c:pt idx="13">
                  <c:v>10720</c:v>
                </c:pt>
                <c:pt idx="14">
                  <c:v>2484</c:v>
                </c:pt>
                <c:pt idx="20">
                  <c:v>20052</c:v>
                </c:pt>
                <c:pt idx="21">
                  <c:v>23324</c:v>
                </c:pt>
                <c:pt idx="22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4-4211-9F69-57AFB022BCE1}"/>
            </c:ext>
          </c:extLst>
        </c:ser>
        <c:ser>
          <c:idx val="1"/>
          <c:order val="1"/>
          <c:tx>
            <c:v>계획</c:v>
          </c:tx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'17'!$J$6:$J$29</c:f>
              <c:numCache>
                <c:formatCode>_(* #,##0_);_(* \(#,##0\);_(* "-"_);_(@_)</c:formatCode>
                <c:ptCount val="24"/>
                <c:pt idx="0">
                  <c:v>10088</c:v>
                </c:pt>
                <c:pt idx="1">
                  <c:v>1053</c:v>
                </c:pt>
                <c:pt idx="2">
                  <c:v>10410</c:v>
                </c:pt>
                <c:pt idx="3">
                  <c:v>4946</c:v>
                </c:pt>
                <c:pt idx="4">
                  <c:v>5067</c:v>
                </c:pt>
                <c:pt idx="5">
                  <c:v>355</c:v>
                </c:pt>
                <c:pt idx="6">
                  <c:v>9178</c:v>
                </c:pt>
                <c:pt idx="7">
                  <c:v>6200</c:v>
                </c:pt>
                <c:pt idx="8">
                  <c:v>631</c:v>
                </c:pt>
                <c:pt idx="9">
                  <c:v>10080</c:v>
                </c:pt>
                <c:pt idx="10">
                  <c:v>10680</c:v>
                </c:pt>
                <c:pt idx="11">
                  <c:v>12262</c:v>
                </c:pt>
                <c:pt idx="12">
                  <c:v>5888</c:v>
                </c:pt>
                <c:pt idx="13">
                  <c:v>10720</c:v>
                </c:pt>
                <c:pt idx="14">
                  <c:v>2484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20052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4-4211-9F69-57AFB022B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58%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0.58333333333333337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4-4F55-8E93-1BC979CF8B7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C4-4F55-8E93-1BC979CF8B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M2</c:v>
                </c:pt>
                <c:pt idx="6">
                  <c:v>BASE</c:v>
                </c:pt>
                <c:pt idx="7">
                  <c:v>CAM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2">
                  <c:v>BASE</c:v>
                </c:pt>
                <c:pt idx="13">
                  <c:v>STOPPER</c:v>
                </c:pt>
                <c:pt idx="14">
                  <c:v>TOP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'17'!$AE$6:$AE$29</c:f>
              <c:numCache>
                <c:formatCode>0%</c:formatCode>
                <c:ptCount val="24"/>
                <c:pt idx="0">
                  <c:v>0.54861111111111116</c:v>
                </c:pt>
                <c:pt idx="1">
                  <c:v>0.54861111111111116</c:v>
                </c:pt>
                <c:pt idx="2">
                  <c:v>0.54861111111111116</c:v>
                </c:pt>
                <c:pt idx="3">
                  <c:v>0.54861111111111116</c:v>
                </c:pt>
                <c:pt idx="4">
                  <c:v>0.54861111111111116</c:v>
                </c:pt>
                <c:pt idx="5">
                  <c:v>0.54861111111111116</c:v>
                </c:pt>
                <c:pt idx="6">
                  <c:v>0.54861111111111116</c:v>
                </c:pt>
                <c:pt idx="7">
                  <c:v>0.54861111111111116</c:v>
                </c:pt>
                <c:pt idx="8">
                  <c:v>0.54861111111111116</c:v>
                </c:pt>
                <c:pt idx="9">
                  <c:v>0.54861111111111116</c:v>
                </c:pt>
                <c:pt idx="10">
                  <c:v>0.54861111111111116</c:v>
                </c:pt>
                <c:pt idx="11">
                  <c:v>0.54861111111111116</c:v>
                </c:pt>
                <c:pt idx="12">
                  <c:v>0.54861111111111116</c:v>
                </c:pt>
                <c:pt idx="13">
                  <c:v>0.54861111111111116</c:v>
                </c:pt>
                <c:pt idx="14">
                  <c:v>0.54861111111111116</c:v>
                </c:pt>
                <c:pt idx="15">
                  <c:v>0.54861111111111116</c:v>
                </c:pt>
                <c:pt idx="16">
                  <c:v>0.54861111111111116</c:v>
                </c:pt>
                <c:pt idx="17">
                  <c:v>0.54861111111111116</c:v>
                </c:pt>
                <c:pt idx="18">
                  <c:v>0.54861111111111116</c:v>
                </c:pt>
                <c:pt idx="19">
                  <c:v>0.54861111111111116</c:v>
                </c:pt>
                <c:pt idx="20">
                  <c:v>0.54861111111111116</c:v>
                </c:pt>
                <c:pt idx="21">
                  <c:v>0.54861111111111116</c:v>
                </c:pt>
                <c:pt idx="22">
                  <c:v>0.54861111111111116</c:v>
                </c:pt>
                <c:pt idx="23">
                  <c:v>0.54861111111111116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C4-4F55-8E93-1BC979CF8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30E-4811-A6AF-842F59E00B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E-4811-A6AF-842F59E00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30E-4811-A6AF-842F59E00B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E-4811-A6AF-842F59E00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'20'!$L$6:$L$29</c:f>
              <c:numCache>
                <c:formatCode>_(* #,##0_);_(* \(#,##0\);_(* "-"_);_(@_)</c:formatCode>
                <c:ptCount val="24"/>
                <c:pt idx="0">
                  <c:v>9986</c:v>
                </c:pt>
                <c:pt idx="2">
                  <c:v>5576</c:v>
                </c:pt>
                <c:pt idx="3">
                  <c:v>4800</c:v>
                </c:pt>
                <c:pt idx="4">
                  <c:v>12038</c:v>
                </c:pt>
                <c:pt idx="5">
                  <c:v>2949</c:v>
                </c:pt>
                <c:pt idx="6">
                  <c:v>9374</c:v>
                </c:pt>
                <c:pt idx="8">
                  <c:v>83</c:v>
                </c:pt>
                <c:pt idx="9">
                  <c:v>24228</c:v>
                </c:pt>
                <c:pt idx="10">
                  <c:v>5172</c:v>
                </c:pt>
                <c:pt idx="12">
                  <c:v>4826</c:v>
                </c:pt>
                <c:pt idx="13">
                  <c:v>6878</c:v>
                </c:pt>
                <c:pt idx="14">
                  <c:v>3688</c:v>
                </c:pt>
                <c:pt idx="20">
                  <c:v>19824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B-45AF-8021-8C61BA5A2541}"/>
            </c:ext>
          </c:extLst>
        </c:ser>
        <c:ser>
          <c:idx val="1"/>
          <c:order val="1"/>
          <c:tx>
            <c:v>계획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'20'!$J$6:$J$29</c:f>
              <c:numCache>
                <c:formatCode>_(* #,##0_);_(* \(#,##0\);_(* "-"_);_(@_)</c:formatCode>
                <c:ptCount val="24"/>
                <c:pt idx="0">
                  <c:v>9986</c:v>
                </c:pt>
                <c:pt idx="1">
                  <c:v>1053</c:v>
                </c:pt>
                <c:pt idx="2">
                  <c:v>5576</c:v>
                </c:pt>
                <c:pt idx="3">
                  <c:v>4800</c:v>
                </c:pt>
                <c:pt idx="4">
                  <c:v>12038</c:v>
                </c:pt>
                <c:pt idx="5">
                  <c:v>2949</c:v>
                </c:pt>
                <c:pt idx="6">
                  <c:v>9377</c:v>
                </c:pt>
                <c:pt idx="7">
                  <c:v>6200</c:v>
                </c:pt>
                <c:pt idx="8">
                  <c:v>83</c:v>
                </c:pt>
                <c:pt idx="9">
                  <c:v>24228</c:v>
                </c:pt>
                <c:pt idx="10">
                  <c:v>5172</c:v>
                </c:pt>
                <c:pt idx="11">
                  <c:v>12262</c:v>
                </c:pt>
                <c:pt idx="12">
                  <c:v>4826</c:v>
                </c:pt>
                <c:pt idx="13">
                  <c:v>6878</c:v>
                </c:pt>
                <c:pt idx="14">
                  <c:v>3688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19824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B-45AF-8021-8C61BA5A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58%</c:v>
                </c:pt>
                <c:pt idx="6">
                  <c:v>100%</c:v>
                </c:pt>
                <c:pt idx="7">
                  <c:v>0%</c:v>
                </c:pt>
                <c:pt idx="8">
                  <c:v>17%</c:v>
                </c:pt>
                <c:pt idx="9">
                  <c:v>100%</c:v>
                </c:pt>
                <c:pt idx="10">
                  <c:v>58%</c:v>
                </c:pt>
                <c:pt idx="11">
                  <c:v>0%</c:v>
                </c:pt>
                <c:pt idx="12">
                  <c:v>83%</c:v>
                </c:pt>
                <c:pt idx="13">
                  <c:v>67%</c:v>
                </c:pt>
                <c:pt idx="14">
                  <c:v>33%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0.58333333333333337</c:v>
                </c:pt>
                <c:pt idx="6">
                  <c:v>0.9996800682521062</c:v>
                </c:pt>
                <c:pt idx="7">
                  <c:v>0</c:v>
                </c:pt>
                <c:pt idx="8">
                  <c:v>0.16666666666666666</c:v>
                </c:pt>
                <c:pt idx="9">
                  <c:v>1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0.66666666666666663</c:v>
                </c:pt>
                <c:pt idx="14">
                  <c:v>0.33333333333333331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7C-4585-8F55-3F7903F28D4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7C-4585-8F55-3F7903F28D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'20'!$AE$6:$AE$29</c:f>
              <c:numCache>
                <c:formatCode>0%</c:formatCode>
                <c:ptCount val="24"/>
                <c:pt idx="0">
                  <c:v>0.40450055839939331</c:v>
                </c:pt>
                <c:pt idx="1">
                  <c:v>0.40450055839939331</c:v>
                </c:pt>
                <c:pt idx="2">
                  <c:v>0.40450055839939331</c:v>
                </c:pt>
                <c:pt idx="3">
                  <c:v>0.40450055839939331</c:v>
                </c:pt>
                <c:pt idx="4">
                  <c:v>0.40450055839939331</c:v>
                </c:pt>
                <c:pt idx="5">
                  <c:v>0.40450055839939331</c:v>
                </c:pt>
                <c:pt idx="6">
                  <c:v>0.40450055839939331</c:v>
                </c:pt>
                <c:pt idx="7">
                  <c:v>0.40450055839939331</c:v>
                </c:pt>
                <c:pt idx="8">
                  <c:v>0.40450055839939331</c:v>
                </c:pt>
                <c:pt idx="9">
                  <c:v>0.40450055839939331</c:v>
                </c:pt>
                <c:pt idx="10">
                  <c:v>0.40450055839939331</c:v>
                </c:pt>
                <c:pt idx="11">
                  <c:v>0.40450055839939331</c:v>
                </c:pt>
                <c:pt idx="12">
                  <c:v>0.40450055839939331</c:v>
                </c:pt>
                <c:pt idx="13">
                  <c:v>0.40450055839939331</c:v>
                </c:pt>
                <c:pt idx="14">
                  <c:v>0.40450055839939331</c:v>
                </c:pt>
                <c:pt idx="15">
                  <c:v>0.40450055839939331</c:v>
                </c:pt>
                <c:pt idx="16">
                  <c:v>0.40450055839939331</c:v>
                </c:pt>
                <c:pt idx="17">
                  <c:v>0.40450055839939331</c:v>
                </c:pt>
                <c:pt idx="18">
                  <c:v>0.40450055839939331</c:v>
                </c:pt>
                <c:pt idx="19">
                  <c:v>0.40450055839939331</c:v>
                </c:pt>
                <c:pt idx="20">
                  <c:v>0.40450055839939331</c:v>
                </c:pt>
                <c:pt idx="21">
                  <c:v>0.40450055839939331</c:v>
                </c:pt>
                <c:pt idx="22">
                  <c:v>0.40450055839939331</c:v>
                </c:pt>
                <c:pt idx="23">
                  <c:v>0.40450055839939331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7C-4585-8F55-3F7903F28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'20'!$L$6:$L$29</c:f>
              <c:numCache>
                <c:formatCode>_(* #,##0_);_(* \(#,##0\);_(* "-"_);_(@_)</c:formatCode>
                <c:ptCount val="24"/>
                <c:pt idx="0">
                  <c:v>9986</c:v>
                </c:pt>
                <c:pt idx="2">
                  <c:v>5576</c:v>
                </c:pt>
                <c:pt idx="3">
                  <c:v>4800</c:v>
                </c:pt>
                <c:pt idx="4">
                  <c:v>12038</c:v>
                </c:pt>
                <c:pt idx="5">
                  <c:v>2949</c:v>
                </c:pt>
                <c:pt idx="6">
                  <c:v>9374</c:v>
                </c:pt>
                <c:pt idx="8">
                  <c:v>83</c:v>
                </c:pt>
                <c:pt idx="9">
                  <c:v>24228</c:v>
                </c:pt>
                <c:pt idx="10">
                  <c:v>5172</c:v>
                </c:pt>
                <c:pt idx="12">
                  <c:v>4826</c:v>
                </c:pt>
                <c:pt idx="13">
                  <c:v>6878</c:v>
                </c:pt>
                <c:pt idx="14">
                  <c:v>3688</c:v>
                </c:pt>
                <c:pt idx="20">
                  <c:v>19824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E-4C99-811A-D258DE9858A1}"/>
            </c:ext>
          </c:extLst>
        </c:ser>
        <c:ser>
          <c:idx val="1"/>
          <c:order val="1"/>
          <c:tx>
            <c:v>계획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'20'!$J$6:$J$29</c:f>
              <c:numCache>
                <c:formatCode>_(* #,##0_);_(* \(#,##0\);_(* "-"_);_(@_)</c:formatCode>
                <c:ptCount val="24"/>
                <c:pt idx="0">
                  <c:v>9986</c:v>
                </c:pt>
                <c:pt idx="1">
                  <c:v>1053</c:v>
                </c:pt>
                <c:pt idx="2">
                  <c:v>5576</c:v>
                </c:pt>
                <c:pt idx="3">
                  <c:v>4800</c:v>
                </c:pt>
                <c:pt idx="4">
                  <c:v>12038</c:v>
                </c:pt>
                <c:pt idx="5">
                  <c:v>2949</c:v>
                </c:pt>
                <c:pt idx="6">
                  <c:v>9377</c:v>
                </c:pt>
                <c:pt idx="7">
                  <c:v>6200</c:v>
                </c:pt>
                <c:pt idx="8">
                  <c:v>83</c:v>
                </c:pt>
                <c:pt idx="9">
                  <c:v>24228</c:v>
                </c:pt>
                <c:pt idx="10">
                  <c:v>5172</c:v>
                </c:pt>
                <c:pt idx="11">
                  <c:v>12262</c:v>
                </c:pt>
                <c:pt idx="12">
                  <c:v>4826</c:v>
                </c:pt>
                <c:pt idx="13">
                  <c:v>6878</c:v>
                </c:pt>
                <c:pt idx="14">
                  <c:v>3688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19824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E-4C99-811A-D258DE985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58%</c:v>
                </c:pt>
                <c:pt idx="6">
                  <c:v>100%</c:v>
                </c:pt>
                <c:pt idx="7">
                  <c:v>0%</c:v>
                </c:pt>
                <c:pt idx="8">
                  <c:v>17%</c:v>
                </c:pt>
                <c:pt idx="9">
                  <c:v>100%</c:v>
                </c:pt>
                <c:pt idx="10">
                  <c:v>58%</c:v>
                </c:pt>
                <c:pt idx="11">
                  <c:v>0%</c:v>
                </c:pt>
                <c:pt idx="12">
                  <c:v>83%</c:v>
                </c:pt>
                <c:pt idx="13">
                  <c:v>67%</c:v>
                </c:pt>
                <c:pt idx="14">
                  <c:v>33%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0.58333333333333337</c:v>
                </c:pt>
                <c:pt idx="6">
                  <c:v>0.9996800682521062</c:v>
                </c:pt>
                <c:pt idx="7">
                  <c:v>0</c:v>
                </c:pt>
                <c:pt idx="8">
                  <c:v>0.16666666666666666</c:v>
                </c:pt>
                <c:pt idx="9">
                  <c:v>1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0.66666666666666663</c:v>
                </c:pt>
                <c:pt idx="14">
                  <c:v>0.33333333333333331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0-41D8-9869-A69696080DA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C0-41D8-9869-A69696080D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'20'!$AE$6:$AE$29</c:f>
              <c:numCache>
                <c:formatCode>0%</c:formatCode>
                <c:ptCount val="24"/>
                <c:pt idx="0">
                  <c:v>0.40450055839939331</c:v>
                </c:pt>
                <c:pt idx="1">
                  <c:v>0.40450055839939331</c:v>
                </c:pt>
                <c:pt idx="2">
                  <c:v>0.40450055839939331</c:v>
                </c:pt>
                <c:pt idx="3">
                  <c:v>0.40450055839939331</c:v>
                </c:pt>
                <c:pt idx="4">
                  <c:v>0.40450055839939331</c:v>
                </c:pt>
                <c:pt idx="5">
                  <c:v>0.40450055839939331</c:v>
                </c:pt>
                <c:pt idx="6">
                  <c:v>0.40450055839939331</c:v>
                </c:pt>
                <c:pt idx="7">
                  <c:v>0.40450055839939331</c:v>
                </c:pt>
                <c:pt idx="8">
                  <c:v>0.40450055839939331</c:v>
                </c:pt>
                <c:pt idx="9">
                  <c:v>0.40450055839939331</c:v>
                </c:pt>
                <c:pt idx="10">
                  <c:v>0.40450055839939331</c:v>
                </c:pt>
                <c:pt idx="11">
                  <c:v>0.40450055839939331</c:v>
                </c:pt>
                <c:pt idx="12">
                  <c:v>0.40450055839939331</c:v>
                </c:pt>
                <c:pt idx="13">
                  <c:v>0.40450055839939331</c:v>
                </c:pt>
                <c:pt idx="14">
                  <c:v>0.40450055839939331</c:v>
                </c:pt>
                <c:pt idx="15">
                  <c:v>0.40450055839939331</c:v>
                </c:pt>
                <c:pt idx="16">
                  <c:v>0.40450055839939331</c:v>
                </c:pt>
                <c:pt idx="17">
                  <c:v>0.40450055839939331</c:v>
                </c:pt>
                <c:pt idx="18">
                  <c:v>0.40450055839939331</c:v>
                </c:pt>
                <c:pt idx="19">
                  <c:v>0.40450055839939331</c:v>
                </c:pt>
                <c:pt idx="20">
                  <c:v>0.40450055839939331</c:v>
                </c:pt>
                <c:pt idx="21">
                  <c:v>0.40450055839939331</c:v>
                </c:pt>
                <c:pt idx="22">
                  <c:v>0.40450055839939331</c:v>
                </c:pt>
                <c:pt idx="23">
                  <c:v>0.40450055839939331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0-41D8-9869-A69696080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04-4DC6-996D-D96EA480A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4-4DC6-996D-D96EA480A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04-4DC6-996D-D96EA480A3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4-4DC6-996D-D96EA480A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'21'!$L$6:$L$29</c:f>
              <c:numCache>
                <c:formatCode>_(* #,##0_);_(* \(#,##0\);_(* "-"_);_(@_)</c:formatCode>
                <c:ptCount val="24"/>
                <c:pt idx="0">
                  <c:v>10806</c:v>
                </c:pt>
                <c:pt idx="1">
                  <c:v>4743</c:v>
                </c:pt>
                <c:pt idx="2">
                  <c:v>3863</c:v>
                </c:pt>
                <c:pt idx="3">
                  <c:v>4548</c:v>
                </c:pt>
                <c:pt idx="4">
                  <c:v>12846</c:v>
                </c:pt>
                <c:pt idx="5">
                  <c:v>2039</c:v>
                </c:pt>
                <c:pt idx="6">
                  <c:v>9224</c:v>
                </c:pt>
                <c:pt idx="7">
                  <c:v>4420</c:v>
                </c:pt>
                <c:pt idx="9">
                  <c:v>19092</c:v>
                </c:pt>
                <c:pt idx="10">
                  <c:v>6526</c:v>
                </c:pt>
                <c:pt idx="11">
                  <c:v>4507</c:v>
                </c:pt>
                <c:pt idx="12">
                  <c:v>5812</c:v>
                </c:pt>
                <c:pt idx="13">
                  <c:v>11418</c:v>
                </c:pt>
                <c:pt idx="14">
                  <c:v>2105</c:v>
                </c:pt>
                <c:pt idx="20">
                  <c:v>24080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5-442E-BE86-F97DB04A7C1F}"/>
            </c:ext>
          </c:extLst>
        </c:ser>
        <c:ser>
          <c:idx val="1"/>
          <c:order val="1"/>
          <c:tx>
            <c:v>계획</c:v>
          </c:tx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'21'!$J$6:$J$29</c:f>
              <c:numCache>
                <c:formatCode>_(* #,##0_);_(* \(#,##0\);_(* "-"_);_(@_)</c:formatCode>
                <c:ptCount val="24"/>
                <c:pt idx="0">
                  <c:v>10806</c:v>
                </c:pt>
                <c:pt idx="1">
                  <c:v>4743</c:v>
                </c:pt>
                <c:pt idx="2">
                  <c:v>3863</c:v>
                </c:pt>
                <c:pt idx="3">
                  <c:v>4548</c:v>
                </c:pt>
                <c:pt idx="4">
                  <c:v>12846</c:v>
                </c:pt>
                <c:pt idx="5">
                  <c:v>2039</c:v>
                </c:pt>
                <c:pt idx="6">
                  <c:v>9224</c:v>
                </c:pt>
                <c:pt idx="7">
                  <c:v>4420</c:v>
                </c:pt>
                <c:pt idx="8">
                  <c:v>83</c:v>
                </c:pt>
                <c:pt idx="9">
                  <c:v>19092</c:v>
                </c:pt>
                <c:pt idx="10">
                  <c:v>6526</c:v>
                </c:pt>
                <c:pt idx="11">
                  <c:v>4507</c:v>
                </c:pt>
                <c:pt idx="12">
                  <c:v>5812</c:v>
                </c:pt>
                <c:pt idx="13">
                  <c:v>11418</c:v>
                </c:pt>
                <c:pt idx="14">
                  <c:v>2105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24080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5-442E-BE86-F97DB04A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'21'!$AD$6:$AD$29</c:f>
              <c:strCache>
                <c:ptCount val="24"/>
                <c:pt idx="0">
                  <c:v>100%</c:v>
                </c:pt>
                <c:pt idx="1">
                  <c:v>83%</c:v>
                </c:pt>
                <c:pt idx="2">
                  <c:v>58%</c:v>
                </c:pt>
                <c:pt idx="3">
                  <c:v>83%</c:v>
                </c:pt>
                <c:pt idx="4">
                  <c:v>100%</c:v>
                </c:pt>
                <c:pt idx="5">
                  <c:v>42%</c:v>
                </c:pt>
                <c:pt idx="6">
                  <c:v>100%</c:v>
                </c:pt>
                <c:pt idx="7">
                  <c:v>46%</c:v>
                </c:pt>
                <c:pt idx="8">
                  <c:v>0%</c:v>
                </c:pt>
                <c:pt idx="9">
                  <c:v>96%</c:v>
                </c:pt>
                <c:pt idx="10">
                  <c:v>63%</c:v>
                </c:pt>
                <c:pt idx="11">
                  <c:v>83%</c:v>
                </c:pt>
                <c:pt idx="12">
                  <c:v>100%</c:v>
                </c:pt>
                <c:pt idx="13">
                  <c:v>100%</c:v>
                </c:pt>
                <c:pt idx="14">
                  <c:v>42%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'21'!$AD$6:$AD$29</c:f>
              <c:numCache>
                <c:formatCode>0%</c:formatCode>
                <c:ptCount val="24"/>
                <c:pt idx="0">
                  <c:v>1</c:v>
                </c:pt>
                <c:pt idx="1">
                  <c:v>0.83333333333333337</c:v>
                </c:pt>
                <c:pt idx="2">
                  <c:v>0.58333333333333337</c:v>
                </c:pt>
                <c:pt idx="3">
                  <c:v>0.83333333333333337</c:v>
                </c:pt>
                <c:pt idx="4">
                  <c:v>1</c:v>
                </c:pt>
                <c:pt idx="5">
                  <c:v>0.41666666666666669</c:v>
                </c:pt>
                <c:pt idx="6">
                  <c:v>1</c:v>
                </c:pt>
                <c:pt idx="7">
                  <c:v>0.45833333333333331</c:v>
                </c:pt>
                <c:pt idx="8">
                  <c:v>0</c:v>
                </c:pt>
                <c:pt idx="9">
                  <c:v>0.95833333333333337</c:v>
                </c:pt>
                <c:pt idx="10">
                  <c:v>0.625</c:v>
                </c:pt>
                <c:pt idx="11">
                  <c:v>0.83333333333333337</c:v>
                </c:pt>
                <c:pt idx="12">
                  <c:v>1</c:v>
                </c:pt>
                <c:pt idx="13">
                  <c:v>1</c:v>
                </c:pt>
                <c:pt idx="14">
                  <c:v>0.41666666666666669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D-4EF1-9B59-64281FAC83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DD-4EF1-9B59-64281FAC8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'21'!$AE$6:$AE$29</c:f>
              <c:numCache>
                <c:formatCode>0%</c:formatCode>
                <c:ptCount val="24"/>
                <c:pt idx="0">
                  <c:v>0.49826388888888884</c:v>
                </c:pt>
                <c:pt idx="1">
                  <c:v>0.49826388888888884</c:v>
                </c:pt>
                <c:pt idx="2">
                  <c:v>0.49826388888888884</c:v>
                </c:pt>
                <c:pt idx="3">
                  <c:v>0.49826388888888884</c:v>
                </c:pt>
                <c:pt idx="4">
                  <c:v>0.49826388888888884</c:v>
                </c:pt>
                <c:pt idx="5">
                  <c:v>0.49826388888888884</c:v>
                </c:pt>
                <c:pt idx="6">
                  <c:v>0.49826388888888884</c:v>
                </c:pt>
                <c:pt idx="7">
                  <c:v>0.49826388888888884</c:v>
                </c:pt>
                <c:pt idx="8">
                  <c:v>0.49826388888888884</c:v>
                </c:pt>
                <c:pt idx="9">
                  <c:v>0.49826388888888884</c:v>
                </c:pt>
                <c:pt idx="10">
                  <c:v>0.49826388888888884</c:v>
                </c:pt>
                <c:pt idx="11">
                  <c:v>0.49826388888888884</c:v>
                </c:pt>
                <c:pt idx="12">
                  <c:v>0.49826388888888884</c:v>
                </c:pt>
                <c:pt idx="13">
                  <c:v>0.49826388888888884</c:v>
                </c:pt>
                <c:pt idx="14">
                  <c:v>0.49826388888888884</c:v>
                </c:pt>
                <c:pt idx="15">
                  <c:v>0.49826388888888884</c:v>
                </c:pt>
                <c:pt idx="16">
                  <c:v>0.49826388888888884</c:v>
                </c:pt>
                <c:pt idx="17">
                  <c:v>0.49826388888888884</c:v>
                </c:pt>
                <c:pt idx="18">
                  <c:v>0.49826388888888884</c:v>
                </c:pt>
                <c:pt idx="19">
                  <c:v>0.49826388888888884</c:v>
                </c:pt>
                <c:pt idx="20">
                  <c:v>0.49826388888888884</c:v>
                </c:pt>
                <c:pt idx="21">
                  <c:v>0.49826388888888884</c:v>
                </c:pt>
                <c:pt idx="22">
                  <c:v>0.49826388888888884</c:v>
                </c:pt>
                <c:pt idx="23">
                  <c:v>0.49826388888888884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DD-4EF1-9B59-64281FAC8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'21'!$L$6:$L$29</c:f>
              <c:numCache>
                <c:formatCode>_(* #,##0_);_(* \(#,##0\);_(* "-"_);_(@_)</c:formatCode>
                <c:ptCount val="24"/>
                <c:pt idx="0">
                  <c:v>10806</c:v>
                </c:pt>
                <c:pt idx="1">
                  <c:v>4743</c:v>
                </c:pt>
                <c:pt idx="2">
                  <c:v>3863</c:v>
                </c:pt>
                <c:pt idx="3">
                  <c:v>4548</c:v>
                </c:pt>
                <c:pt idx="4">
                  <c:v>12846</c:v>
                </c:pt>
                <c:pt idx="5">
                  <c:v>2039</c:v>
                </c:pt>
                <c:pt idx="6">
                  <c:v>9224</c:v>
                </c:pt>
                <c:pt idx="7">
                  <c:v>4420</c:v>
                </c:pt>
                <c:pt idx="9">
                  <c:v>19092</c:v>
                </c:pt>
                <c:pt idx="10">
                  <c:v>6526</c:v>
                </c:pt>
                <c:pt idx="11">
                  <c:v>4507</c:v>
                </c:pt>
                <c:pt idx="12">
                  <c:v>5812</c:v>
                </c:pt>
                <c:pt idx="13">
                  <c:v>11418</c:v>
                </c:pt>
                <c:pt idx="14">
                  <c:v>2105</c:v>
                </c:pt>
                <c:pt idx="20">
                  <c:v>24080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C-4785-9239-E688F31C6CED}"/>
            </c:ext>
          </c:extLst>
        </c:ser>
        <c:ser>
          <c:idx val="1"/>
          <c:order val="1"/>
          <c:tx>
            <c:v>계획</c:v>
          </c:tx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'21'!$J$6:$J$29</c:f>
              <c:numCache>
                <c:formatCode>_(* #,##0_);_(* \(#,##0\);_(* "-"_);_(@_)</c:formatCode>
                <c:ptCount val="24"/>
                <c:pt idx="0">
                  <c:v>10806</c:v>
                </c:pt>
                <c:pt idx="1">
                  <c:v>4743</c:v>
                </c:pt>
                <c:pt idx="2">
                  <c:v>3863</c:v>
                </c:pt>
                <c:pt idx="3">
                  <c:v>4548</c:v>
                </c:pt>
                <c:pt idx="4">
                  <c:v>12846</c:v>
                </c:pt>
                <c:pt idx="5">
                  <c:v>2039</c:v>
                </c:pt>
                <c:pt idx="6">
                  <c:v>9224</c:v>
                </c:pt>
                <c:pt idx="7">
                  <c:v>4420</c:v>
                </c:pt>
                <c:pt idx="8">
                  <c:v>83</c:v>
                </c:pt>
                <c:pt idx="9">
                  <c:v>19092</c:v>
                </c:pt>
                <c:pt idx="10">
                  <c:v>6526</c:v>
                </c:pt>
                <c:pt idx="11">
                  <c:v>4507</c:v>
                </c:pt>
                <c:pt idx="12">
                  <c:v>5812</c:v>
                </c:pt>
                <c:pt idx="13">
                  <c:v>11418</c:v>
                </c:pt>
                <c:pt idx="14">
                  <c:v>2105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24080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C-4785-9239-E688F31C6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'21'!$AD$6:$AD$29</c:f>
              <c:strCache>
                <c:ptCount val="24"/>
                <c:pt idx="0">
                  <c:v>100%</c:v>
                </c:pt>
                <c:pt idx="1">
                  <c:v>83%</c:v>
                </c:pt>
                <c:pt idx="2">
                  <c:v>58%</c:v>
                </c:pt>
                <c:pt idx="3">
                  <c:v>83%</c:v>
                </c:pt>
                <c:pt idx="4">
                  <c:v>100%</c:v>
                </c:pt>
                <c:pt idx="5">
                  <c:v>42%</c:v>
                </c:pt>
                <c:pt idx="6">
                  <c:v>100%</c:v>
                </c:pt>
                <c:pt idx="7">
                  <c:v>46%</c:v>
                </c:pt>
                <c:pt idx="8">
                  <c:v>0%</c:v>
                </c:pt>
                <c:pt idx="9">
                  <c:v>96%</c:v>
                </c:pt>
                <c:pt idx="10">
                  <c:v>63%</c:v>
                </c:pt>
                <c:pt idx="11">
                  <c:v>83%</c:v>
                </c:pt>
                <c:pt idx="12">
                  <c:v>100%</c:v>
                </c:pt>
                <c:pt idx="13">
                  <c:v>100%</c:v>
                </c:pt>
                <c:pt idx="14">
                  <c:v>42%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'21'!$AD$6:$AD$29</c:f>
              <c:numCache>
                <c:formatCode>0%</c:formatCode>
                <c:ptCount val="24"/>
                <c:pt idx="0">
                  <c:v>1</c:v>
                </c:pt>
                <c:pt idx="1">
                  <c:v>0.83333333333333337</c:v>
                </c:pt>
                <c:pt idx="2">
                  <c:v>0.58333333333333337</c:v>
                </c:pt>
                <c:pt idx="3">
                  <c:v>0.83333333333333337</c:v>
                </c:pt>
                <c:pt idx="4">
                  <c:v>1</c:v>
                </c:pt>
                <c:pt idx="5">
                  <c:v>0.41666666666666669</c:v>
                </c:pt>
                <c:pt idx="6">
                  <c:v>1</c:v>
                </c:pt>
                <c:pt idx="7">
                  <c:v>0.45833333333333331</c:v>
                </c:pt>
                <c:pt idx="8">
                  <c:v>0</c:v>
                </c:pt>
                <c:pt idx="9">
                  <c:v>0.95833333333333337</c:v>
                </c:pt>
                <c:pt idx="10">
                  <c:v>0.625</c:v>
                </c:pt>
                <c:pt idx="11">
                  <c:v>0.83333333333333337</c:v>
                </c:pt>
                <c:pt idx="12">
                  <c:v>1</c:v>
                </c:pt>
                <c:pt idx="13">
                  <c:v>1</c:v>
                </c:pt>
                <c:pt idx="14">
                  <c:v>0.41666666666666669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E-4B48-8A3F-48BD7826D8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7E-4B48-8A3F-48BD7826D8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BASE</c:v>
                </c:pt>
                <c:pt idx="13">
                  <c:v>STOPPER</c:v>
                </c:pt>
                <c:pt idx="14">
                  <c:v>STOPPER L/R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'21'!$AE$6:$AE$29</c:f>
              <c:numCache>
                <c:formatCode>0%</c:formatCode>
                <c:ptCount val="24"/>
                <c:pt idx="0">
                  <c:v>0.49826388888888884</c:v>
                </c:pt>
                <c:pt idx="1">
                  <c:v>0.49826388888888884</c:v>
                </c:pt>
                <c:pt idx="2">
                  <c:v>0.49826388888888884</c:v>
                </c:pt>
                <c:pt idx="3">
                  <c:v>0.49826388888888884</c:v>
                </c:pt>
                <c:pt idx="4">
                  <c:v>0.49826388888888884</c:v>
                </c:pt>
                <c:pt idx="5">
                  <c:v>0.49826388888888884</c:v>
                </c:pt>
                <c:pt idx="6">
                  <c:v>0.49826388888888884</c:v>
                </c:pt>
                <c:pt idx="7">
                  <c:v>0.49826388888888884</c:v>
                </c:pt>
                <c:pt idx="8">
                  <c:v>0.49826388888888884</c:v>
                </c:pt>
                <c:pt idx="9">
                  <c:v>0.49826388888888884</c:v>
                </c:pt>
                <c:pt idx="10">
                  <c:v>0.49826388888888884</c:v>
                </c:pt>
                <c:pt idx="11">
                  <c:v>0.49826388888888884</c:v>
                </c:pt>
                <c:pt idx="12">
                  <c:v>0.49826388888888884</c:v>
                </c:pt>
                <c:pt idx="13">
                  <c:v>0.49826388888888884</c:v>
                </c:pt>
                <c:pt idx="14">
                  <c:v>0.49826388888888884</c:v>
                </c:pt>
                <c:pt idx="15">
                  <c:v>0.49826388888888884</c:v>
                </c:pt>
                <c:pt idx="16">
                  <c:v>0.49826388888888884</c:v>
                </c:pt>
                <c:pt idx="17">
                  <c:v>0.49826388888888884</c:v>
                </c:pt>
                <c:pt idx="18">
                  <c:v>0.49826388888888884</c:v>
                </c:pt>
                <c:pt idx="19">
                  <c:v>0.49826388888888884</c:v>
                </c:pt>
                <c:pt idx="20">
                  <c:v>0.49826388888888884</c:v>
                </c:pt>
                <c:pt idx="21">
                  <c:v>0.49826388888888884</c:v>
                </c:pt>
                <c:pt idx="22">
                  <c:v>0.49826388888888884</c:v>
                </c:pt>
                <c:pt idx="23">
                  <c:v>0.49826388888888884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7E-4B48-8A3F-48BD7826D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BC9-468E-AE2C-89405D6E51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9-468E-AE2C-89405D6E5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BC9-468E-AE2C-89405D6E51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9-468E-AE2C-89405D6E5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'22'!$L$6:$L$30</c:f>
              <c:numCache>
                <c:formatCode>_(* #,##0_);_(* \(#,##0\);_(* "-"_);_(@_)</c:formatCode>
                <c:ptCount val="25"/>
                <c:pt idx="0">
                  <c:v>10738</c:v>
                </c:pt>
                <c:pt idx="1">
                  <c:v>6488</c:v>
                </c:pt>
                <c:pt idx="2">
                  <c:v>3847</c:v>
                </c:pt>
                <c:pt idx="3">
                  <c:v>532</c:v>
                </c:pt>
                <c:pt idx="4">
                  <c:v>7240</c:v>
                </c:pt>
                <c:pt idx="5">
                  <c:v>12974</c:v>
                </c:pt>
                <c:pt idx="6">
                  <c:v>3596</c:v>
                </c:pt>
                <c:pt idx="7">
                  <c:v>9780</c:v>
                </c:pt>
                <c:pt idx="8">
                  <c:v>2978</c:v>
                </c:pt>
                <c:pt idx="10">
                  <c:v>19767</c:v>
                </c:pt>
                <c:pt idx="11">
                  <c:v>8622</c:v>
                </c:pt>
                <c:pt idx="12">
                  <c:v>5064</c:v>
                </c:pt>
                <c:pt idx="13">
                  <c:v>5572</c:v>
                </c:pt>
                <c:pt idx="14">
                  <c:v>11554</c:v>
                </c:pt>
                <c:pt idx="21">
                  <c:v>22760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488-91CF-EDA41964C39D}"/>
            </c:ext>
          </c:extLst>
        </c:ser>
        <c:ser>
          <c:idx val="1"/>
          <c:order val="1"/>
          <c:tx>
            <c:v>계획</c:v>
          </c:tx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'22'!$J$6:$J$30</c:f>
              <c:numCache>
                <c:formatCode>_(* #,##0_);_(* \(#,##0\);_(* "-"_);_(@_)</c:formatCode>
                <c:ptCount val="25"/>
                <c:pt idx="0">
                  <c:v>10738</c:v>
                </c:pt>
                <c:pt idx="1">
                  <c:v>6488</c:v>
                </c:pt>
                <c:pt idx="2">
                  <c:v>3847</c:v>
                </c:pt>
                <c:pt idx="3">
                  <c:v>532</c:v>
                </c:pt>
                <c:pt idx="4">
                  <c:v>7240</c:v>
                </c:pt>
                <c:pt idx="5">
                  <c:v>12974</c:v>
                </c:pt>
                <c:pt idx="6">
                  <c:v>3596</c:v>
                </c:pt>
                <c:pt idx="7">
                  <c:v>9780</c:v>
                </c:pt>
                <c:pt idx="8">
                  <c:v>2978</c:v>
                </c:pt>
                <c:pt idx="9">
                  <c:v>83</c:v>
                </c:pt>
                <c:pt idx="10">
                  <c:v>19767</c:v>
                </c:pt>
                <c:pt idx="11">
                  <c:v>8622</c:v>
                </c:pt>
                <c:pt idx="12">
                  <c:v>5064</c:v>
                </c:pt>
                <c:pt idx="13">
                  <c:v>5572</c:v>
                </c:pt>
                <c:pt idx="14">
                  <c:v>11554</c:v>
                </c:pt>
                <c:pt idx="15">
                  <c:v>2105</c:v>
                </c:pt>
                <c:pt idx="16">
                  <c:v>25968</c:v>
                </c:pt>
                <c:pt idx="17">
                  <c:v>0</c:v>
                </c:pt>
                <c:pt idx="18">
                  <c:v>24024</c:v>
                </c:pt>
                <c:pt idx="19">
                  <c:v>1872</c:v>
                </c:pt>
                <c:pt idx="20">
                  <c:v>189476</c:v>
                </c:pt>
                <c:pt idx="21">
                  <c:v>22760</c:v>
                </c:pt>
                <c:pt idx="22">
                  <c:v>23324</c:v>
                </c:pt>
                <c:pt idx="23">
                  <c:v>25000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2-4488-91CF-EDA41964C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'22'!$AD$6:$AD$30</c:f>
              <c:strCache>
                <c:ptCount val="25"/>
                <c:pt idx="0">
                  <c:v>100%</c:v>
                </c:pt>
                <c:pt idx="1">
                  <c:v>100%</c:v>
                </c:pt>
                <c:pt idx="2">
                  <c:v>71%</c:v>
                </c:pt>
                <c:pt idx="3">
                  <c:v>17%</c:v>
                </c:pt>
                <c:pt idx="4">
                  <c:v>71%</c:v>
                </c:pt>
                <c:pt idx="5">
                  <c:v>100%</c:v>
                </c:pt>
                <c:pt idx="6">
                  <c:v>79%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100%</c:v>
                </c:pt>
                <c:pt idx="13">
                  <c:v>96%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'22'!$AD$6:$AD$30</c:f>
              <c:numCache>
                <c:formatCode>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0.70833333333333337</c:v>
                </c:pt>
                <c:pt idx="3">
                  <c:v>0.16666666666666666</c:v>
                </c:pt>
                <c:pt idx="4">
                  <c:v>0.70833333333333337</c:v>
                </c:pt>
                <c:pt idx="5">
                  <c:v>1</c:v>
                </c:pt>
                <c:pt idx="6">
                  <c:v>0.79166666666666663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1</c:v>
                </c:pt>
                <c:pt idx="13">
                  <c:v>0.95833333333333337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7-4256-855C-74A1CE0F78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A7-4256-855C-74A1CE0F78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'22'!$AE$6:$AE$30</c:f>
              <c:numCache>
                <c:formatCode>0%</c:formatCode>
                <c:ptCount val="25"/>
                <c:pt idx="0">
                  <c:v>0.49500000000000005</c:v>
                </c:pt>
                <c:pt idx="1">
                  <c:v>0.49500000000000005</c:v>
                </c:pt>
                <c:pt idx="2">
                  <c:v>0.49500000000000005</c:v>
                </c:pt>
                <c:pt idx="3">
                  <c:v>0.49500000000000005</c:v>
                </c:pt>
                <c:pt idx="4">
                  <c:v>0.49500000000000005</c:v>
                </c:pt>
                <c:pt idx="5">
                  <c:v>0.49500000000000005</c:v>
                </c:pt>
                <c:pt idx="6">
                  <c:v>0.49500000000000005</c:v>
                </c:pt>
                <c:pt idx="7">
                  <c:v>0.49500000000000005</c:v>
                </c:pt>
                <c:pt idx="8">
                  <c:v>0.49500000000000005</c:v>
                </c:pt>
                <c:pt idx="9">
                  <c:v>0.49500000000000005</c:v>
                </c:pt>
                <c:pt idx="10">
                  <c:v>0.49500000000000005</c:v>
                </c:pt>
                <c:pt idx="11">
                  <c:v>0.49500000000000005</c:v>
                </c:pt>
                <c:pt idx="12">
                  <c:v>0.49500000000000005</c:v>
                </c:pt>
                <c:pt idx="13">
                  <c:v>0.49500000000000005</c:v>
                </c:pt>
                <c:pt idx="14">
                  <c:v>0.49500000000000005</c:v>
                </c:pt>
                <c:pt idx="15">
                  <c:v>0.49500000000000005</c:v>
                </c:pt>
                <c:pt idx="16">
                  <c:v>0.49500000000000005</c:v>
                </c:pt>
                <c:pt idx="17">
                  <c:v>0.49500000000000005</c:v>
                </c:pt>
                <c:pt idx="18">
                  <c:v>0.49500000000000005</c:v>
                </c:pt>
                <c:pt idx="19">
                  <c:v>0.49500000000000005</c:v>
                </c:pt>
                <c:pt idx="20">
                  <c:v>0.49500000000000005</c:v>
                </c:pt>
                <c:pt idx="21">
                  <c:v>0.49500000000000005</c:v>
                </c:pt>
                <c:pt idx="22">
                  <c:v>0.49500000000000005</c:v>
                </c:pt>
                <c:pt idx="23">
                  <c:v>0.49500000000000005</c:v>
                </c:pt>
                <c:pt idx="24">
                  <c:v>0.49500000000000005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7-4256-855C-74A1CE0F7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'22'!$L$6:$L$30</c:f>
              <c:numCache>
                <c:formatCode>_(* #,##0_);_(* \(#,##0\);_(* "-"_);_(@_)</c:formatCode>
                <c:ptCount val="25"/>
                <c:pt idx="0">
                  <c:v>10738</c:v>
                </c:pt>
                <c:pt idx="1">
                  <c:v>6488</c:v>
                </c:pt>
                <c:pt idx="2">
                  <c:v>3847</c:v>
                </c:pt>
                <c:pt idx="3">
                  <c:v>532</c:v>
                </c:pt>
                <c:pt idx="4">
                  <c:v>7240</c:v>
                </c:pt>
                <c:pt idx="5">
                  <c:v>12974</c:v>
                </c:pt>
                <c:pt idx="6">
                  <c:v>3596</c:v>
                </c:pt>
                <c:pt idx="7">
                  <c:v>9780</c:v>
                </c:pt>
                <c:pt idx="8">
                  <c:v>2978</c:v>
                </c:pt>
                <c:pt idx="10">
                  <c:v>19767</c:v>
                </c:pt>
                <c:pt idx="11">
                  <c:v>8622</c:v>
                </c:pt>
                <c:pt idx="12">
                  <c:v>5064</c:v>
                </c:pt>
                <c:pt idx="13">
                  <c:v>5572</c:v>
                </c:pt>
                <c:pt idx="14">
                  <c:v>11554</c:v>
                </c:pt>
                <c:pt idx="21">
                  <c:v>22760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B-4A95-B7D8-973A28636376}"/>
            </c:ext>
          </c:extLst>
        </c:ser>
        <c:ser>
          <c:idx val="1"/>
          <c:order val="1"/>
          <c:tx>
            <c:v>계획</c:v>
          </c:tx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'22'!$J$6:$J$30</c:f>
              <c:numCache>
                <c:formatCode>_(* #,##0_);_(* \(#,##0\);_(* "-"_);_(@_)</c:formatCode>
                <c:ptCount val="25"/>
                <c:pt idx="0">
                  <c:v>10738</c:v>
                </c:pt>
                <c:pt idx="1">
                  <c:v>6488</c:v>
                </c:pt>
                <c:pt idx="2">
                  <c:v>3847</c:v>
                </c:pt>
                <c:pt idx="3">
                  <c:v>532</c:v>
                </c:pt>
                <c:pt idx="4">
                  <c:v>7240</c:v>
                </c:pt>
                <c:pt idx="5">
                  <c:v>12974</c:v>
                </c:pt>
                <c:pt idx="6">
                  <c:v>3596</c:v>
                </c:pt>
                <c:pt idx="7">
                  <c:v>9780</c:v>
                </c:pt>
                <c:pt idx="8">
                  <c:v>2978</c:v>
                </c:pt>
                <c:pt idx="9">
                  <c:v>83</c:v>
                </c:pt>
                <c:pt idx="10">
                  <c:v>19767</c:v>
                </c:pt>
                <c:pt idx="11">
                  <c:v>8622</c:v>
                </c:pt>
                <c:pt idx="12">
                  <c:v>5064</c:v>
                </c:pt>
                <c:pt idx="13">
                  <c:v>5572</c:v>
                </c:pt>
                <c:pt idx="14">
                  <c:v>11554</c:v>
                </c:pt>
                <c:pt idx="15">
                  <c:v>2105</c:v>
                </c:pt>
                <c:pt idx="16">
                  <c:v>25968</c:v>
                </c:pt>
                <c:pt idx="17">
                  <c:v>0</c:v>
                </c:pt>
                <c:pt idx="18">
                  <c:v>24024</c:v>
                </c:pt>
                <c:pt idx="19">
                  <c:v>1872</c:v>
                </c:pt>
                <c:pt idx="20">
                  <c:v>189476</c:v>
                </c:pt>
                <c:pt idx="21">
                  <c:v>22760</c:v>
                </c:pt>
                <c:pt idx="22">
                  <c:v>23324</c:v>
                </c:pt>
                <c:pt idx="23">
                  <c:v>25000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B-4A95-B7D8-973A28636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'22'!$AD$6:$AD$30</c:f>
              <c:strCache>
                <c:ptCount val="25"/>
                <c:pt idx="0">
                  <c:v>100%</c:v>
                </c:pt>
                <c:pt idx="1">
                  <c:v>100%</c:v>
                </c:pt>
                <c:pt idx="2">
                  <c:v>71%</c:v>
                </c:pt>
                <c:pt idx="3">
                  <c:v>17%</c:v>
                </c:pt>
                <c:pt idx="4">
                  <c:v>71%</c:v>
                </c:pt>
                <c:pt idx="5">
                  <c:v>100%</c:v>
                </c:pt>
                <c:pt idx="6">
                  <c:v>79%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100%</c:v>
                </c:pt>
                <c:pt idx="13">
                  <c:v>96%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'22'!$AD$6:$AD$30</c:f>
              <c:numCache>
                <c:formatCode>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0.70833333333333337</c:v>
                </c:pt>
                <c:pt idx="3">
                  <c:v>0.16666666666666666</c:v>
                </c:pt>
                <c:pt idx="4">
                  <c:v>0.70833333333333337</c:v>
                </c:pt>
                <c:pt idx="5">
                  <c:v>1</c:v>
                </c:pt>
                <c:pt idx="6">
                  <c:v>0.79166666666666663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1</c:v>
                </c:pt>
                <c:pt idx="13">
                  <c:v>0.95833333333333337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1-4164-A806-7553A9252BB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81-4164-A806-7553A9252B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'22'!$AE$6:$AE$30</c:f>
              <c:numCache>
                <c:formatCode>0%</c:formatCode>
                <c:ptCount val="25"/>
                <c:pt idx="0">
                  <c:v>0.49500000000000005</c:v>
                </c:pt>
                <c:pt idx="1">
                  <c:v>0.49500000000000005</c:v>
                </c:pt>
                <c:pt idx="2">
                  <c:v>0.49500000000000005</c:v>
                </c:pt>
                <c:pt idx="3">
                  <c:v>0.49500000000000005</c:v>
                </c:pt>
                <c:pt idx="4">
                  <c:v>0.49500000000000005</c:v>
                </c:pt>
                <c:pt idx="5">
                  <c:v>0.49500000000000005</c:v>
                </c:pt>
                <c:pt idx="6">
                  <c:v>0.49500000000000005</c:v>
                </c:pt>
                <c:pt idx="7">
                  <c:v>0.49500000000000005</c:v>
                </c:pt>
                <c:pt idx="8">
                  <c:v>0.49500000000000005</c:v>
                </c:pt>
                <c:pt idx="9">
                  <c:v>0.49500000000000005</c:v>
                </c:pt>
                <c:pt idx="10">
                  <c:v>0.49500000000000005</c:v>
                </c:pt>
                <c:pt idx="11">
                  <c:v>0.49500000000000005</c:v>
                </c:pt>
                <c:pt idx="12">
                  <c:v>0.49500000000000005</c:v>
                </c:pt>
                <c:pt idx="13">
                  <c:v>0.49500000000000005</c:v>
                </c:pt>
                <c:pt idx="14">
                  <c:v>0.49500000000000005</c:v>
                </c:pt>
                <c:pt idx="15">
                  <c:v>0.49500000000000005</c:v>
                </c:pt>
                <c:pt idx="16">
                  <c:v>0.49500000000000005</c:v>
                </c:pt>
                <c:pt idx="17">
                  <c:v>0.49500000000000005</c:v>
                </c:pt>
                <c:pt idx="18">
                  <c:v>0.49500000000000005</c:v>
                </c:pt>
                <c:pt idx="19">
                  <c:v>0.49500000000000005</c:v>
                </c:pt>
                <c:pt idx="20">
                  <c:v>0.49500000000000005</c:v>
                </c:pt>
                <c:pt idx="21">
                  <c:v>0.49500000000000005</c:v>
                </c:pt>
                <c:pt idx="22">
                  <c:v>0.49500000000000005</c:v>
                </c:pt>
                <c:pt idx="23">
                  <c:v>0.49500000000000005</c:v>
                </c:pt>
                <c:pt idx="24">
                  <c:v>0.49500000000000005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1-4164-A806-7553A9252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1C1-4F25-997A-D3D0F34340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1-4F25-997A-D3D0F3434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1C1-4F25-997A-D3D0F34340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1-4F25-997A-D3D0F3434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'23'!$L$6:$L$29</c:f>
              <c:numCache>
                <c:formatCode>_(* #,##0_);_(* \(#,##0\);_(* "-"_);_(@_)</c:formatCode>
                <c:ptCount val="24"/>
                <c:pt idx="0">
                  <c:v>10698</c:v>
                </c:pt>
                <c:pt idx="1">
                  <c:v>6404</c:v>
                </c:pt>
                <c:pt idx="2">
                  <c:v>3135</c:v>
                </c:pt>
                <c:pt idx="3">
                  <c:v>2016</c:v>
                </c:pt>
                <c:pt idx="4">
                  <c:v>12804</c:v>
                </c:pt>
                <c:pt idx="5">
                  <c:v>3544</c:v>
                </c:pt>
                <c:pt idx="6">
                  <c:v>9636</c:v>
                </c:pt>
                <c:pt idx="7">
                  <c:v>11134</c:v>
                </c:pt>
                <c:pt idx="8">
                  <c:v>425</c:v>
                </c:pt>
                <c:pt idx="9">
                  <c:v>19353</c:v>
                </c:pt>
                <c:pt idx="10">
                  <c:v>11040</c:v>
                </c:pt>
                <c:pt idx="12">
                  <c:v>4393</c:v>
                </c:pt>
                <c:pt idx="13">
                  <c:v>11382</c:v>
                </c:pt>
                <c:pt idx="14">
                  <c:v>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0-450C-B466-082700A33EDF}"/>
            </c:ext>
          </c:extLst>
        </c:ser>
        <c:ser>
          <c:idx val="1"/>
          <c:order val="1"/>
          <c:tx>
            <c:v>계획</c:v>
          </c:tx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'23'!$J$6:$J$29</c:f>
              <c:numCache>
                <c:formatCode>_(* #,##0_);_(* \(#,##0\);_(* "-"_);_(@_)</c:formatCode>
                <c:ptCount val="24"/>
                <c:pt idx="0">
                  <c:v>10698</c:v>
                </c:pt>
                <c:pt idx="1">
                  <c:v>6488</c:v>
                </c:pt>
                <c:pt idx="2">
                  <c:v>3135</c:v>
                </c:pt>
                <c:pt idx="3">
                  <c:v>2016</c:v>
                </c:pt>
                <c:pt idx="4">
                  <c:v>12804</c:v>
                </c:pt>
                <c:pt idx="5">
                  <c:v>3544</c:v>
                </c:pt>
                <c:pt idx="6">
                  <c:v>9636</c:v>
                </c:pt>
                <c:pt idx="7">
                  <c:v>11134</c:v>
                </c:pt>
                <c:pt idx="8">
                  <c:v>425</c:v>
                </c:pt>
                <c:pt idx="9">
                  <c:v>19353</c:v>
                </c:pt>
                <c:pt idx="10">
                  <c:v>11040</c:v>
                </c:pt>
                <c:pt idx="11">
                  <c:v>5064</c:v>
                </c:pt>
                <c:pt idx="12">
                  <c:v>4393</c:v>
                </c:pt>
                <c:pt idx="13">
                  <c:v>11382</c:v>
                </c:pt>
                <c:pt idx="14">
                  <c:v>4347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22760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0-450C-B466-082700A33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'23'!$AD$6:$AD$29</c:f>
              <c:strCache>
                <c:ptCount val="24"/>
                <c:pt idx="0">
                  <c:v>100%</c:v>
                </c:pt>
                <c:pt idx="1">
                  <c:v>99%</c:v>
                </c:pt>
                <c:pt idx="2">
                  <c:v>58%</c:v>
                </c:pt>
                <c:pt idx="3">
                  <c:v>25%</c:v>
                </c:pt>
                <c:pt idx="4">
                  <c:v>100%</c:v>
                </c:pt>
                <c:pt idx="5">
                  <c:v>79%</c:v>
                </c:pt>
                <c:pt idx="6">
                  <c:v>100%</c:v>
                </c:pt>
                <c:pt idx="7">
                  <c:v>100%</c:v>
                </c:pt>
                <c:pt idx="8">
                  <c:v>50%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'23'!$AD$6:$AD$29</c:f>
              <c:numCache>
                <c:formatCode>0%</c:formatCode>
                <c:ptCount val="24"/>
                <c:pt idx="0">
                  <c:v>1</c:v>
                </c:pt>
                <c:pt idx="1">
                  <c:v>0.98705302096177561</c:v>
                </c:pt>
                <c:pt idx="2">
                  <c:v>0.58333333333333337</c:v>
                </c:pt>
                <c:pt idx="3">
                  <c:v>0.25</c:v>
                </c:pt>
                <c:pt idx="4">
                  <c:v>1</c:v>
                </c:pt>
                <c:pt idx="5">
                  <c:v>0.79166666666666663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8-4D87-A173-6162F9A16BC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98-4D87-A173-6162F9A16BC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'23'!$AE$6:$AE$29</c:f>
              <c:numCache>
                <c:formatCode>0%</c:formatCode>
                <c:ptCount val="24"/>
                <c:pt idx="0">
                  <c:v>0.49772443142896283</c:v>
                </c:pt>
                <c:pt idx="1">
                  <c:v>0.49772443142896283</c:v>
                </c:pt>
                <c:pt idx="2">
                  <c:v>0.49772443142896283</c:v>
                </c:pt>
                <c:pt idx="3">
                  <c:v>0.49772443142896283</c:v>
                </c:pt>
                <c:pt idx="4">
                  <c:v>0.49772443142896283</c:v>
                </c:pt>
                <c:pt idx="5">
                  <c:v>0.49772443142896283</c:v>
                </c:pt>
                <c:pt idx="6">
                  <c:v>0.49772443142896283</c:v>
                </c:pt>
                <c:pt idx="7">
                  <c:v>0.49772443142896283</c:v>
                </c:pt>
                <c:pt idx="8">
                  <c:v>0.49772443142896283</c:v>
                </c:pt>
                <c:pt idx="9">
                  <c:v>0.49772443142896283</c:v>
                </c:pt>
                <c:pt idx="10">
                  <c:v>0.49772443142896283</c:v>
                </c:pt>
                <c:pt idx="11">
                  <c:v>0.49772443142896283</c:v>
                </c:pt>
                <c:pt idx="12">
                  <c:v>0.49772443142896283</c:v>
                </c:pt>
                <c:pt idx="13">
                  <c:v>0.49772443142896283</c:v>
                </c:pt>
                <c:pt idx="14">
                  <c:v>0.49772443142896283</c:v>
                </c:pt>
                <c:pt idx="15">
                  <c:v>0.49772443142896283</c:v>
                </c:pt>
                <c:pt idx="16">
                  <c:v>0.49772443142896283</c:v>
                </c:pt>
                <c:pt idx="17">
                  <c:v>0.49772443142896283</c:v>
                </c:pt>
                <c:pt idx="18">
                  <c:v>0.49772443142896283</c:v>
                </c:pt>
                <c:pt idx="19">
                  <c:v>0.49772443142896283</c:v>
                </c:pt>
                <c:pt idx="20">
                  <c:v>0.49772443142896283</c:v>
                </c:pt>
                <c:pt idx="21">
                  <c:v>0.49772443142896283</c:v>
                </c:pt>
                <c:pt idx="22">
                  <c:v>0.49772443142896283</c:v>
                </c:pt>
                <c:pt idx="23">
                  <c:v>0.49772443142896283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8-4D87-A173-6162F9A16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'23'!$L$6:$L$29</c:f>
              <c:numCache>
                <c:formatCode>_(* #,##0_);_(* \(#,##0\);_(* "-"_);_(@_)</c:formatCode>
                <c:ptCount val="24"/>
                <c:pt idx="0">
                  <c:v>10698</c:v>
                </c:pt>
                <c:pt idx="1">
                  <c:v>6404</c:v>
                </c:pt>
                <c:pt idx="2">
                  <c:v>3135</c:v>
                </c:pt>
                <c:pt idx="3">
                  <c:v>2016</c:v>
                </c:pt>
                <c:pt idx="4">
                  <c:v>12804</c:v>
                </c:pt>
                <c:pt idx="5">
                  <c:v>3544</c:v>
                </c:pt>
                <c:pt idx="6">
                  <c:v>9636</c:v>
                </c:pt>
                <c:pt idx="7">
                  <c:v>11134</c:v>
                </c:pt>
                <c:pt idx="8">
                  <c:v>425</c:v>
                </c:pt>
                <c:pt idx="9">
                  <c:v>19353</c:v>
                </c:pt>
                <c:pt idx="10">
                  <c:v>11040</c:v>
                </c:pt>
                <c:pt idx="12">
                  <c:v>4393</c:v>
                </c:pt>
                <c:pt idx="13">
                  <c:v>11382</c:v>
                </c:pt>
                <c:pt idx="14">
                  <c:v>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A-403F-925C-92C6BD533489}"/>
            </c:ext>
          </c:extLst>
        </c:ser>
        <c:ser>
          <c:idx val="1"/>
          <c:order val="1"/>
          <c:tx>
            <c:v>계획</c:v>
          </c:tx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'23'!$J$6:$J$29</c:f>
              <c:numCache>
                <c:formatCode>_(* #,##0_);_(* \(#,##0\);_(* "-"_);_(@_)</c:formatCode>
                <c:ptCount val="24"/>
                <c:pt idx="0">
                  <c:v>10698</c:v>
                </c:pt>
                <c:pt idx="1">
                  <c:v>6488</c:v>
                </c:pt>
                <c:pt idx="2">
                  <c:v>3135</c:v>
                </c:pt>
                <c:pt idx="3">
                  <c:v>2016</c:v>
                </c:pt>
                <c:pt idx="4">
                  <c:v>12804</c:v>
                </c:pt>
                <c:pt idx="5">
                  <c:v>3544</c:v>
                </c:pt>
                <c:pt idx="6">
                  <c:v>9636</c:v>
                </c:pt>
                <c:pt idx="7">
                  <c:v>11134</c:v>
                </c:pt>
                <c:pt idx="8">
                  <c:v>425</c:v>
                </c:pt>
                <c:pt idx="9">
                  <c:v>19353</c:v>
                </c:pt>
                <c:pt idx="10">
                  <c:v>11040</c:v>
                </c:pt>
                <c:pt idx="11">
                  <c:v>5064</c:v>
                </c:pt>
                <c:pt idx="12">
                  <c:v>4393</c:v>
                </c:pt>
                <c:pt idx="13">
                  <c:v>11382</c:v>
                </c:pt>
                <c:pt idx="14">
                  <c:v>4347</c:v>
                </c:pt>
                <c:pt idx="15">
                  <c:v>25968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22760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A-403F-925C-92C6BD53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'23'!$AD$6:$AD$29</c:f>
              <c:strCache>
                <c:ptCount val="24"/>
                <c:pt idx="0">
                  <c:v>100%</c:v>
                </c:pt>
                <c:pt idx="1">
                  <c:v>99%</c:v>
                </c:pt>
                <c:pt idx="2">
                  <c:v>58%</c:v>
                </c:pt>
                <c:pt idx="3">
                  <c:v>25%</c:v>
                </c:pt>
                <c:pt idx="4">
                  <c:v>100%</c:v>
                </c:pt>
                <c:pt idx="5">
                  <c:v>79%</c:v>
                </c:pt>
                <c:pt idx="6">
                  <c:v>100%</c:v>
                </c:pt>
                <c:pt idx="7">
                  <c:v>100%</c:v>
                </c:pt>
                <c:pt idx="8">
                  <c:v>50%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'23'!$AD$6:$AD$29</c:f>
              <c:numCache>
                <c:formatCode>0%</c:formatCode>
                <c:ptCount val="24"/>
                <c:pt idx="0">
                  <c:v>1</c:v>
                </c:pt>
                <c:pt idx="1">
                  <c:v>0.98705302096177561</c:v>
                </c:pt>
                <c:pt idx="2">
                  <c:v>0.58333333333333337</c:v>
                </c:pt>
                <c:pt idx="3">
                  <c:v>0.25</c:v>
                </c:pt>
                <c:pt idx="4">
                  <c:v>1</c:v>
                </c:pt>
                <c:pt idx="5">
                  <c:v>0.79166666666666663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4-42F5-A23A-DC632F4419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84-42F5-A23A-DC632F4419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3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ACTUATOR</c:v>
                </c:pt>
                <c:pt idx="12">
                  <c:v>COVER</c:v>
                </c:pt>
                <c:pt idx="13">
                  <c:v>STOPPER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'23'!$AE$6:$AE$29</c:f>
              <c:numCache>
                <c:formatCode>0%</c:formatCode>
                <c:ptCount val="24"/>
                <c:pt idx="0">
                  <c:v>0.49772443142896283</c:v>
                </c:pt>
                <c:pt idx="1">
                  <c:v>0.49772443142896283</c:v>
                </c:pt>
                <c:pt idx="2">
                  <c:v>0.49772443142896283</c:v>
                </c:pt>
                <c:pt idx="3">
                  <c:v>0.49772443142896283</c:v>
                </c:pt>
                <c:pt idx="4">
                  <c:v>0.49772443142896283</c:v>
                </c:pt>
                <c:pt idx="5">
                  <c:v>0.49772443142896283</c:v>
                </c:pt>
                <c:pt idx="6">
                  <c:v>0.49772443142896283</c:v>
                </c:pt>
                <c:pt idx="7">
                  <c:v>0.49772443142896283</c:v>
                </c:pt>
                <c:pt idx="8">
                  <c:v>0.49772443142896283</c:v>
                </c:pt>
                <c:pt idx="9">
                  <c:v>0.49772443142896283</c:v>
                </c:pt>
                <c:pt idx="10">
                  <c:v>0.49772443142896283</c:v>
                </c:pt>
                <c:pt idx="11">
                  <c:v>0.49772443142896283</c:v>
                </c:pt>
                <c:pt idx="12">
                  <c:v>0.49772443142896283</c:v>
                </c:pt>
                <c:pt idx="13">
                  <c:v>0.49772443142896283</c:v>
                </c:pt>
                <c:pt idx="14">
                  <c:v>0.49772443142896283</c:v>
                </c:pt>
                <c:pt idx="15">
                  <c:v>0.49772443142896283</c:v>
                </c:pt>
                <c:pt idx="16">
                  <c:v>0.49772443142896283</c:v>
                </c:pt>
                <c:pt idx="17">
                  <c:v>0.49772443142896283</c:v>
                </c:pt>
                <c:pt idx="18">
                  <c:v>0.49772443142896283</c:v>
                </c:pt>
                <c:pt idx="19">
                  <c:v>0.49772443142896283</c:v>
                </c:pt>
                <c:pt idx="20">
                  <c:v>0.49772443142896283</c:v>
                </c:pt>
                <c:pt idx="21">
                  <c:v>0.49772443142896283</c:v>
                </c:pt>
                <c:pt idx="22">
                  <c:v>0.49772443142896283</c:v>
                </c:pt>
                <c:pt idx="23">
                  <c:v>0.49772443142896283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84-42F5-A23A-DC632F441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3FE-456B-8C97-2167262E7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E-456B-8C97-2167262E7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3FE-456B-8C97-2167262E76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FE-456B-8C97-2167262E7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'24'!$L$6:$L$30</c:f>
              <c:numCache>
                <c:formatCode>_(* #,##0_);_(* \(#,##0\);_(* "-"_);_(@_)</c:formatCode>
                <c:ptCount val="25"/>
                <c:pt idx="0">
                  <c:v>9744</c:v>
                </c:pt>
                <c:pt idx="1">
                  <c:v>6009</c:v>
                </c:pt>
                <c:pt idx="2">
                  <c:v>5932</c:v>
                </c:pt>
                <c:pt idx="3">
                  <c:v>5204</c:v>
                </c:pt>
                <c:pt idx="4">
                  <c:v>12060</c:v>
                </c:pt>
                <c:pt idx="5">
                  <c:v>338</c:v>
                </c:pt>
                <c:pt idx="6">
                  <c:v>6900</c:v>
                </c:pt>
                <c:pt idx="7">
                  <c:v>9016</c:v>
                </c:pt>
                <c:pt idx="8">
                  <c:v>10824</c:v>
                </c:pt>
                <c:pt idx="9">
                  <c:v>1833</c:v>
                </c:pt>
                <c:pt idx="10">
                  <c:v>16944</c:v>
                </c:pt>
                <c:pt idx="11">
                  <c:v>10332</c:v>
                </c:pt>
                <c:pt idx="13">
                  <c:v>7014</c:v>
                </c:pt>
                <c:pt idx="14">
                  <c:v>10228</c:v>
                </c:pt>
                <c:pt idx="15">
                  <c:v>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2-4A83-8755-50408C3C2391}"/>
            </c:ext>
          </c:extLst>
        </c:ser>
        <c:ser>
          <c:idx val="1"/>
          <c:order val="1"/>
          <c:tx>
            <c:v>계획</c:v>
          </c:tx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'24'!$J$6:$J$30</c:f>
              <c:numCache>
                <c:formatCode>_(* #,##0_);_(* \(#,##0\);_(* "-"_);_(@_)</c:formatCode>
                <c:ptCount val="25"/>
                <c:pt idx="0">
                  <c:v>9744</c:v>
                </c:pt>
                <c:pt idx="1">
                  <c:v>6009</c:v>
                </c:pt>
                <c:pt idx="2">
                  <c:v>5932</c:v>
                </c:pt>
                <c:pt idx="3">
                  <c:v>5204</c:v>
                </c:pt>
                <c:pt idx="4">
                  <c:v>12060</c:v>
                </c:pt>
                <c:pt idx="5">
                  <c:v>338</c:v>
                </c:pt>
                <c:pt idx="6">
                  <c:v>6900</c:v>
                </c:pt>
                <c:pt idx="7">
                  <c:v>9016</c:v>
                </c:pt>
                <c:pt idx="8">
                  <c:v>10824</c:v>
                </c:pt>
                <c:pt idx="9">
                  <c:v>1833</c:v>
                </c:pt>
                <c:pt idx="10">
                  <c:v>16944</c:v>
                </c:pt>
                <c:pt idx="11">
                  <c:v>10332</c:v>
                </c:pt>
                <c:pt idx="12">
                  <c:v>5064</c:v>
                </c:pt>
                <c:pt idx="13">
                  <c:v>7014</c:v>
                </c:pt>
                <c:pt idx="14">
                  <c:v>10228</c:v>
                </c:pt>
                <c:pt idx="15">
                  <c:v>5077</c:v>
                </c:pt>
                <c:pt idx="16">
                  <c:v>25968</c:v>
                </c:pt>
                <c:pt idx="17">
                  <c:v>0</c:v>
                </c:pt>
                <c:pt idx="18">
                  <c:v>24024</c:v>
                </c:pt>
                <c:pt idx="19">
                  <c:v>1872</c:v>
                </c:pt>
                <c:pt idx="20">
                  <c:v>189476</c:v>
                </c:pt>
                <c:pt idx="21">
                  <c:v>22760</c:v>
                </c:pt>
                <c:pt idx="22">
                  <c:v>23324</c:v>
                </c:pt>
                <c:pt idx="23">
                  <c:v>25000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2-4A83-8755-50408C3C2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'24'!$AD$6:$AD$30</c:f>
              <c:strCache>
                <c:ptCount val="25"/>
                <c:pt idx="0">
                  <c:v>100%</c:v>
                </c:pt>
                <c:pt idx="1">
                  <c:v>100%</c:v>
                </c:pt>
                <c:pt idx="2">
                  <c:v>71%</c:v>
                </c:pt>
                <c:pt idx="3">
                  <c:v>100%</c:v>
                </c:pt>
                <c:pt idx="4">
                  <c:v>100%</c:v>
                </c:pt>
                <c:pt idx="5">
                  <c:v>13%</c:v>
                </c:pt>
                <c:pt idx="6">
                  <c:v>75%</c:v>
                </c:pt>
                <c:pt idx="7">
                  <c:v>100%</c:v>
                </c:pt>
                <c:pt idx="8">
                  <c:v>100%</c:v>
                </c:pt>
                <c:pt idx="9">
                  <c:v>63%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83%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'24'!$AD$6:$AD$30</c:f>
              <c:numCache>
                <c:formatCode>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0.70833333333333337</c:v>
                </c:pt>
                <c:pt idx="3">
                  <c:v>1</c:v>
                </c:pt>
                <c:pt idx="4">
                  <c:v>1</c:v>
                </c:pt>
                <c:pt idx="5">
                  <c:v>0.125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0.625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9-415C-BA14-40AAB40C6F4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29-415C-BA14-40AAB40C6F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'24'!$AE$6:$AE$30</c:f>
              <c:numCache>
                <c:formatCode>0%</c:formatCode>
                <c:ptCount val="25"/>
                <c:pt idx="0">
                  <c:v>0.52166666666666672</c:v>
                </c:pt>
                <c:pt idx="1">
                  <c:v>0.52166666666666672</c:v>
                </c:pt>
                <c:pt idx="2">
                  <c:v>0.52166666666666672</c:v>
                </c:pt>
                <c:pt idx="3">
                  <c:v>0.52166666666666672</c:v>
                </c:pt>
                <c:pt idx="4">
                  <c:v>0.52166666666666672</c:v>
                </c:pt>
                <c:pt idx="5">
                  <c:v>0.52166666666666672</c:v>
                </c:pt>
                <c:pt idx="6">
                  <c:v>0.52166666666666672</c:v>
                </c:pt>
                <c:pt idx="7">
                  <c:v>0.52166666666666672</c:v>
                </c:pt>
                <c:pt idx="8">
                  <c:v>0.52166666666666672</c:v>
                </c:pt>
                <c:pt idx="9">
                  <c:v>0.52166666666666672</c:v>
                </c:pt>
                <c:pt idx="10">
                  <c:v>0.52166666666666672</c:v>
                </c:pt>
                <c:pt idx="11">
                  <c:v>0.52166666666666672</c:v>
                </c:pt>
                <c:pt idx="12">
                  <c:v>0.52166666666666672</c:v>
                </c:pt>
                <c:pt idx="13">
                  <c:v>0.52166666666666672</c:v>
                </c:pt>
                <c:pt idx="14">
                  <c:v>0.52166666666666672</c:v>
                </c:pt>
                <c:pt idx="15">
                  <c:v>0.52166666666666672</c:v>
                </c:pt>
                <c:pt idx="16">
                  <c:v>0.52166666666666672</c:v>
                </c:pt>
                <c:pt idx="17">
                  <c:v>0.52166666666666672</c:v>
                </c:pt>
                <c:pt idx="18">
                  <c:v>0.52166666666666672</c:v>
                </c:pt>
                <c:pt idx="19">
                  <c:v>0.52166666666666672</c:v>
                </c:pt>
                <c:pt idx="20">
                  <c:v>0.52166666666666672</c:v>
                </c:pt>
                <c:pt idx="21">
                  <c:v>0.52166666666666672</c:v>
                </c:pt>
                <c:pt idx="22">
                  <c:v>0.52166666666666672</c:v>
                </c:pt>
                <c:pt idx="23">
                  <c:v>0.52166666666666672</c:v>
                </c:pt>
                <c:pt idx="24">
                  <c:v>0.52166666666666672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29-415C-BA14-40AAB40C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'24'!$L$6:$L$30</c:f>
              <c:numCache>
                <c:formatCode>_(* #,##0_);_(* \(#,##0\);_(* "-"_);_(@_)</c:formatCode>
                <c:ptCount val="25"/>
                <c:pt idx="0">
                  <c:v>9744</c:v>
                </c:pt>
                <c:pt idx="1">
                  <c:v>6009</c:v>
                </c:pt>
                <c:pt idx="2">
                  <c:v>5932</c:v>
                </c:pt>
                <c:pt idx="3">
                  <c:v>5204</c:v>
                </c:pt>
                <c:pt idx="4">
                  <c:v>12060</c:v>
                </c:pt>
                <c:pt idx="5">
                  <c:v>338</c:v>
                </c:pt>
                <c:pt idx="6">
                  <c:v>6900</c:v>
                </c:pt>
                <c:pt idx="7">
                  <c:v>9016</c:v>
                </c:pt>
                <c:pt idx="8">
                  <c:v>10824</c:v>
                </c:pt>
                <c:pt idx="9">
                  <c:v>1833</c:v>
                </c:pt>
                <c:pt idx="10">
                  <c:v>16944</c:v>
                </c:pt>
                <c:pt idx="11">
                  <c:v>10332</c:v>
                </c:pt>
                <c:pt idx="13">
                  <c:v>7014</c:v>
                </c:pt>
                <c:pt idx="14">
                  <c:v>10228</c:v>
                </c:pt>
                <c:pt idx="15">
                  <c:v>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8-4370-8002-BB63F28B287B}"/>
            </c:ext>
          </c:extLst>
        </c:ser>
        <c:ser>
          <c:idx val="1"/>
          <c:order val="1"/>
          <c:tx>
            <c:v>계획</c:v>
          </c:tx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'24'!$J$6:$J$30</c:f>
              <c:numCache>
                <c:formatCode>_(* #,##0_);_(* \(#,##0\);_(* "-"_);_(@_)</c:formatCode>
                <c:ptCount val="25"/>
                <c:pt idx="0">
                  <c:v>9744</c:v>
                </c:pt>
                <c:pt idx="1">
                  <c:v>6009</c:v>
                </c:pt>
                <c:pt idx="2">
                  <c:v>5932</c:v>
                </c:pt>
                <c:pt idx="3">
                  <c:v>5204</c:v>
                </c:pt>
                <c:pt idx="4">
                  <c:v>12060</c:v>
                </c:pt>
                <c:pt idx="5">
                  <c:v>338</c:v>
                </c:pt>
                <c:pt idx="6">
                  <c:v>6900</c:v>
                </c:pt>
                <c:pt idx="7">
                  <c:v>9016</c:v>
                </c:pt>
                <c:pt idx="8">
                  <c:v>10824</c:v>
                </c:pt>
                <c:pt idx="9">
                  <c:v>1833</c:v>
                </c:pt>
                <c:pt idx="10">
                  <c:v>16944</c:v>
                </c:pt>
                <c:pt idx="11">
                  <c:v>10332</c:v>
                </c:pt>
                <c:pt idx="12">
                  <c:v>5064</c:v>
                </c:pt>
                <c:pt idx="13">
                  <c:v>7014</c:v>
                </c:pt>
                <c:pt idx="14">
                  <c:v>10228</c:v>
                </c:pt>
                <c:pt idx="15">
                  <c:v>5077</c:v>
                </c:pt>
                <c:pt idx="16">
                  <c:v>25968</c:v>
                </c:pt>
                <c:pt idx="17">
                  <c:v>0</c:v>
                </c:pt>
                <c:pt idx="18">
                  <c:v>24024</c:v>
                </c:pt>
                <c:pt idx="19">
                  <c:v>1872</c:v>
                </c:pt>
                <c:pt idx="20">
                  <c:v>189476</c:v>
                </c:pt>
                <c:pt idx="21">
                  <c:v>22760</c:v>
                </c:pt>
                <c:pt idx="22">
                  <c:v>23324</c:v>
                </c:pt>
                <c:pt idx="23">
                  <c:v>25000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8-4370-8002-BB63F28B2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'24'!$AD$6:$AD$30</c:f>
              <c:strCache>
                <c:ptCount val="25"/>
                <c:pt idx="0">
                  <c:v>100%</c:v>
                </c:pt>
                <c:pt idx="1">
                  <c:v>100%</c:v>
                </c:pt>
                <c:pt idx="2">
                  <c:v>71%</c:v>
                </c:pt>
                <c:pt idx="3">
                  <c:v>100%</c:v>
                </c:pt>
                <c:pt idx="4">
                  <c:v>100%</c:v>
                </c:pt>
                <c:pt idx="5">
                  <c:v>13%</c:v>
                </c:pt>
                <c:pt idx="6">
                  <c:v>75%</c:v>
                </c:pt>
                <c:pt idx="7">
                  <c:v>100%</c:v>
                </c:pt>
                <c:pt idx="8">
                  <c:v>100%</c:v>
                </c:pt>
                <c:pt idx="9">
                  <c:v>63%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83%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'24'!$AD$6:$AD$30</c:f>
              <c:numCache>
                <c:formatCode>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0.70833333333333337</c:v>
                </c:pt>
                <c:pt idx="3">
                  <c:v>1</c:v>
                </c:pt>
                <c:pt idx="4">
                  <c:v>1</c:v>
                </c:pt>
                <c:pt idx="5">
                  <c:v>0.125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0.625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2-4B40-9F46-8D54CD235B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A2-4B40-9F46-8D54CD235B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'24'!$D$6:$D$30</c:f>
              <c:strCache>
                <c:ptCount val="24"/>
                <c:pt idx="0">
                  <c:v>SLIDER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U BASE</c:v>
                </c:pt>
                <c:pt idx="10">
                  <c:v>24V</c:v>
                </c:pt>
                <c:pt idx="11">
                  <c:v>ACTUATOR</c:v>
                </c:pt>
                <c:pt idx="13">
                  <c:v>COVER</c:v>
                </c:pt>
                <c:pt idx="14">
                  <c:v>STOPPER</c:v>
                </c:pt>
                <c:pt idx="15">
                  <c:v>STOPPER</c:v>
                </c:pt>
                <c:pt idx="18">
                  <c:v>SEPARATOR</c:v>
                </c:pt>
                <c:pt idx="19">
                  <c:v>BASE</c:v>
                </c:pt>
                <c:pt idx="21">
                  <c:v>BASE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'24'!$AE$6:$AE$30</c:f>
              <c:numCache>
                <c:formatCode>0%</c:formatCode>
                <c:ptCount val="25"/>
                <c:pt idx="0">
                  <c:v>0.52166666666666672</c:v>
                </c:pt>
                <c:pt idx="1">
                  <c:v>0.52166666666666672</c:v>
                </c:pt>
                <c:pt idx="2">
                  <c:v>0.52166666666666672</c:v>
                </c:pt>
                <c:pt idx="3">
                  <c:v>0.52166666666666672</c:v>
                </c:pt>
                <c:pt idx="4">
                  <c:v>0.52166666666666672</c:v>
                </c:pt>
                <c:pt idx="5">
                  <c:v>0.52166666666666672</c:v>
                </c:pt>
                <c:pt idx="6">
                  <c:v>0.52166666666666672</c:v>
                </c:pt>
                <c:pt idx="7">
                  <c:v>0.52166666666666672</c:v>
                </c:pt>
                <c:pt idx="8">
                  <c:v>0.52166666666666672</c:v>
                </c:pt>
                <c:pt idx="9">
                  <c:v>0.52166666666666672</c:v>
                </c:pt>
                <c:pt idx="10">
                  <c:v>0.52166666666666672</c:v>
                </c:pt>
                <c:pt idx="11">
                  <c:v>0.52166666666666672</c:v>
                </c:pt>
                <c:pt idx="12">
                  <c:v>0.52166666666666672</c:v>
                </c:pt>
                <c:pt idx="13">
                  <c:v>0.52166666666666672</c:v>
                </c:pt>
                <c:pt idx="14">
                  <c:v>0.52166666666666672</c:v>
                </c:pt>
                <c:pt idx="15">
                  <c:v>0.52166666666666672</c:v>
                </c:pt>
                <c:pt idx="16">
                  <c:v>0.52166666666666672</c:v>
                </c:pt>
                <c:pt idx="17">
                  <c:v>0.52166666666666672</c:v>
                </c:pt>
                <c:pt idx="18">
                  <c:v>0.52166666666666672</c:v>
                </c:pt>
                <c:pt idx="19">
                  <c:v>0.52166666666666672</c:v>
                </c:pt>
                <c:pt idx="20">
                  <c:v>0.52166666666666672</c:v>
                </c:pt>
                <c:pt idx="21">
                  <c:v>0.52166666666666672</c:v>
                </c:pt>
                <c:pt idx="22">
                  <c:v>0.52166666666666672</c:v>
                </c:pt>
                <c:pt idx="23">
                  <c:v>0.52166666666666672</c:v>
                </c:pt>
                <c:pt idx="24">
                  <c:v>0.52166666666666672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2-4B40-9F46-8D54CD235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349-48B8-9829-426CA37FD0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9-48B8-9829-426CA37FD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349-48B8-9829-426CA37FD0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49-48B8-9829-426CA37FD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'27'!$L$6:$L$29</c:f>
              <c:numCache>
                <c:formatCode>_(* #,##0_);_(* \(#,##0\);_(* "-"_);_(@_)</c:formatCode>
                <c:ptCount val="24"/>
                <c:pt idx="0">
                  <c:v>13484</c:v>
                </c:pt>
                <c:pt idx="1">
                  <c:v>6055</c:v>
                </c:pt>
                <c:pt idx="2">
                  <c:v>3009</c:v>
                </c:pt>
                <c:pt idx="3">
                  <c:v>5759</c:v>
                </c:pt>
                <c:pt idx="4">
                  <c:v>12144</c:v>
                </c:pt>
                <c:pt idx="5">
                  <c:v>10302</c:v>
                </c:pt>
                <c:pt idx="6">
                  <c:v>9380</c:v>
                </c:pt>
                <c:pt idx="7">
                  <c:v>11094</c:v>
                </c:pt>
                <c:pt idx="8">
                  <c:v>329</c:v>
                </c:pt>
                <c:pt idx="9">
                  <c:v>0</c:v>
                </c:pt>
                <c:pt idx="10">
                  <c:v>5416</c:v>
                </c:pt>
                <c:pt idx="12">
                  <c:v>3016</c:v>
                </c:pt>
                <c:pt idx="13">
                  <c:v>21576</c:v>
                </c:pt>
                <c:pt idx="14">
                  <c:v>2902</c:v>
                </c:pt>
                <c:pt idx="15">
                  <c:v>42564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C-4630-92D7-5B15964DD8E6}"/>
            </c:ext>
          </c:extLst>
        </c:ser>
        <c:ser>
          <c:idx val="1"/>
          <c:order val="1"/>
          <c:tx>
            <c:v>계획</c:v>
          </c:tx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'27'!$J$6:$J$29</c:f>
              <c:numCache>
                <c:formatCode>_(* #,##0_);_(* \(#,##0\);_(* "-"_);_(@_)</c:formatCode>
                <c:ptCount val="24"/>
                <c:pt idx="0">
                  <c:v>13484</c:v>
                </c:pt>
                <c:pt idx="1">
                  <c:v>6055</c:v>
                </c:pt>
                <c:pt idx="2">
                  <c:v>3009</c:v>
                </c:pt>
                <c:pt idx="3">
                  <c:v>5759</c:v>
                </c:pt>
                <c:pt idx="4">
                  <c:v>12144</c:v>
                </c:pt>
                <c:pt idx="5">
                  <c:v>10302</c:v>
                </c:pt>
                <c:pt idx="6">
                  <c:v>9380</c:v>
                </c:pt>
                <c:pt idx="7">
                  <c:v>11094</c:v>
                </c:pt>
                <c:pt idx="8">
                  <c:v>329</c:v>
                </c:pt>
                <c:pt idx="9">
                  <c:v>16944</c:v>
                </c:pt>
                <c:pt idx="10">
                  <c:v>5416</c:v>
                </c:pt>
                <c:pt idx="11">
                  <c:v>5064</c:v>
                </c:pt>
                <c:pt idx="12">
                  <c:v>3016</c:v>
                </c:pt>
                <c:pt idx="13">
                  <c:v>21576</c:v>
                </c:pt>
                <c:pt idx="14">
                  <c:v>2902</c:v>
                </c:pt>
                <c:pt idx="15">
                  <c:v>42564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22760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C-4630-92D7-5B15964DD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'27'!$AD$6:$AD$29</c:f>
              <c:strCache>
                <c:ptCount val="24"/>
                <c:pt idx="0">
                  <c:v>71%</c:v>
                </c:pt>
                <c:pt idx="1">
                  <c:v>100%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21%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100%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'27'!$AD$6:$AD$29</c:f>
              <c:numCache>
                <c:formatCode>0%</c:formatCode>
                <c:ptCount val="24"/>
                <c:pt idx="0">
                  <c:v>0.70833333333333337</c:v>
                </c:pt>
                <c:pt idx="1">
                  <c:v>1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0.20833333333333334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1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6-4E86-917F-68A9233CA4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46-4E86-917F-68A9233CA4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'27'!$AE$6:$AE$29</c:f>
              <c:numCache>
                <c:formatCode>0%</c:formatCode>
                <c:ptCount val="24"/>
                <c:pt idx="0">
                  <c:v>0.49999999999999994</c:v>
                </c:pt>
                <c:pt idx="1">
                  <c:v>0.49999999999999994</c:v>
                </c:pt>
                <c:pt idx="2">
                  <c:v>0.49999999999999994</c:v>
                </c:pt>
                <c:pt idx="3">
                  <c:v>0.49999999999999994</c:v>
                </c:pt>
                <c:pt idx="4">
                  <c:v>0.49999999999999994</c:v>
                </c:pt>
                <c:pt idx="5">
                  <c:v>0.49999999999999994</c:v>
                </c:pt>
                <c:pt idx="6">
                  <c:v>0.49999999999999994</c:v>
                </c:pt>
                <c:pt idx="7">
                  <c:v>0.49999999999999994</c:v>
                </c:pt>
                <c:pt idx="8">
                  <c:v>0.49999999999999994</c:v>
                </c:pt>
                <c:pt idx="9">
                  <c:v>0.49999999999999994</c:v>
                </c:pt>
                <c:pt idx="10">
                  <c:v>0.49999999999999994</c:v>
                </c:pt>
                <c:pt idx="11">
                  <c:v>0.49999999999999994</c:v>
                </c:pt>
                <c:pt idx="12">
                  <c:v>0.49999999999999994</c:v>
                </c:pt>
                <c:pt idx="13">
                  <c:v>0.49999999999999994</c:v>
                </c:pt>
                <c:pt idx="14">
                  <c:v>0.49999999999999994</c:v>
                </c:pt>
                <c:pt idx="15">
                  <c:v>0.49999999999999994</c:v>
                </c:pt>
                <c:pt idx="16">
                  <c:v>0.49999999999999994</c:v>
                </c:pt>
                <c:pt idx="17">
                  <c:v>0.49999999999999994</c:v>
                </c:pt>
                <c:pt idx="18">
                  <c:v>0.49999999999999994</c:v>
                </c:pt>
                <c:pt idx="19">
                  <c:v>0.49999999999999994</c:v>
                </c:pt>
                <c:pt idx="20">
                  <c:v>0.49999999999999994</c:v>
                </c:pt>
                <c:pt idx="21">
                  <c:v>0.49999999999999994</c:v>
                </c:pt>
                <c:pt idx="22">
                  <c:v>0.49999999999999994</c:v>
                </c:pt>
                <c:pt idx="23">
                  <c:v>0.49999999999999994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46-4E86-917F-68A9233C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'27'!$L$6:$L$29</c:f>
              <c:numCache>
                <c:formatCode>_(* #,##0_);_(* \(#,##0\);_(* "-"_);_(@_)</c:formatCode>
                <c:ptCount val="24"/>
                <c:pt idx="0">
                  <c:v>13484</c:v>
                </c:pt>
                <c:pt idx="1">
                  <c:v>6055</c:v>
                </c:pt>
                <c:pt idx="2">
                  <c:v>3009</c:v>
                </c:pt>
                <c:pt idx="3">
                  <c:v>5759</c:v>
                </c:pt>
                <c:pt idx="4">
                  <c:v>12144</c:v>
                </c:pt>
                <c:pt idx="5">
                  <c:v>10302</c:v>
                </c:pt>
                <c:pt idx="6">
                  <c:v>9380</c:v>
                </c:pt>
                <c:pt idx="7">
                  <c:v>11094</c:v>
                </c:pt>
                <c:pt idx="8">
                  <c:v>329</c:v>
                </c:pt>
                <c:pt idx="9">
                  <c:v>0</c:v>
                </c:pt>
                <c:pt idx="10">
                  <c:v>5416</c:v>
                </c:pt>
                <c:pt idx="12">
                  <c:v>3016</c:v>
                </c:pt>
                <c:pt idx="13">
                  <c:v>21576</c:v>
                </c:pt>
                <c:pt idx="14">
                  <c:v>2902</c:v>
                </c:pt>
                <c:pt idx="15">
                  <c:v>42564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5B7-AEA9-B2BC784238AD}"/>
            </c:ext>
          </c:extLst>
        </c:ser>
        <c:ser>
          <c:idx val="1"/>
          <c:order val="1"/>
          <c:tx>
            <c:v>계획</c:v>
          </c:tx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'27'!$J$6:$J$29</c:f>
              <c:numCache>
                <c:formatCode>_(* #,##0_);_(* \(#,##0\);_(* "-"_);_(@_)</c:formatCode>
                <c:ptCount val="24"/>
                <c:pt idx="0">
                  <c:v>13484</c:v>
                </c:pt>
                <c:pt idx="1">
                  <c:v>6055</c:v>
                </c:pt>
                <c:pt idx="2">
                  <c:v>3009</c:v>
                </c:pt>
                <c:pt idx="3">
                  <c:v>5759</c:v>
                </c:pt>
                <c:pt idx="4">
                  <c:v>12144</c:v>
                </c:pt>
                <c:pt idx="5">
                  <c:v>10302</c:v>
                </c:pt>
                <c:pt idx="6">
                  <c:v>9380</c:v>
                </c:pt>
                <c:pt idx="7">
                  <c:v>11094</c:v>
                </c:pt>
                <c:pt idx="8">
                  <c:v>329</c:v>
                </c:pt>
                <c:pt idx="9">
                  <c:v>16944</c:v>
                </c:pt>
                <c:pt idx="10">
                  <c:v>5416</c:v>
                </c:pt>
                <c:pt idx="11">
                  <c:v>5064</c:v>
                </c:pt>
                <c:pt idx="12">
                  <c:v>3016</c:v>
                </c:pt>
                <c:pt idx="13">
                  <c:v>21576</c:v>
                </c:pt>
                <c:pt idx="14">
                  <c:v>2902</c:v>
                </c:pt>
                <c:pt idx="15">
                  <c:v>42564</c:v>
                </c:pt>
                <c:pt idx="16">
                  <c:v>0</c:v>
                </c:pt>
                <c:pt idx="17">
                  <c:v>24024</c:v>
                </c:pt>
                <c:pt idx="18">
                  <c:v>1872</c:v>
                </c:pt>
                <c:pt idx="19">
                  <c:v>189476</c:v>
                </c:pt>
                <c:pt idx="20">
                  <c:v>22760</c:v>
                </c:pt>
                <c:pt idx="21">
                  <c:v>23324</c:v>
                </c:pt>
                <c:pt idx="22">
                  <c:v>25000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5B7-AEA9-B2BC78423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'27'!$AD$6:$AD$29</c:f>
              <c:strCache>
                <c:ptCount val="24"/>
                <c:pt idx="0">
                  <c:v>71%</c:v>
                </c:pt>
                <c:pt idx="1">
                  <c:v>100%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21%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100%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'27'!$AD$6:$AD$29</c:f>
              <c:numCache>
                <c:formatCode>0%</c:formatCode>
                <c:ptCount val="24"/>
                <c:pt idx="0">
                  <c:v>0.70833333333333337</c:v>
                </c:pt>
                <c:pt idx="1">
                  <c:v>1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0.20833333333333334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1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C-4734-9BDE-132C38BE96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CC-4734-9BDE-132C38BE96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3">
                  <c:v>ACTUATOR</c:v>
                </c:pt>
                <c:pt idx="14">
                  <c:v>STOPPER</c:v>
                </c:pt>
                <c:pt idx="17">
                  <c:v>SEPARATOR</c:v>
                </c:pt>
                <c:pt idx="18">
                  <c:v>BASE</c:v>
                </c:pt>
                <c:pt idx="20">
                  <c:v>BASE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'27'!$AE$6:$AE$29</c:f>
              <c:numCache>
                <c:formatCode>0%</c:formatCode>
                <c:ptCount val="24"/>
                <c:pt idx="0">
                  <c:v>0.49999999999999994</c:v>
                </c:pt>
                <c:pt idx="1">
                  <c:v>0.49999999999999994</c:v>
                </c:pt>
                <c:pt idx="2">
                  <c:v>0.49999999999999994</c:v>
                </c:pt>
                <c:pt idx="3">
                  <c:v>0.49999999999999994</c:v>
                </c:pt>
                <c:pt idx="4">
                  <c:v>0.49999999999999994</c:v>
                </c:pt>
                <c:pt idx="5">
                  <c:v>0.49999999999999994</c:v>
                </c:pt>
                <c:pt idx="6">
                  <c:v>0.49999999999999994</c:v>
                </c:pt>
                <c:pt idx="7">
                  <c:v>0.49999999999999994</c:v>
                </c:pt>
                <c:pt idx="8">
                  <c:v>0.49999999999999994</c:v>
                </c:pt>
                <c:pt idx="9">
                  <c:v>0.49999999999999994</c:v>
                </c:pt>
                <c:pt idx="10">
                  <c:v>0.49999999999999994</c:v>
                </c:pt>
                <c:pt idx="11">
                  <c:v>0.49999999999999994</c:v>
                </c:pt>
                <c:pt idx="12">
                  <c:v>0.49999999999999994</c:v>
                </c:pt>
                <c:pt idx="13">
                  <c:v>0.49999999999999994</c:v>
                </c:pt>
                <c:pt idx="14">
                  <c:v>0.49999999999999994</c:v>
                </c:pt>
                <c:pt idx="15">
                  <c:v>0.49999999999999994</c:v>
                </c:pt>
                <c:pt idx="16">
                  <c:v>0.49999999999999994</c:v>
                </c:pt>
                <c:pt idx="17">
                  <c:v>0.49999999999999994</c:v>
                </c:pt>
                <c:pt idx="18">
                  <c:v>0.49999999999999994</c:v>
                </c:pt>
                <c:pt idx="19">
                  <c:v>0.49999999999999994</c:v>
                </c:pt>
                <c:pt idx="20">
                  <c:v>0.49999999999999994</c:v>
                </c:pt>
                <c:pt idx="21">
                  <c:v>0.49999999999999994</c:v>
                </c:pt>
                <c:pt idx="22">
                  <c:v>0.49999999999999994</c:v>
                </c:pt>
                <c:pt idx="23">
                  <c:v>0.49999999999999994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C-4734-9BDE-132C38BE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A3-410B-9195-18316C7F3E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A3-410B-9195-18316C7F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2A3-410B-9195-18316C7F3E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A3-410B-9195-18316C7F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'28'!$L$6:$L$31</c:f>
              <c:numCache>
                <c:formatCode>_(* #,##0_);_(* \(#,##0\);_(* "-"_);_(@_)</c:formatCode>
                <c:ptCount val="26"/>
                <c:pt idx="0">
                  <c:v>23948</c:v>
                </c:pt>
                <c:pt idx="1">
                  <c:v>6509</c:v>
                </c:pt>
                <c:pt idx="2">
                  <c:v>3500</c:v>
                </c:pt>
                <c:pt idx="3">
                  <c:v>4449</c:v>
                </c:pt>
                <c:pt idx="4">
                  <c:v>13106</c:v>
                </c:pt>
                <c:pt idx="5">
                  <c:v>1184</c:v>
                </c:pt>
                <c:pt idx="6">
                  <c:v>4643</c:v>
                </c:pt>
                <c:pt idx="7">
                  <c:v>9816</c:v>
                </c:pt>
                <c:pt idx="8">
                  <c:v>11678</c:v>
                </c:pt>
                <c:pt idx="9">
                  <c:v>146</c:v>
                </c:pt>
                <c:pt idx="11">
                  <c:v>2632</c:v>
                </c:pt>
                <c:pt idx="12">
                  <c:v>3745</c:v>
                </c:pt>
                <c:pt idx="14">
                  <c:v>5053</c:v>
                </c:pt>
                <c:pt idx="15">
                  <c:v>23388</c:v>
                </c:pt>
                <c:pt idx="16">
                  <c:v>5541</c:v>
                </c:pt>
                <c:pt idx="17">
                  <c:v>54464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C-4284-BC97-6730EC0A7684}"/>
            </c:ext>
          </c:extLst>
        </c:ser>
        <c:ser>
          <c:idx val="1"/>
          <c:order val="1"/>
          <c:tx>
            <c:v>계획</c:v>
          </c:tx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'28'!$J$6:$J$31</c:f>
              <c:numCache>
                <c:formatCode>_(* #,##0_);_(* \(#,##0\);_(* "-"_);_(@_)</c:formatCode>
                <c:ptCount val="26"/>
                <c:pt idx="0">
                  <c:v>23948</c:v>
                </c:pt>
                <c:pt idx="1">
                  <c:v>6509</c:v>
                </c:pt>
                <c:pt idx="2">
                  <c:v>3500</c:v>
                </c:pt>
                <c:pt idx="3">
                  <c:v>4449</c:v>
                </c:pt>
                <c:pt idx="4">
                  <c:v>13106</c:v>
                </c:pt>
                <c:pt idx="5">
                  <c:v>1184</c:v>
                </c:pt>
                <c:pt idx="6">
                  <c:v>4643</c:v>
                </c:pt>
                <c:pt idx="7">
                  <c:v>9816</c:v>
                </c:pt>
                <c:pt idx="8">
                  <c:v>11678</c:v>
                </c:pt>
                <c:pt idx="9">
                  <c:v>146</c:v>
                </c:pt>
                <c:pt idx="10">
                  <c:v>16944</c:v>
                </c:pt>
                <c:pt idx="11">
                  <c:v>2632</c:v>
                </c:pt>
                <c:pt idx="12">
                  <c:v>3745</c:v>
                </c:pt>
                <c:pt idx="13">
                  <c:v>5064</c:v>
                </c:pt>
                <c:pt idx="14">
                  <c:v>5053</c:v>
                </c:pt>
                <c:pt idx="15">
                  <c:v>23388</c:v>
                </c:pt>
                <c:pt idx="16">
                  <c:v>5541</c:v>
                </c:pt>
                <c:pt idx="17">
                  <c:v>54464</c:v>
                </c:pt>
                <c:pt idx="18">
                  <c:v>0</c:v>
                </c:pt>
                <c:pt idx="19">
                  <c:v>24024</c:v>
                </c:pt>
                <c:pt idx="20">
                  <c:v>1872</c:v>
                </c:pt>
                <c:pt idx="21">
                  <c:v>189476</c:v>
                </c:pt>
                <c:pt idx="22">
                  <c:v>22760</c:v>
                </c:pt>
                <c:pt idx="23">
                  <c:v>23324</c:v>
                </c:pt>
                <c:pt idx="24">
                  <c:v>25000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C-4284-BC97-6730EC0A7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'28'!$AD$6:$AD$31</c:f>
              <c:strCache>
                <c:ptCount val="26"/>
                <c:pt idx="0">
                  <c:v>100%</c:v>
                </c:pt>
                <c:pt idx="1">
                  <c:v>100%</c:v>
                </c:pt>
                <c:pt idx="2">
                  <c:v>63%</c:v>
                </c:pt>
                <c:pt idx="3">
                  <c:v>100%</c:v>
                </c:pt>
                <c:pt idx="4">
                  <c:v>100%</c:v>
                </c:pt>
                <c:pt idx="5">
                  <c:v>13%</c:v>
                </c:pt>
                <c:pt idx="6">
                  <c:v>79%</c:v>
                </c:pt>
                <c:pt idx="7">
                  <c:v>100%</c:v>
                </c:pt>
                <c:pt idx="8">
                  <c:v>100%</c:v>
                </c:pt>
                <c:pt idx="9">
                  <c:v>21%</c:v>
                </c:pt>
                <c:pt idx="10">
                  <c:v>0%</c:v>
                </c:pt>
                <c:pt idx="11">
                  <c:v>42%</c:v>
                </c:pt>
                <c:pt idx="12">
                  <c:v>54%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'28'!$AD$6:$AD$31</c:f>
              <c:numCache>
                <c:formatCode>0%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0.625</c:v>
                </c:pt>
                <c:pt idx="3">
                  <c:v>1</c:v>
                </c:pt>
                <c:pt idx="4">
                  <c:v>1</c:v>
                </c:pt>
                <c:pt idx="5">
                  <c:v>0.125</c:v>
                </c:pt>
                <c:pt idx="6">
                  <c:v>0.79166666666666663</c:v>
                </c:pt>
                <c:pt idx="7">
                  <c:v>1</c:v>
                </c:pt>
                <c:pt idx="8">
                  <c:v>1</c:v>
                </c:pt>
                <c:pt idx="9">
                  <c:v>0.20833333333333334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0.54166666666666663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6-4732-B1E4-4A98FA02DE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A6-4732-B1E4-4A98FA02DE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'28'!$AE$6:$AE$31</c:f>
              <c:numCache>
                <c:formatCode>0%</c:formatCode>
                <c:ptCount val="26"/>
                <c:pt idx="0">
                  <c:v>0.48878205128205121</c:v>
                </c:pt>
                <c:pt idx="1">
                  <c:v>0.48878205128205121</c:v>
                </c:pt>
                <c:pt idx="2">
                  <c:v>0.48878205128205121</c:v>
                </c:pt>
                <c:pt idx="3">
                  <c:v>0.48878205128205121</c:v>
                </c:pt>
                <c:pt idx="4">
                  <c:v>0.48878205128205121</c:v>
                </c:pt>
                <c:pt idx="5">
                  <c:v>0.48878205128205121</c:v>
                </c:pt>
                <c:pt idx="6">
                  <c:v>0.48878205128205121</c:v>
                </c:pt>
                <c:pt idx="7">
                  <c:v>0.48878205128205121</c:v>
                </c:pt>
                <c:pt idx="8">
                  <c:v>0.48878205128205121</c:v>
                </c:pt>
                <c:pt idx="9">
                  <c:v>0.48878205128205121</c:v>
                </c:pt>
                <c:pt idx="10">
                  <c:v>0.48878205128205121</c:v>
                </c:pt>
                <c:pt idx="11">
                  <c:v>0.48878205128205121</c:v>
                </c:pt>
                <c:pt idx="12">
                  <c:v>0.48878205128205121</c:v>
                </c:pt>
                <c:pt idx="13">
                  <c:v>0.48878205128205121</c:v>
                </c:pt>
                <c:pt idx="14">
                  <c:v>0.48878205128205121</c:v>
                </c:pt>
                <c:pt idx="15">
                  <c:v>0.48878205128205121</c:v>
                </c:pt>
                <c:pt idx="16">
                  <c:v>0.48878205128205121</c:v>
                </c:pt>
                <c:pt idx="17">
                  <c:v>0.48878205128205121</c:v>
                </c:pt>
                <c:pt idx="18">
                  <c:v>0.48878205128205121</c:v>
                </c:pt>
                <c:pt idx="19">
                  <c:v>0.48878205128205121</c:v>
                </c:pt>
                <c:pt idx="20">
                  <c:v>0.48878205128205121</c:v>
                </c:pt>
                <c:pt idx="21">
                  <c:v>0.48878205128205121</c:v>
                </c:pt>
                <c:pt idx="22">
                  <c:v>0.48878205128205121</c:v>
                </c:pt>
                <c:pt idx="23">
                  <c:v>0.48878205128205121</c:v>
                </c:pt>
                <c:pt idx="24">
                  <c:v>0.48878205128205121</c:v>
                </c:pt>
                <c:pt idx="25">
                  <c:v>0.48878205128205121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6-4732-B1E4-4A98FA02D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'28'!$L$6:$L$31</c:f>
              <c:numCache>
                <c:formatCode>_(* #,##0_);_(* \(#,##0\);_(* "-"_);_(@_)</c:formatCode>
                <c:ptCount val="26"/>
                <c:pt idx="0">
                  <c:v>23948</c:v>
                </c:pt>
                <c:pt idx="1">
                  <c:v>6509</c:v>
                </c:pt>
                <c:pt idx="2">
                  <c:v>3500</c:v>
                </c:pt>
                <c:pt idx="3">
                  <c:v>4449</c:v>
                </c:pt>
                <c:pt idx="4">
                  <c:v>13106</c:v>
                </c:pt>
                <c:pt idx="5">
                  <c:v>1184</c:v>
                </c:pt>
                <c:pt idx="6">
                  <c:v>4643</c:v>
                </c:pt>
                <c:pt idx="7">
                  <c:v>9816</c:v>
                </c:pt>
                <c:pt idx="8">
                  <c:v>11678</c:v>
                </c:pt>
                <c:pt idx="9">
                  <c:v>146</c:v>
                </c:pt>
                <c:pt idx="11">
                  <c:v>2632</c:v>
                </c:pt>
                <c:pt idx="12">
                  <c:v>3745</c:v>
                </c:pt>
                <c:pt idx="14">
                  <c:v>5053</c:v>
                </c:pt>
                <c:pt idx="15">
                  <c:v>23388</c:v>
                </c:pt>
                <c:pt idx="16">
                  <c:v>5541</c:v>
                </c:pt>
                <c:pt idx="17">
                  <c:v>54464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7-4369-A491-684B40E4800A}"/>
            </c:ext>
          </c:extLst>
        </c:ser>
        <c:ser>
          <c:idx val="1"/>
          <c:order val="1"/>
          <c:tx>
            <c:v>계획</c:v>
          </c:tx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'28'!$J$6:$J$31</c:f>
              <c:numCache>
                <c:formatCode>_(* #,##0_);_(* \(#,##0\);_(* "-"_);_(@_)</c:formatCode>
                <c:ptCount val="26"/>
                <c:pt idx="0">
                  <c:v>23948</c:v>
                </c:pt>
                <c:pt idx="1">
                  <c:v>6509</c:v>
                </c:pt>
                <c:pt idx="2">
                  <c:v>3500</c:v>
                </c:pt>
                <c:pt idx="3">
                  <c:v>4449</c:v>
                </c:pt>
                <c:pt idx="4">
                  <c:v>13106</c:v>
                </c:pt>
                <c:pt idx="5">
                  <c:v>1184</c:v>
                </c:pt>
                <c:pt idx="6">
                  <c:v>4643</c:v>
                </c:pt>
                <c:pt idx="7">
                  <c:v>9816</c:v>
                </c:pt>
                <c:pt idx="8">
                  <c:v>11678</c:v>
                </c:pt>
                <c:pt idx="9">
                  <c:v>146</c:v>
                </c:pt>
                <c:pt idx="10">
                  <c:v>16944</c:v>
                </c:pt>
                <c:pt idx="11">
                  <c:v>2632</c:v>
                </c:pt>
                <c:pt idx="12">
                  <c:v>3745</c:v>
                </c:pt>
                <c:pt idx="13">
                  <c:v>5064</c:v>
                </c:pt>
                <c:pt idx="14">
                  <c:v>5053</c:v>
                </c:pt>
                <c:pt idx="15">
                  <c:v>23388</c:v>
                </c:pt>
                <c:pt idx="16">
                  <c:v>5541</c:v>
                </c:pt>
                <c:pt idx="17">
                  <c:v>54464</c:v>
                </c:pt>
                <c:pt idx="18">
                  <c:v>0</c:v>
                </c:pt>
                <c:pt idx="19">
                  <c:v>24024</c:v>
                </c:pt>
                <c:pt idx="20">
                  <c:v>1872</c:v>
                </c:pt>
                <c:pt idx="21">
                  <c:v>189476</c:v>
                </c:pt>
                <c:pt idx="22">
                  <c:v>22760</c:v>
                </c:pt>
                <c:pt idx="23">
                  <c:v>23324</c:v>
                </c:pt>
                <c:pt idx="24">
                  <c:v>25000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7-4369-A491-684B40E48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'28'!$AD$6:$AD$31</c:f>
              <c:strCache>
                <c:ptCount val="26"/>
                <c:pt idx="0">
                  <c:v>100%</c:v>
                </c:pt>
                <c:pt idx="1">
                  <c:v>100%</c:v>
                </c:pt>
                <c:pt idx="2">
                  <c:v>63%</c:v>
                </c:pt>
                <c:pt idx="3">
                  <c:v>100%</c:v>
                </c:pt>
                <c:pt idx="4">
                  <c:v>100%</c:v>
                </c:pt>
                <c:pt idx="5">
                  <c:v>13%</c:v>
                </c:pt>
                <c:pt idx="6">
                  <c:v>79%</c:v>
                </c:pt>
                <c:pt idx="7">
                  <c:v>100%</c:v>
                </c:pt>
                <c:pt idx="8">
                  <c:v>100%</c:v>
                </c:pt>
                <c:pt idx="9">
                  <c:v>21%</c:v>
                </c:pt>
                <c:pt idx="10">
                  <c:v>0%</c:v>
                </c:pt>
                <c:pt idx="11">
                  <c:v>42%</c:v>
                </c:pt>
                <c:pt idx="12">
                  <c:v>54%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'28'!$AD$6:$AD$31</c:f>
              <c:numCache>
                <c:formatCode>0%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0.625</c:v>
                </c:pt>
                <c:pt idx="3">
                  <c:v>1</c:v>
                </c:pt>
                <c:pt idx="4">
                  <c:v>1</c:v>
                </c:pt>
                <c:pt idx="5">
                  <c:v>0.125</c:v>
                </c:pt>
                <c:pt idx="6">
                  <c:v>0.79166666666666663</c:v>
                </c:pt>
                <c:pt idx="7">
                  <c:v>1</c:v>
                </c:pt>
                <c:pt idx="8">
                  <c:v>1</c:v>
                </c:pt>
                <c:pt idx="9">
                  <c:v>0.20833333333333334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0.54166666666666663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F-4CD1-ABFC-6C921E7B5C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5F-4CD1-ABFC-6C921E7B5C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ADAPTER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F/A</c:v>
                </c:pt>
                <c:pt idx="12">
                  <c:v>ADAPTER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'28'!$AE$6:$AE$31</c:f>
              <c:numCache>
                <c:formatCode>0%</c:formatCode>
                <c:ptCount val="26"/>
                <c:pt idx="0">
                  <c:v>0.48878205128205121</c:v>
                </c:pt>
                <c:pt idx="1">
                  <c:v>0.48878205128205121</c:v>
                </c:pt>
                <c:pt idx="2">
                  <c:v>0.48878205128205121</c:v>
                </c:pt>
                <c:pt idx="3">
                  <c:v>0.48878205128205121</c:v>
                </c:pt>
                <c:pt idx="4">
                  <c:v>0.48878205128205121</c:v>
                </c:pt>
                <c:pt idx="5">
                  <c:v>0.48878205128205121</c:v>
                </c:pt>
                <c:pt idx="6">
                  <c:v>0.48878205128205121</c:v>
                </c:pt>
                <c:pt idx="7">
                  <c:v>0.48878205128205121</c:v>
                </c:pt>
                <c:pt idx="8">
                  <c:v>0.48878205128205121</c:v>
                </c:pt>
                <c:pt idx="9">
                  <c:v>0.48878205128205121</c:v>
                </c:pt>
                <c:pt idx="10">
                  <c:v>0.48878205128205121</c:v>
                </c:pt>
                <c:pt idx="11">
                  <c:v>0.48878205128205121</c:v>
                </c:pt>
                <c:pt idx="12">
                  <c:v>0.48878205128205121</c:v>
                </c:pt>
                <c:pt idx="13">
                  <c:v>0.48878205128205121</c:v>
                </c:pt>
                <c:pt idx="14">
                  <c:v>0.48878205128205121</c:v>
                </c:pt>
                <c:pt idx="15">
                  <c:v>0.48878205128205121</c:v>
                </c:pt>
                <c:pt idx="16">
                  <c:v>0.48878205128205121</c:v>
                </c:pt>
                <c:pt idx="17">
                  <c:v>0.48878205128205121</c:v>
                </c:pt>
                <c:pt idx="18">
                  <c:v>0.48878205128205121</c:v>
                </c:pt>
                <c:pt idx="19">
                  <c:v>0.48878205128205121</c:v>
                </c:pt>
                <c:pt idx="20">
                  <c:v>0.48878205128205121</c:v>
                </c:pt>
                <c:pt idx="21">
                  <c:v>0.48878205128205121</c:v>
                </c:pt>
                <c:pt idx="22">
                  <c:v>0.48878205128205121</c:v>
                </c:pt>
                <c:pt idx="23">
                  <c:v>0.48878205128205121</c:v>
                </c:pt>
                <c:pt idx="24">
                  <c:v>0.48878205128205121</c:v>
                </c:pt>
                <c:pt idx="25">
                  <c:v>0.48878205128205121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F-4CD1-ABFC-6C921E7B5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197-4505-9E52-CB5DA756A8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7-4505-9E52-CB5DA756A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197-4505-9E52-CB5DA756A82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97-4505-9E52-CB5DA756A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'29'!$L$6:$L$31</c:f>
              <c:numCache>
                <c:formatCode>_(* #,##0_);_(* \(#,##0\);_(* "-"_);_(@_)</c:formatCode>
                <c:ptCount val="26"/>
                <c:pt idx="0">
                  <c:v>9868</c:v>
                </c:pt>
                <c:pt idx="1">
                  <c:v>3450</c:v>
                </c:pt>
                <c:pt idx="2">
                  <c:v>3182</c:v>
                </c:pt>
                <c:pt idx="3">
                  <c:v>3653</c:v>
                </c:pt>
                <c:pt idx="4">
                  <c:v>13190</c:v>
                </c:pt>
                <c:pt idx="5">
                  <c:v>5755</c:v>
                </c:pt>
                <c:pt idx="6">
                  <c:v>9894</c:v>
                </c:pt>
                <c:pt idx="7">
                  <c:v>11884</c:v>
                </c:pt>
                <c:pt idx="8">
                  <c:v>203</c:v>
                </c:pt>
                <c:pt idx="10">
                  <c:v>1317</c:v>
                </c:pt>
                <c:pt idx="11">
                  <c:v>3539</c:v>
                </c:pt>
                <c:pt idx="13">
                  <c:v>750</c:v>
                </c:pt>
                <c:pt idx="14">
                  <c:v>3387</c:v>
                </c:pt>
                <c:pt idx="15">
                  <c:v>23704</c:v>
                </c:pt>
                <c:pt idx="16">
                  <c:v>5595</c:v>
                </c:pt>
                <c:pt idx="17">
                  <c:v>54940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598-B506-A37899270595}"/>
            </c:ext>
          </c:extLst>
        </c:ser>
        <c:ser>
          <c:idx val="1"/>
          <c:order val="1"/>
          <c:tx>
            <c:v>계획</c:v>
          </c:tx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'29'!$J$6:$J$31</c:f>
              <c:numCache>
                <c:formatCode>_(* #,##0_);_(* \(#,##0\);_(* "-"_);_(@_)</c:formatCode>
                <c:ptCount val="26"/>
                <c:pt idx="0">
                  <c:v>9868</c:v>
                </c:pt>
                <c:pt idx="1">
                  <c:v>3450</c:v>
                </c:pt>
                <c:pt idx="2">
                  <c:v>3182</c:v>
                </c:pt>
                <c:pt idx="3">
                  <c:v>3653</c:v>
                </c:pt>
                <c:pt idx="4">
                  <c:v>13190</c:v>
                </c:pt>
                <c:pt idx="5">
                  <c:v>5755</c:v>
                </c:pt>
                <c:pt idx="6">
                  <c:v>9894</c:v>
                </c:pt>
                <c:pt idx="7">
                  <c:v>11884</c:v>
                </c:pt>
                <c:pt idx="8">
                  <c:v>203</c:v>
                </c:pt>
                <c:pt idx="9">
                  <c:v>16944</c:v>
                </c:pt>
                <c:pt idx="10">
                  <c:v>1317</c:v>
                </c:pt>
                <c:pt idx="11">
                  <c:v>3539</c:v>
                </c:pt>
                <c:pt idx="12">
                  <c:v>5064</c:v>
                </c:pt>
                <c:pt idx="13">
                  <c:v>750</c:v>
                </c:pt>
                <c:pt idx="14">
                  <c:v>3387</c:v>
                </c:pt>
                <c:pt idx="15">
                  <c:v>23704</c:v>
                </c:pt>
                <c:pt idx="16">
                  <c:v>5595</c:v>
                </c:pt>
                <c:pt idx="17">
                  <c:v>54940</c:v>
                </c:pt>
                <c:pt idx="18">
                  <c:v>0</c:v>
                </c:pt>
                <c:pt idx="19">
                  <c:v>24024</c:v>
                </c:pt>
                <c:pt idx="20">
                  <c:v>1872</c:v>
                </c:pt>
                <c:pt idx="21">
                  <c:v>189476</c:v>
                </c:pt>
                <c:pt idx="22">
                  <c:v>22760</c:v>
                </c:pt>
                <c:pt idx="23">
                  <c:v>23324</c:v>
                </c:pt>
                <c:pt idx="24">
                  <c:v>25000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1-4598-B506-A3789927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'29'!$AD$6:$AD$31</c:f>
              <c:strCache>
                <c:ptCount val="26"/>
                <c:pt idx="0">
                  <c:v>42%</c:v>
                </c:pt>
                <c:pt idx="1">
                  <c:v>58%</c:v>
                </c:pt>
                <c:pt idx="2">
                  <c:v>75%</c:v>
                </c:pt>
                <c:pt idx="3">
                  <c:v>71%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21%</c:v>
                </c:pt>
                <c:pt idx="9">
                  <c:v>0%</c:v>
                </c:pt>
                <c:pt idx="10">
                  <c:v>29%</c:v>
                </c:pt>
                <c:pt idx="11">
                  <c:v>63%</c:v>
                </c:pt>
                <c:pt idx="12">
                  <c:v>0%</c:v>
                </c:pt>
                <c:pt idx="13">
                  <c:v>21%</c:v>
                </c:pt>
                <c:pt idx="14">
                  <c:v>67%</c:v>
                </c:pt>
                <c:pt idx="15">
                  <c:v>100%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'29'!$AD$6:$AD$31</c:f>
              <c:numCache>
                <c:formatCode>0%</c:formatCode>
                <c:ptCount val="26"/>
                <c:pt idx="0">
                  <c:v>0.41666666666666669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0.70833333333333337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0.20833333333333334</c:v>
                </c:pt>
                <c:pt idx="9">
                  <c:v>0</c:v>
                </c:pt>
                <c:pt idx="10">
                  <c:v>0.29166666666666669</c:v>
                </c:pt>
                <c:pt idx="11">
                  <c:v>0.625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0.66666666666666663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B-4F3E-8120-7391D8E82C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4B-4F3E-8120-7391D8E82C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'29'!$AE$6:$AE$31</c:f>
              <c:numCache>
                <c:formatCode>0%</c:formatCode>
                <c:ptCount val="26"/>
                <c:pt idx="0">
                  <c:v>0.44070512820512825</c:v>
                </c:pt>
                <c:pt idx="1">
                  <c:v>0.44070512820512825</c:v>
                </c:pt>
                <c:pt idx="2">
                  <c:v>0.44070512820512825</c:v>
                </c:pt>
                <c:pt idx="3">
                  <c:v>0.44070512820512825</c:v>
                </c:pt>
                <c:pt idx="4">
                  <c:v>0.44070512820512825</c:v>
                </c:pt>
                <c:pt idx="5">
                  <c:v>0.44070512820512825</c:v>
                </c:pt>
                <c:pt idx="6">
                  <c:v>0.44070512820512825</c:v>
                </c:pt>
                <c:pt idx="7">
                  <c:v>0.44070512820512825</c:v>
                </c:pt>
                <c:pt idx="8">
                  <c:v>0.44070512820512825</c:v>
                </c:pt>
                <c:pt idx="9">
                  <c:v>0.44070512820512825</c:v>
                </c:pt>
                <c:pt idx="10">
                  <c:v>0.44070512820512825</c:v>
                </c:pt>
                <c:pt idx="11">
                  <c:v>0.44070512820512825</c:v>
                </c:pt>
                <c:pt idx="12">
                  <c:v>0.44070512820512825</c:v>
                </c:pt>
                <c:pt idx="13">
                  <c:v>0.44070512820512825</c:v>
                </c:pt>
                <c:pt idx="14">
                  <c:v>0.44070512820512825</c:v>
                </c:pt>
                <c:pt idx="15">
                  <c:v>0.44070512820512825</c:v>
                </c:pt>
                <c:pt idx="16">
                  <c:v>0.44070512820512825</c:v>
                </c:pt>
                <c:pt idx="17">
                  <c:v>0.44070512820512825</c:v>
                </c:pt>
                <c:pt idx="18">
                  <c:v>0.44070512820512825</c:v>
                </c:pt>
                <c:pt idx="19">
                  <c:v>0.44070512820512825</c:v>
                </c:pt>
                <c:pt idx="20">
                  <c:v>0.44070512820512825</c:v>
                </c:pt>
                <c:pt idx="21">
                  <c:v>0.44070512820512825</c:v>
                </c:pt>
                <c:pt idx="22">
                  <c:v>0.44070512820512825</c:v>
                </c:pt>
                <c:pt idx="23">
                  <c:v>0.44070512820512825</c:v>
                </c:pt>
                <c:pt idx="24">
                  <c:v>0.44070512820512825</c:v>
                </c:pt>
                <c:pt idx="25">
                  <c:v>0.44070512820512825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B-4F3E-8120-7391D8E82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'29'!$L$6:$L$31</c:f>
              <c:numCache>
                <c:formatCode>_(* #,##0_);_(* \(#,##0\);_(* "-"_);_(@_)</c:formatCode>
                <c:ptCount val="26"/>
                <c:pt idx="0">
                  <c:v>9868</c:v>
                </c:pt>
                <c:pt idx="1">
                  <c:v>3450</c:v>
                </c:pt>
                <c:pt idx="2">
                  <c:v>3182</c:v>
                </c:pt>
                <c:pt idx="3">
                  <c:v>3653</c:v>
                </c:pt>
                <c:pt idx="4">
                  <c:v>13190</c:v>
                </c:pt>
                <c:pt idx="5">
                  <c:v>5755</c:v>
                </c:pt>
                <c:pt idx="6">
                  <c:v>9894</c:v>
                </c:pt>
                <c:pt idx="7">
                  <c:v>11884</c:v>
                </c:pt>
                <c:pt idx="8">
                  <c:v>203</c:v>
                </c:pt>
                <c:pt idx="10">
                  <c:v>1317</c:v>
                </c:pt>
                <c:pt idx="11">
                  <c:v>3539</c:v>
                </c:pt>
                <c:pt idx="13">
                  <c:v>750</c:v>
                </c:pt>
                <c:pt idx="14">
                  <c:v>3387</c:v>
                </c:pt>
                <c:pt idx="15">
                  <c:v>23704</c:v>
                </c:pt>
                <c:pt idx="16">
                  <c:v>5595</c:v>
                </c:pt>
                <c:pt idx="17">
                  <c:v>54940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1-40B7-9896-156C89AA3C08}"/>
            </c:ext>
          </c:extLst>
        </c:ser>
        <c:ser>
          <c:idx val="1"/>
          <c:order val="1"/>
          <c:tx>
            <c:v>계획</c:v>
          </c:tx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'29'!$J$6:$J$31</c:f>
              <c:numCache>
                <c:formatCode>_(* #,##0_);_(* \(#,##0\);_(* "-"_);_(@_)</c:formatCode>
                <c:ptCount val="26"/>
                <c:pt idx="0">
                  <c:v>9868</c:v>
                </c:pt>
                <c:pt idx="1">
                  <c:v>3450</c:v>
                </c:pt>
                <c:pt idx="2">
                  <c:v>3182</c:v>
                </c:pt>
                <c:pt idx="3">
                  <c:v>3653</c:v>
                </c:pt>
                <c:pt idx="4">
                  <c:v>13190</c:v>
                </c:pt>
                <c:pt idx="5">
                  <c:v>5755</c:v>
                </c:pt>
                <c:pt idx="6">
                  <c:v>9894</c:v>
                </c:pt>
                <c:pt idx="7">
                  <c:v>11884</c:v>
                </c:pt>
                <c:pt idx="8">
                  <c:v>203</c:v>
                </c:pt>
                <c:pt idx="9">
                  <c:v>16944</c:v>
                </c:pt>
                <c:pt idx="10">
                  <c:v>1317</c:v>
                </c:pt>
                <c:pt idx="11">
                  <c:v>3539</c:v>
                </c:pt>
                <c:pt idx="12">
                  <c:v>5064</c:v>
                </c:pt>
                <c:pt idx="13">
                  <c:v>750</c:v>
                </c:pt>
                <c:pt idx="14">
                  <c:v>3387</c:v>
                </c:pt>
                <c:pt idx="15">
                  <c:v>23704</c:v>
                </c:pt>
                <c:pt idx="16">
                  <c:v>5595</c:v>
                </c:pt>
                <c:pt idx="17">
                  <c:v>54940</c:v>
                </c:pt>
                <c:pt idx="18">
                  <c:v>0</c:v>
                </c:pt>
                <c:pt idx="19">
                  <c:v>24024</c:v>
                </c:pt>
                <c:pt idx="20">
                  <c:v>1872</c:v>
                </c:pt>
                <c:pt idx="21">
                  <c:v>189476</c:v>
                </c:pt>
                <c:pt idx="22">
                  <c:v>22760</c:v>
                </c:pt>
                <c:pt idx="23">
                  <c:v>23324</c:v>
                </c:pt>
                <c:pt idx="24">
                  <c:v>25000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1-40B7-9896-156C89AA3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'29'!$AD$6:$AD$31</c:f>
              <c:strCache>
                <c:ptCount val="26"/>
                <c:pt idx="0">
                  <c:v>42%</c:v>
                </c:pt>
                <c:pt idx="1">
                  <c:v>58%</c:v>
                </c:pt>
                <c:pt idx="2">
                  <c:v>75%</c:v>
                </c:pt>
                <c:pt idx="3">
                  <c:v>71%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21%</c:v>
                </c:pt>
                <c:pt idx="9">
                  <c:v>0%</c:v>
                </c:pt>
                <c:pt idx="10">
                  <c:v>29%</c:v>
                </c:pt>
                <c:pt idx="11">
                  <c:v>63%</c:v>
                </c:pt>
                <c:pt idx="12">
                  <c:v>0%</c:v>
                </c:pt>
                <c:pt idx="13">
                  <c:v>21%</c:v>
                </c:pt>
                <c:pt idx="14">
                  <c:v>67%</c:v>
                </c:pt>
                <c:pt idx="15">
                  <c:v>100%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'29'!$AD$6:$AD$31</c:f>
              <c:numCache>
                <c:formatCode>0%</c:formatCode>
                <c:ptCount val="26"/>
                <c:pt idx="0">
                  <c:v>0.41666666666666669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0.70833333333333337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0.20833333333333334</c:v>
                </c:pt>
                <c:pt idx="9">
                  <c:v>0</c:v>
                </c:pt>
                <c:pt idx="10">
                  <c:v>0.29166666666666669</c:v>
                </c:pt>
                <c:pt idx="11">
                  <c:v>0.625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0.66666666666666663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4-480B-9445-0B95BED19B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74-480B-9445-0B95BED19B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'29'!$D$6:$D$31</c:f>
              <c:strCache>
                <c:ptCount val="25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ADAPTER</c:v>
                </c:pt>
                <c:pt idx="11">
                  <c:v>STOPPER</c:v>
                </c:pt>
                <c:pt idx="13">
                  <c:v>COVER</c:v>
                </c:pt>
                <c:pt idx="14">
                  <c:v>COVER</c:v>
                </c:pt>
                <c:pt idx="15">
                  <c:v>ACTUATOR</c:v>
                </c:pt>
                <c:pt idx="16">
                  <c:v>STOPPER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'29'!$AE$6:$AE$31</c:f>
              <c:numCache>
                <c:formatCode>0%</c:formatCode>
                <c:ptCount val="26"/>
                <c:pt idx="0">
                  <c:v>0.44070512820512825</c:v>
                </c:pt>
                <c:pt idx="1">
                  <c:v>0.44070512820512825</c:v>
                </c:pt>
                <c:pt idx="2">
                  <c:v>0.44070512820512825</c:v>
                </c:pt>
                <c:pt idx="3">
                  <c:v>0.44070512820512825</c:v>
                </c:pt>
                <c:pt idx="4">
                  <c:v>0.44070512820512825</c:v>
                </c:pt>
                <c:pt idx="5">
                  <c:v>0.44070512820512825</c:v>
                </c:pt>
                <c:pt idx="6">
                  <c:v>0.44070512820512825</c:v>
                </c:pt>
                <c:pt idx="7">
                  <c:v>0.44070512820512825</c:v>
                </c:pt>
                <c:pt idx="8">
                  <c:v>0.44070512820512825</c:v>
                </c:pt>
                <c:pt idx="9">
                  <c:v>0.44070512820512825</c:v>
                </c:pt>
                <c:pt idx="10">
                  <c:v>0.44070512820512825</c:v>
                </c:pt>
                <c:pt idx="11">
                  <c:v>0.44070512820512825</c:v>
                </c:pt>
                <c:pt idx="12">
                  <c:v>0.44070512820512825</c:v>
                </c:pt>
                <c:pt idx="13">
                  <c:v>0.44070512820512825</c:v>
                </c:pt>
                <c:pt idx="14">
                  <c:v>0.44070512820512825</c:v>
                </c:pt>
                <c:pt idx="15">
                  <c:v>0.44070512820512825</c:v>
                </c:pt>
                <c:pt idx="16">
                  <c:v>0.44070512820512825</c:v>
                </c:pt>
                <c:pt idx="17">
                  <c:v>0.44070512820512825</c:v>
                </c:pt>
                <c:pt idx="18">
                  <c:v>0.44070512820512825</c:v>
                </c:pt>
                <c:pt idx="19">
                  <c:v>0.44070512820512825</c:v>
                </c:pt>
                <c:pt idx="20">
                  <c:v>0.44070512820512825</c:v>
                </c:pt>
                <c:pt idx="21">
                  <c:v>0.44070512820512825</c:v>
                </c:pt>
                <c:pt idx="22">
                  <c:v>0.44070512820512825</c:v>
                </c:pt>
                <c:pt idx="23">
                  <c:v>0.44070512820512825</c:v>
                </c:pt>
                <c:pt idx="24">
                  <c:v>0.44070512820512825</c:v>
                </c:pt>
                <c:pt idx="25">
                  <c:v>0.44070512820512825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74-480B-9445-0B95BED19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43F-43B6-B154-ED427B241B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F-43B6-B154-ED427B241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43F-43B6-B154-ED427B241B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F-43B6-B154-ED427B241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'30'!$L$6:$L$31</c:f>
              <c:numCache>
                <c:formatCode>_(* #,##0_);_(* \(#,##0\);_(* "-"_);_(@_)</c:formatCode>
                <c:ptCount val="26"/>
                <c:pt idx="1">
                  <c:v>4271</c:v>
                </c:pt>
                <c:pt idx="3">
                  <c:v>1851</c:v>
                </c:pt>
                <c:pt idx="4">
                  <c:v>11532</c:v>
                </c:pt>
                <c:pt idx="5">
                  <c:v>4927</c:v>
                </c:pt>
                <c:pt idx="6">
                  <c:v>8704</c:v>
                </c:pt>
                <c:pt idx="7">
                  <c:v>10138</c:v>
                </c:pt>
                <c:pt idx="10">
                  <c:v>740</c:v>
                </c:pt>
                <c:pt idx="11">
                  <c:v>3183</c:v>
                </c:pt>
                <c:pt idx="13">
                  <c:v>4104</c:v>
                </c:pt>
                <c:pt idx="14">
                  <c:v>19672</c:v>
                </c:pt>
                <c:pt idx="15">
                  <c:v>1869</c:v>
                </c:pt>
                <c:pt idx="16">
                  <c:v>6298</c:v>
                </c:pt>
                <c:pt idx="17">
                  <c:v>48648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0-4232-BCE6-874BDDD58BB7}"/>
            </c:ext>
          </c:extLst>
        </c:ser>
        <c:ser>
          <c:idx val="1"/>
          <c:order val="1"/>
          <c:tx>
            <c:v>계획</c:v>
          </c:tx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'30'!$J$6:$J$31</c:f>
              <c:numCache>
                <c:formatCode>_(* #,##0_);_(* \(#,##0\);_(* "-"_);_(@_)</c:formatCode>
                <c:ptCount val="26"/>
                <c:pt idx="0">
                  <c:v>9868</c:v>
                </c:pt>
                <c:pt idx="1">
                  <c:v>4271</c:v>
                </c:pt>
                <c:pt idx="2">
                  <c:v>3182</c:v>
                </c:pt>
                <c:pt idx="3">
                  <c:v>1851</c:v>
                </c:pt>
                <c:pt idx="4">
                  <c:v>11532</c:v>
                </c:pt>
                <c:pt idx="5">
                  <c:v>4927</c:v>
                </c:pt>
                <c:pt idx="6">
                  <c:v>8074</c:v>
                </c:pt>
                <c:pt idx="7">
                  <c:v>10138</c:v>
                </c:pt>
                <c:pt idx="8">
                  <c:v>203</c:v>
                </c:pt>
                <c:pt idx="9">
                  <c:v>16944</c:v>
                </c:pt>
                <c:pt idx="10">
                  <c:v>740</c:v>
                </c:pt>
                <c:pt idx="11">
                  <c:v>3183</c:v>
                </c:pt>
                <c:pt idx="12">
                  <c:v>5064</c:v>
                </c:pt>
                <c:pt idx="13">
                  <c:v>4104</c:v>
                </c:pt>
                <c:pt idx="14">
                  <c:v>19672</c:v>
                </c:pt>
                <c:pt idx="15">
                  <c:v>1869</c:v>
                </c:pt>
                <c:pt idx="16">
                  <c:v>6298</c:v>
                </c:pt>
                <c:pt idx="17">
                  <c:v>48648</c:v>
                </c:pt>
                <c:pt idx="18">
                  <c:v>0</c:v>
                </c:pt>
                <c:pt idx="19">
                  <c:v>24024</c:v>
                </c:pt>
                <c:pt idx="20">
                  <c:v>1872</c:v>
                </c:pt>
                <c:pt idx="21">
                  <c:v>189476</c:v>
                </c:pt>
                <c:pt idx="22">
                  <c:v>22760</c:v>
                </c:pt>
                <c:pt idx="23">
                  <c:v>23324</c:v>
                </c:pt>
                <c:pt idx="24">
                  <c:v>25000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0-4232-BCE6-874BDDD58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'30'!$AD$6:$AD$31</c:f>
              <c:strCache>
                <c:ptCount val="26"/>
                <c:pt idx="0">
                  <c:v>0%</c:v>
                </c:pt>
                <c:pt idx="1">
                  <c:v>88%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108%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71%</c:v>
                </c:pt>
                <c:pt idx="12">
                  <c:v>0%</c:v>
                </c:pt>
                <c:pt idx="13">
                  <c:v>88%</c:v>
                </c:pt>
                <c:pt idx="14">
                  <c:v>100%</c:v>
                </c:pt>
                <c:pt idx="15">
                  <c:v>33%</c:v>
                </c:pt>
                <c:pt idx="16">
                  <c:v>63%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'30'!$AD$6:$AD$31</c:f>
              <c:numCache>
                <c:formatCode>0%</c:formatCode>
                <c:ptCount val="26"/>
                <c:pt idx="0">
                  <c:v>0</c:v>
                </c:pt>
                <c:pt idx="1">
                  <c:v>0.875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1.0780282387911815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0.70833333333333337</c:v>
                </c:pt>
                <c:pt idx="12">
                  <c:v>0</c:v>
                </c:pt>
                <c:pt idx="13">
                  <c:v>0.875</c:v>
                </c:pt>
                <c:pt idx="14">
                  <c:v>1</c:v>
                </c:pt>
                <c:pt idx="15">
                  <c:v>0.33333333333333331</c:v>
                </c:pt>
                <c:pt idx="16">
                  <c:v>0.625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3-4D58-8D49-B9040E78DD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83-4D58-8D49-B9040E78DD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'30'!$AE$6:$AE$31</c:f>
              <c:numCache>
                <c:formatCode>0%</c:formatCode>
                <c:ptCount val="26"/>
                <c:pt idx="0">
                  <c:v>0.39082159892786594</c:v>
                </c:pt>
                <c:pt idx="1">
                  <c:v>0.39082159892786594</c:v>
                </c:pt>
                <c:pt idx="2">
                  <c:v>0.39082159892786594</c:v>
                </c:pt>
                <c:pt idx="3">
                  <c:v>0.39082159892786594</c:v>
                </c:pt>
                <c:pt idx="4">
                  <c:v>0.39082159892786594</c:v>
                </c:pt>
                <c:pt idx="5">
                  <c:v>0.39082159892786594</c:v>
                </c:pt>
                <c:pt idx="6">
                  <c:v>0.39082159892786594</c:v>
                </c:pt>
                <c:pt idx="7">
                  <c:v>0.39082159892786594</c:v>
                </c:pt>
                <c:pt idx="8">
                  <c:v>0.39082159892786594</c:v>
                </c:pt>
                <c:pt idx="9">
                  <c:v>0.39082159892786594</c:v>
                </c:pt>
                <c:pt idx="10">
                  <c:v>0.39082159892786594</c:v>
                </c:pt>
                <c:pt idx="11">
                  <c:v>0.39082159892786594</c:v>
                </c:pt>
                <c:pt idx="12">
                  <c:v>0.39082159892786594</c:v>
                </c:pt>
                <c:pt idx="13">
                  <c:v>0.39082159892786594</c:v>
                </c:pt>
                <c:pt idx="14">
                  <c:v>0.39082159892786594</c:v>
                </c:pt>
                <c:pt idx="15">
                  <c:v>0.39082159892786594</c:v>
                </c:pt>
                <c:pt idx="16">
                  <c:v>0.39082159892786594</c:v>
                </c:pt>
                <c:pt idx="17">
                  <c:v>0.39082159892786594</c:v>
                </c:pt>
                <c:pt idx="18">
                  <c:v>0.39082159892786594</c:v>
                </c:pt>
                <c:pt idx="19">
                  <c:v>0.39082159892786594</c:v>
                </c:pt>
                <c:pt idx="20">
                  <c:v>0.39082159892786594</c:v>
                </c:pt>
                <c:pt idx="21">
                  <c:v>0.39082159892786594</c:v>
                </c:pt>
                <c:pt idx="22">
                  <c:v>0.39082159892786594</c:v>
                </c:pt>
                <c:pt idx="23">
                  <c:v>0.39082159892786594</c:v>
                </c:pt>
                <c:pt idx="24">
                  <c:v>0.39082159892786594</c:v>
                </c:pt>
                <c:pt idx="25">
                  <c:v>0.39082159892786594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83-4D58-8D49-B9040E78D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'30'!$L$6:$L$31</c:f>
              <c:numCache>
                <c:formatCode>_(* #,##0_);_(* \(#,##0\);_(* "-"_);_(@_)</c:formatCode>
                <c:ptCount val="26"/>
                <c:pt idx="1">
                  <c:v>4271</c:v>
                </c:pt>
                <c:pt idx="3">
                  <c:v>1851</c:v>
                </c:pt>
                <c:pt idx="4">
                  <c:v>11532</c:v>
                </c:pt>
                <c:pt idx="5">
                  <c:v>4927</c:v>
                </c:pt>
                <c:pt idx="6">
                  <c:v>8704</c:v>
                </c:pt>
                <c:pt idx="7">
                  <c:v>10138</c:v>
                </c:pt>
                <c:pt idx="10">
                  <c:v>740</c:v>
                </c:pt>
                <c:pt idx="11">
                  <c:v>3183</c:v>
                </c:pt>
                <c:pt idx="13">
                  <c:v>4104</c:v>
                </c:pt>
                <c:pt idx="14">
                  <c:v>19672</c:v>
                </c:pt>
                <c:pt idx="15">
                  <c:v>1869</c:v>
                </c:pt>
                <c:pt idx="16">
                  <c:v>6298</c:v>
                </c:pt>
                <c:pt idx="17">
                  <c:v>48648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6-40A4-952F-F511FC5D8FF2}"/>
            </c:ext>
          </c:extLst>
        </c:ser>
        <c:ser>
          <c:idx val="1"/>
          <c:order val="1"/>
          <c:tx>
            <c:v>계획</c:v>
          </c:tx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'30'!$J$6:$J$31</c:f>
              <c:numCache>
                <c:formatCode>_(* #,##0_);_(* \(#,##0\);_(* "-"_);_(@_)</c:formatCode>
                <c:ptCount val="26"/>
                <c:pt idx="0">
                  <c:v>9868</c:v>
                </c:pt>
                <c:pt idx="1">
                  <c:v>4271</c:v>
                </c:pt>
                <c:pt idx="2">
                  <c:v>3182</c:v>
                </c:pt>
                <c:pt idx="3">
                  <c:v>1851</c:v>
                </c:pt>
                <c:pt idx="4">
                  <c:v>11532</c:v>
                </c:pt>
                <c:pt idx="5">
                  <c:v>4927</c:v>
                </c:pt>
                <c:pt idx="6">
                  <c:v>8074</c:v>
                </c:pt>
                <c:pt idx="7">
                  <c:v>10138</c:v>
                </c:pt>
                <c:pt idx="8">
                  <c:v>203</c:v>
                </c:pt>
                <c:pt idx="9">
                  <c:v>16944</c:v>
                </c:pt>
                <c:pt idx="10">
                  <c:v>740</c:v>
                </c:pt>
                <c:pt idx="11">
                  <c:v>3183</c:v>
                </c:pt>
                <c:pt idx="12">
                  <c:v>5064</c:v>
                </c:pt>
                <c:pt idx="13">
                  <c:v>4104</c:v>
                </c:pt>
                <c:pt idx="14">
                  <c:v>19672</c:v>
                </c:pt>
                <c:pt idx="15">
                  <c:v>1869</c:v>
                </c:pt>
                <c:pt idx="16">
                  <c:v>6298</c:v>
                </c:pt>
                <c:pt idx="17">
                  <c:v>48648</c:v>
                </c:pt>
                <c:pt idx="18">
                  <c:v>0</c:v>
                </c:pt>
                <c:pt idx="19">
                  <c:v>24024</c:v>
                </c:pt>
                <c:pt idx="20">
                  <c:v>1872</c:v>
                </c:pt>
                <c:pt idx="21">
                  <c:v>189476</c:v>
                </c:pt>
                <c:pt idx="22">
                  <c:v>22760</c:v>
                </c:pt>
                <c:pt idx="23">
                  <c:v>23324</c:v>
                </c:pt>
                <c:pt idx="24">
                  <c:v>25000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6-40A4-952F-F511FC5D8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'30'!$AD$6:$AD$31</c:f>
              <c:strCache>
                <c:ptCount val="26"/>
                <c:pt idx="0">
                  <c:v>0%</c:v>
                </c:pt>
                <c:pt idx="1">
                  <c:v>88%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108%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71%</c:v>
                </c:pt>
                <c:pt idx="12">
                  <c:v>0%</c:v>
                </c:pt>
                <c:pt idx="13">
                  <c:v>88%</c:v>
                </c:pt>
                <c:pt idx="14">
                  <c:v>100%</c:v>
                </c:pt>
                <c:pt idx="15">
                  <c:v>33%</c:v>
                </c:pt>
                <c:pt idx="16">
                  <c:v>63%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'30'!$AD$6:$AD$31</c:f>
              <c:numCache>
                <c:formatCode>0%</c:formatCode>
                <c:ptCount val="26"/>
                <c:pt idx="0">
                  <c:v>0</c:v>
                </c:pt>
                <c:pt idx="1">
                  <c:v>0.875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1.0780282387911815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0.70833333333333337</c:v>
                </c:pt>
                <c:pt idx="12">
                  <c:v>0</c:v>
                </c:pt>
                <c:pt idx="13">
                  <c:v>0.875</c:v>
                </c:pt>
                <c:pt idx="14">
                  <c:v>1</c:v>
                </c:pt>
                <c:pt idx="15">
                  <c:v>0.33333333333333331</c:v>
                </c:pt>
                <c:pt idx="16">
                  <c:v>0.625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E-4454-93EB-03FAFCA8EF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4E-4454-93EB-03FAFCA8EF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'30'!$D$6:$D$31</c:f>
              <c:strCache>
                <c:ptCount val="2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LEAD GUIDE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F/A</c:v>
                </c:pt>
                <c:pt idx="10">
                  <c:v>BASE</c:v>
                </c:pt>
                <c:pt idx="11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  <c:pt idx="16">
                  <c:v>LATCH</c:v>
                </c:pt>
                <c:pt idx="19">
                  <c:v>SEPARATOR</c:v>
                </c:pt>
                <c:pt idx="20">
                  <c:v>BASE</c:v>
                </c:pt>
                <c:pt idx="22">
                  <c:v>BASE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'30'!$AE$6:$AE$31</c:f>
              <c:numCache>
                <c:formatCode>0%</c:formatCode>
                <c:ptCount val="26"/>
                <c:pt idx="0">
                  <c:v>0.39082159892786594</c:v>
                </c:pt>
                <c:pt idx="1">
                  <c:v>0.39082159892786594</c:v>
                </c:pt>
                <c:pt idx="2">
                  <c:v>0.39082159892786594</c:v>
                </c:pt>
                <c:pt idx="3">
                  <c:v>0.39082159892786594</c:v>
                </c:pt>
                <c:pt idx="4">
                  <c:v>0.39082159892786594</c:v>
                </c:pt>
                <c:pt idx="5">
                  <c:v>0.39082159892786594</c:v>
                </c:pt>
                <c:pt idx="6">
                  <c:v>0.39082159892786594</c:v>
                </c:pt>
                <c:pt idx="7">
                  <c:v>0.39082159892786594</c:v>
                </c:pt>
                <c:pt idx="8">
                  <c:v>0.39082159892786594</c:v>
                </c:pt>
                <c:pt idx="9">
                  <c:v>0.39082159892786594</c:v>
                </c:pt>
                <c:pt idx="10">
                  <c:v>0.39082159892786594</c:v>
                </c:pt>
                <c:pt idx="11">
                  <c:v>0.39082159892786594</c:v>
                </c:pt>
                <c:pt idx="12">
                  <c:v>0.39082159892786594</c:v>
                </c:pt>
                <c:pt idx="13">
                  <c:v>0.39082159892786594</c:v>
                </c:pt>
                <c:pt idx="14">
                  <c:v>0.39082159892786594</c:v>
                </c:pt>
                <c:pt idx="15">
                  <c:v>0.39082159892786594</c:v>
                </c:pt>
                <c:pt idx="16">
                  <c:v>0.39082159892786594</c:v>
                </c:pt>
                <c:pt idx="17">
                  <c:v>0.39082159892786594</c:v>
                </c:pt>
                <c:pt idx="18">
                  <c:v>0.39082159892786594</c:v>
                </c:pt>
                <c:pt idx="19">
                  <c:v>0.39082159892786594</c:v>
                </c:pt>
                <c:pt idx="20">
                  <c:v>0.39082159892786594</c:v>
                </c:pt>
                <c:pt idx="21">
                  <c:v>0.39082159892786594</c:v>
                </c:pt>
                <c:pt idx="22">
                  <c:v>0.39082159892786594</c:v>
                </c:pt>
                <c:pt idx="23">
                  <c:v>0.39082159892786594</c:v>
                </c:pt>
                <c:pt idx="24">
                  <c:v>0.39082159892786594</c:v>
                </c:pt>
                <c:pt idx="25">
                  <c:v>0.39082159892786594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4E-4454-93EB-03FAFCA8E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7A6-47F7-BECE-6810C53983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6-47F7-BECE-6810C5398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2.5622939056245648E-2"/>
                  <c:y val="-0.3900797052655309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7A6-47F7-BECE-6810C53983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A6-47F7-BECE-6810C5398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12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0.45993589743589747</c:v>
                </c:pt>
                <c:pt idx="1">
                  <c:v>0.45659722222222227</c:v>
                </c:pt>
                <c:pt idx="2">
                  <c:v>0.47222222222222227</c:v>
                </c:pt>
                <c:pt idx="3">
                  <c:v>0.23263888888888887</c:v>
                </c:pt>
                <c:pt idx="5">
                  <c:v>0.61953883495145623</c:v>
                </c:pt>
                <c:pt idx="6">
                  <c:v>0.67708333333333337</c:v>
                </c:pt>
                <c:pt idx="7">
                  <c:v>0.671875</c:v>
                </c:pt>
                <c:pt idx="8">
                  <c:v>0.68576388888888884</c:v>
                </c:pt>
                <c:pt idx="9">
                  <c:v>0.63715277777777779</c:v>
                </c:pt>
                <c:pt idx="12">
                  <c:v>0.55555555555555547</c:v>
                </c:pt>
                <c:pt idx="13">
                  <c:v>0.56423611111111105</c:v>
                </c:pt>
                <c:pt idx="14">
                  <c:v>0.578125</c:v>
                </c:pt>
                <c:pt idx="15">
                  <c:v>0.59444741215574559</c:v>
                </c:pt>
                <c:pt idx="16">
                  <c:v>0.54861111111111116</c:v>
                </c:pt>
                <c:pt idx="19">
                  <c:v>0.40450055839939331</c:v>
                </c:pt>
                <c:pt idx="20">
                  <c:v>0.49826388888888884</c:v>
                </c:pt>
                <c:pt idx="21">
                  <c:v>0.49500000000000005</c:v>
                </c:pt>
                <c:pt idx="22">
                  <c:v>0.49772443142896283</c:v>
                </c:pt>
                <c:pt idx="23">
                  <c:v>0.52166666666666672</c:v>
                </c:pt>
                <c:pt idx="26">
                  <c:v>0.49999999999999994</c:v>
                </c:pt>
                <c:pt idx="27">
                  <c:v>0.48878205128205121</c:v>
                </c:pt>
                <c:pt idx="28">
                  <c:v>0.44070512820512825</c:v>
                </c:pt>
                <c:pt idx="29">
                  <c:v>0.39082159892786594</c:v>
                </c:pt>
                <c:pt idx="31">
                  <c:v>0.38681443804687632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12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총괄!$A$3:$A$26</c:f>
              <c:strCache>
                <c:ptCount val="24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  <c:pt idx="16">
                  <c:v>17호기</c:v>
                </c:pt>
                <c:pt idx="17">
                  <c:v>18호기</c:v>
                </c:pt>
                <c:pt idx="18">
                  <c:v>31호기</c:v>
                </c:pt>
                <c:pt idx="19">
                  <c:v>32호기</c:v>
                </c:pt>
                <c:pt idx="20">
                  <c:v>33호기</c:v>
                </c:pt>
                <c:pt idx="21">
                  <c:v>34호기</c:v>
                </c:pt>
                <c:pt idx="22">
                  <c:v>35호기</c:v>
                </c:pt>
                <c:pt idx="23">
                  <c:v>36호기</c:v>
                </c:pt>
              </c:strCache>
            </c:strRef>
          </c:cat>
          <c:val>
            <c:numRef>
              <c:f>총괄!$AG$3:$AG$26</c:f>
              <c:numCache>
                <c:formatCode>0%</c:formatCode>
                <c:ptCount val="24"/>
                <c:pt idx="0">
                  <c:v>0.51478494623655913</c:v>
                </c:pt>
                <c:pt idx="1">
                  <c:v>0.26302321572994974</c:v>
                </c:pt>
                <c:pt idx="2">
                  <c:v>0.54032258064516125</c:v>
                </c:pt>
                <c:pt idx="3">
                  <c:v>0.60752688172043023</c:v>
                </c:pt>
                <c:pt idx="4">
                  <c:v>0.72177419354838712</c:v>
                </c:pt>
                <c:pt idx="5">
                  <c:v>0.51344086021505364</c:v>
                </c:pt>
                <c:pt idx="6">
                  <c:v>0.70277553678634264</c:v>
                </c:pt>
                <c:pt idx="7">
                  <c:v>0.61962365591397861</c:v>
                </c:pt>
                <c:pt idx="8">
                  <c:v>7.9301075268817203E-2</c:v>
                </c:pt>
                <c:pt idx="9">
                  <c:v>0.57795698924731187</c:v>
                </c:pt>
                <c:pt idx="10">
                  <c:v>0.65860215053763449</c:v>
                </c:pt>
                <c:pt idx="11">
                  <c:v>0.27688172043010756</c:v>
                </c:pt>
                <c:pt idx="12">
                  <c:v>0.65591397849462374</c:v>
                </c:pt>
                <c:pt idx="13">
                  <c:v>0.68279569892473113</c:v>
                </c:pt>
                <c:pt idx="14">
                  <c:v>0.49327956989247318</c:v>
                </c:pt>
                <c:pt idx="15">
                  <c:v>0.46102150537634407</c:v>
                </c:pt>
                <c:pt idx="16">
                  <c:v>0</c:v>
                </c:pt>
                <c:pt idx="17">
                  <c:v>0</c:v>
                </c:pt>
                <c:pt idx="18">
                  <c:v>4.3550684679716935E-2</c:v>
                </c:pt>
                <c:pt idx="19">
                  <c:v>0</c:v>
                </c:pt>
                <c:pt idx="20">
                  <c:v>0.37768817204301069</c:v>
                </c:pt>
                <c:pt idx="21">
                  <c:v>0.32641716254306297</c:v>
                </c:pt>
                <c:pt idx="22">
                  <c:v>0.31451612903225806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7.xml"/><Relationship Id="rId1" Type="http://schemas.openxmlformats.org/officeDocument/2006/relationships/chart" Target="../charts/chart1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885F8F-FC10-49B9-B976-70310C985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77DB5F0-9846-407C-947C-82B784E48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05A5A63-0D3A-4F02-8918-950869D48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9CB54A7-A479-4B5E-BFDA-855412D65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609AF07-8F78-4F27-81EA-503F59CB8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DF3C385-D74A-4EF6-9DE8-C6F89B8F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48</xdr:row>
      <xdr:rowOff>0</xdr:rowOff>
    </xdr:from>
    <xdr:to>
      <xdr:col>29</xdr:col>
      <xdr:colOff>476250</xdr:colOff>
      <xdr:row>56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A575F3A-D320-4B68-9926-92878A688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F5456FF-0D35-40C8-B9C6-568B728EC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FCEE30B-A95F-4AF5-B42A-5E3F2F8D2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3ED8455-889F-4E27-9DA4-CC0C4FCF1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B53AA38-D39E-4392-9EDF-B34DA2F98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92B9929-78E1-4278-B2E4-5E1C856E4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82198D4-69C2-43B2-9EA4-77ADF2B90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C4284DA-97FE-4341-9B92-BED61669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E735ED2-9A65-4466-8133-5802B488C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4FE9AD4-FEC2-4D83-9F96-C08DEDDF4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977727-ECD7-4044-8ADC-11E263B42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27F86F3-EA31-4D8C-AEEE-8CE24D8F9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29D7465-6EBD-4675-B5F8-9A183061C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FC6361A-24C3-4C81-91AA-2DA60225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30F66CF-303B-41EB-A0B8-C76CD65E6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639C6C-880E-471E-A9FC-3D0C1C356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0BCD6C-7E31-48A1-9688-DC58BF8A3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5A7DB5C-3147-4A75-B173-7FFD2E12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6AE6E87-5C9C-4B87-9FCC-79722E267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9418C54-B746-4448-B405-9CC7A3406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679B927-AE90-4BB0-B4A4-C26E77E1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39F93C7-F9F2-4BC2-8529-DBCBB7C72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A3F8F5-2CB4-46C3-8F40-8D79823D3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AF70B7-E00A-4700-AC11-9A2ACA0BF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6816639-5270-4BA4-9A56-15543CC7C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F6E8C62-9B77-4CF9-8044-45141B94E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CECA55C-9B66-4B56-A34D-9F6746679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F0E0DBD-FEF3-4B66-B5F3-53E939E0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29365C9-0EE6-4A9B-9A27-11FE7B402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251E7A-5493-42A9-B306-0A375C32B0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CDD89B-0E69-4184-8CB0-145FD9EE0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BD73789-69A1-45FB-9CFB-5AF5D44E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B1BC6B-45C5-4607-A738-0A5864D1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038871-7D45-4CE2-BFDF-60B40DF81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84CDB9B-5273-49FF-A4EA-AFCDBE56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E1125C8-E7B8-4D88-AEA9-BE2E6EE61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7B1112-0725-425F-82F4-79CD12AEA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ED65CA1-18C9-4361-B732-912959F38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6149A06-0EF5-4C14-9386-2076ACE0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3FD78B5-2A0B-4D11-B65E-B4915402D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8E4F725-D3F5-4C6D-94CA-9028D8BD1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0BF9A94-5CD2-4B07-92F9-958D1B4E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2A30AFF-4FED-47CA-8D7B-DBC07EFD7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5B5D3BE-F0FA-4131-BF64-9CF1DC5EE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9A09D9-1BA8-4E76-9951-B8090EE28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D998A93-2632-4B16-AB44-BF1EAA83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5802CB5-5974-4D8D-94CE-6266E822F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46E3D81-4151-4847-9816-7C2104B38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F7D3170-E3A4-43C3-91DE-0E96C691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E9248BC-2378-40B9-9147-2F80CD4BA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74C6B2B-2A3E-4C61-BFD4-410AAD9CE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818B498-A185-45F0-9FFB-A8C9F86C0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954F06D-8A94-45B1-9E0C-7B783A841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BA75FA2-6AD7-4167-8BF0-4BBDA0186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500F1E4-1624-4E30-83C9-F147BD07E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5FE010F-E7BB-4432-B40E-DEAAF6746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5F32625-29BC-4A57-944B-A24A77DDB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D7828BE-9D28-4DC4-9DDE-270DA50AA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6FEABE5-466C-4A8C-AC49-F75AB6FE9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AFE0CEC-1005-48C6-A79C-E7C082B9C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5D998E7-37CF-45C6-A0BE-CA1A28C46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B88721F-95DC-4A20-BE57-093979EDA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5366C87-C841-49AB-A8C8-1D2CD0AD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FAB7B93-3E39-4600-9296-D4D6AFD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9D85FD-5259-401E-B409-9340FCFF6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1EBAF2C-02D5-4D44-9BFA-1D435E659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6B4C7FB-5B17-45D8-870B-62C30120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95BEFF3-6030-4556-BC1A-E8503543C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B1039B5-E15C-4F5A-B52A-BD18F5E1C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15DD78A-5744-403E-9818-08A90EAC0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C47220B-546F-4C1E-98F2-3E1B8DFF5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67350D-0B42-4DD7-B490-1F2E596FD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AFB1C8D-02CD-46C2-8F26-C487D4A28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DB463C-7510-4820-8EC7-6AA6D105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F35A1CD-73D2-4528-AB42-17E8563CF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D2DC848-F56A-4E42-A69D-CC0DD5A01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8AFA127-36D1-4DCE-A1B3-D8E0C422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CBB2184-4FFD-491D-9BA3-80EC676A8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8083A9-08AC-4ADD-8BDE-F8CA45A8A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EDADA2F-ABF4-4878-901B-04C74CB4D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D626C75-86B4-41EA-A79B-DDDA6952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3E39A9E-54E5-4A15-9A01-AA1E3F593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E4F8016-82BB-4FA5-B2EF-46AB5EE8B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325C69B-863F-4F3D-9FD2-DC33C808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B397169-DF36-4B8E-B130-852342EF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08257AA-65C4-4FC3-B367-94F7198B4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0DF73D-CAE0-4B54-A4B8-153E21663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6312BB1-AFBA-48DE-B006-35DE3D48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377ED84-0D5F-4A39-8873-0F5599515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164198F-B540-420D-B634-DCCB69D6E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E0929E7-2649-4B51-A34C-CEB68CA3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EBE57A-0140-44EA-9AAD-41DE92EA6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9161218-09F8-4D96-8458-A100AF373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6763DE0-CA3A-4367-8575-64D52F1F9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7060B55-684F-42EB-90CF-B30BC47A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C5D108-BF46-4BD3-A3DA-B98A3BF23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2E15E5E-ED09-47B2-BCE5-93E5546CB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6601CC5-1A52-403D-AD66-95701613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8CA46B8-229E-417F-9E7A-56C42B527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70950A7-6C4A-4990-B4DC-D26CE39A2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DEB2E2A-A37D-49EA-9352-EA8B43FE9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2C05AB6-424C-4851-A6EF-1E42169B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3D1C324-76F9-47E6-96F1-C33FAD8C6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A6B1839-A284-4C5A-AA3D-45FC6EB5E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82297CE-EC93-4A08-9D0D-73EC686B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DA49A16-BEC2-4CAD-B957-EA5BEFF97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2D06C5-9A39-4B51-B211-C58950435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D035877-1D4B-480A-8E73-15BC75D00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20EEF61-11F9-44D1-9D4A-F3C0E9D7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1084728</xdr:colOff>
      <xdr:row>47</xdr:row>
      <xdr:rowOff>122464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F4697A-7A57-400A-A20E-80AE131E1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-1</xdr:rowOff>
    </xdr:from>
    <xdr:to>
      <xdr:col>29</xdr:col>
      <xdr:colOff>457200</xdr:colOff>
      <xdr:row>47</xdr:row>
      <xdr:rowOff>136070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83F33BC-04A0-4F27-B1C0-3E9840785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806631E-59D7-4A75-9CD5-E40AE6435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81644</xdr:colOff>
      <xdr:row>48</xdr:row>
      <xdr:rowOff>68036</xdr:rowOff>
    </xdr:from>
    <xdr:to>
      <xdr:col>29</xdr:col>
      <xdr:colOff>489858</xdr:colOff>
      <xdr:row>56</xdr:row>
      <xdr:rowOff>95249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A2A7841-4AC0-4404-B114-095DAF58D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6EA5F6-CB10-4A84-9AB1-3857884D0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CE43E41-7041-42D3-8DF4-52F803613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88D69C2-A58E-4E0E-8773-A000BECA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FDC28DC-FC82-4A0E-856F-B5ACAB684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26F6C9D-C733-4E9E-AFA0-AF68CF752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4187979-FF3C-4AE2-BE01-80BA4C7E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28453B3-50BF-446D-B9C9-050FEDD408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A5BE20-E050-4F63-A988-11F46DB7C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6C9896D-49F3-472E-A7EC-A20A9472B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A6A0883-18D5-4B88-8D4B-F9E6A7AC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06C1E94-32BA-4697-99DF-9778D5828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0F16A7C-CDFE-445D-9F85-AB227539F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14EF81-6277-4A9E-853C-CC5449F03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47</xdr:row>
      <xdr:rowOff>0</xdr:rowOff>
    </xdr:from>
    <xdr:to>
      <xdr:col>29</xdr:col>
      <xdr:colOff>476250</xdr:colOff>
      <xdr:row>55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D90EA82-4A1D-48C2-9D96-1D37C3F83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8DA86D-3E69-4A19-B594-726DC03DF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5F25C0-7162-495F-84B2-BF34815DB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DB6D470-2D1B-46D2-9E2F-2415260D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B095155-5D76-4D64-B54F-06BFA491D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7A59C0C-C003-44CE-AA7C-01D11D066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BF23B6F-B7B9-4F51-AD7D-7C620D3E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3A857CA-0DB9-4236-BA7D-CDAC15A61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EF2C42-E4D4-49D4-BC7A-9F67E80FD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7513B3D-FCB9-4177-895B-C38C38CC7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2A7EFFF-1A15-4379-A679-63E8389CF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F1DA0A-2B41-4B3A-ABA8-B512DB3C5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890243A-EF48-44D1-911A-0568E2283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F15DDD9-E184-42A2-BEDA-F48181E4C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48</xdr:row>
      <xdr:rowOff>0</xdr:rowOff>
    </xdr:from>
    <xdr:to>
      <xdr:col>29</xdr:col>
      <xdr:colOff>476250</xdr:colOff>
      <xdr:row>56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14EA7E9-CE01-4EB9-888B-6D1F8E720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8F59ABE-974C-45EF-96A7-816A5BB00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F6383A6-175A-492C-A1D2-681231923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1B972A8-176B-4BD1-9A23-D3FAA83D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7A06301-4519-4973-B177-845D6BFE9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B5A3499-FE57-498E-8E45-C99F14F8D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79DA550-6050-440E-9B60-F468F41F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48</xdr:row>
      <xdr:rowOff>0</xdr:rowOff>
    </xdr:from>
    <xdr:to>
      <xdr:col>29</xdr:col>
      <xdr:colOff>476250</xdr:colOff>
      <xdr:row>56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09CE1B8-3D9B-4941-8E4D-2A606E044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A5718C-A63B-41EE-B194-37902502C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B20376C-29DD-4892-9E0A-C6148D8E1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4F53E1C-C9AF-4F4A-A1C8-EBF4DFF0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6C0F9E4-DF53-4E86-A5FC-34FC302F7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D09D40A-2D4E-4344-AD1A-75937FB6E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85F33DA-D1FF-4CCB-A877-80F71D88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220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48</xdr:row>
      <xdr:rowOff>0</xdr:rowOff>
    </xdr:from>
    <xdr:to>
      <xdr:col>29</xdr:col>
      <xdr:colOff>476250</xdr:colOff>
      <xdr:row>56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A5CE8B5-3633-4117-9B6F-8278FF3F9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0.90653</cdr:x>
      <cdr:y>0.06055</cdr:y>
    </cdr:from>
    <cdr:to>
      <cdr:x>0.95965</cdr:x>
      <cdr:y>0.29282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88114" y="81644"/>
          <a:ext cx="1259138" cy="313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28</xdr:row>
      <xdr:rowOff>104775</xdr:rowOff>
    </xdr:from>
    <xdr:to>
      <xdr:col>16</xdr:col>
      <xdr:colOff>66675</xdr:colOff>
      <xdr:row>40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28</xdr:row>
      <xdr:rowOff>123825</xdr:rowOff>
    </xdr:from>
    <xdr:to>
      <xdr:col>32</xdr:col>
      <xdr:colOff>371474</xdr:colOff>
      <xdr:row>40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DBF0-D640-45D2-93B0-79A11BCB90F6}">
  <sheetPr>
    <pageSetUpPr fitToPage="1"/>
  </sheetPr>
  <dimension ref="A1:AF97"/>
  <sheetViews>
    <sheetView view="pageBreakPreview" topLeftCell="A74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194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28" t="s">
        <v>17</v>
      </c>
      <c r="L5" s="128" t="s">
        <v>18</v>
      </c>
      <c r="M5" s="128" t="s">
        <v>19</v>
      </c>
      <c r="N5" s="12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162</v>
      </c>
      <c r="E6" s="53" t="s">
        <v>183</v>
      </c>
      <c r="F6" s="30" t="s">
        <v>136</v>
      </c>
      <c r="G6" s="12">
        <v>1</v>
      </c>
      <c r="H6" s="13">
        <v>24</v>
      </c>
      <c r="I6" s="31">
        <v>2000</v>
      </c>
      <c r="J6" s="14">
        <v>5292</v>
      </c>
      <c r="K6" s="15">
        <f>L6+4276+5292</f>
        <v>9568</v>
      </c>
      <c r="L6" s="15"/>
      <c r="M6" s="15">
        <f t="shared" ref="M6:M31" si="0">L6-N6</f>
        <v>0</v>
      </c>
      <c r="N6" s="15">
        <v>0</v>
      </c>
      <c r="O6" s="58" t="str">
        <f t="shared" ref="O6:O32" si="1">IF(L6=0,"0",N6/L6)</f>
        <v>0</v>
      </c>
      <c r="P6" s="39" t="str">
        <f t="shared" ref="P6:P31" si="2">IF(L6=0,"0",(24-Q6))</f>
        <v>0</v>
      </c>
      <c r="Q6" s="40">
        <f t="shared" ref="Q6:Q3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31" si="4">IF(J6=0,"0",(L6/J6))</f>
        <v>0</v>
      </c>
      <c r="AC6" s="9">
        <f t="shared" ref="AC6:AC31" si="5">IF(P6=0,"0",(P6/24))</f>
        <v>0</v>
      </c>
      <c r="AD6" s="10">
        <f>AC6*AB6*(1-O6)</f>
        <v>0</v>
      </c>
      <c r="AE6" s="36">
        <f t="shared" ref="AE6:AE31" si="6">$AD$32</f>
        <v>0.45993589743589747</v>
      </c>
      <c r="AF6" s="81">
        <f t="shared" ref="AF6:AF31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135</v>
      </c>
      <c r="E7" s="53" t="s">
        <v>177</v>
      </c>
      <c r="F7" s="30" t="s">
        <v>134</v>
      </c>
      <c r="G7" s="12">
        <v>1</v>
      </c>
      <c r="H7" s="13">
        <v>24</v>
      </c>
      <c r="I7" s="31">
        <v>6000</v>
      </c>
      <c r="J7" s="14">
        <v>585</v>
      </c>
      <c r="K7" s="15">
        <f>L7+2472+6598+585</f>
        <v>9655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20</v>
      </c>
      <c r="R7" s="7"/>
      <c r="S7" s="6"/>
      <c r="T7" s="16"/>
      <c r="U7" s="16"/>
      <c r="V7" s="17"/>
      <c r="W7" s="5">
        <v>20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31" si="8">AC7*AB7*(1-O7)</f>
        <v>0</v>
      </c>
      <c r="AE7" s="36">
        <f t="shared" si="6"/>
        <v>0.45993589743589747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116</v>
      </c>
      <c r="D8" s="52" t="s">
        <v>115</v>
      </c>
      <c r="E8" s="53" t="s">
        <v>196</v>
      </c>
      <c r="F8" s="30" t="s">
        <v>133</v>
      </c>
      <c r="G8" s="12">
        <v>1</v>
      </c>
      <c r="H8" s="13">
        <v>24</v>
      </c>
      <c r="I8" s="7">
        <v>9000</v>
      </c>
      <c r="J8" s="14">
        <v>2238</v>
      </c>
      <c r="K8" s="15">
        <f>L8</f>
        <v>2238</v>
      </c>
      <c r="L8" s="15">
        <f>871+1367</f>
        <v>2238</v>
      </c>
      <c r="M8" s="15">
        <f t="shared" si="0"/>
        <v>2238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8"/>
        <v>0.54166666666666663</v>
      </c>
      <c r="AE8" s="36">
        <f t="shared" si="6"/>
        <v>0.45993589743589747</v>
      </c>
      <c r="AF8" s="81">
        <f t="shared" si="7"/>
        <v>3</v>
      </c>
    </row>
    <row r="9" spans="1:32" ht="27" customHeight="1">
      <c r="A9" s="92">
        <v>3</v>
      </c>
      <c r="B9" s="11" t="s">
        <v>57</v>
      </c>
      <c r="C9" s="34" t="s">
        <v>112</v>
      </c>
      <c r="D9" s="52" t="s">
        <v>115</v>
      </c>
      <c r="E9" s="53" t="s">
        <v>187</v>
      </c>
      <c r="F9" s="30" t="s">
        <v>145</v>
      </c>
      <c r="G9" s="12">
        <v>1</v>
      </c>
      <c r="H9" s="13">
        <v>24</v>
      </c>
      <c r="I9" s="7">
        <v>500</v>
      </c>
      <c r="J9" s="14">
        <v>30</v>
      </c>
      <c r="K9" s="15">
        <f>L9+598</f>
        <v>628</v>
      </c>
      <c r="L9" s="15">
        <v>30</v>
      </c>
      <c r="M9" s="15">
        <f t="shared" si="0"/>
        <v>30</v>
      </c>
      <c r="N9" s="15">
        <v>0</v>
      </c>
      <c r="O9" s="58">
        <f t="shared" si="1"/>
        <v>0</v>
      </c>
      <c r="P9" s="39">
        <f t="shared" si="2"/>
        <v>2</v>
      </c>
      <c r="Q9" s="40">
        <f t="shared" si="3"/>
        <v>22</v>
      </c>
      <c r="R9" s="7"/>
      <c r="S9" s="6">
        <v>22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8.3333333333333329E-2</v>
      </c>
      <c r="AD9" s="10">
        <f t="shared" si="8"/>
        <v>8.3333333333333329E-2</v>
      </c>
      <c r="AE9" s="36">
        <f t="shared" si="6"/>
        <v>0.45993589743589747</v>
      </c>
      <c r="AF9" s="81">
        <f t="shared" si="7"/>
        <v>3</v>
      </c>
    </row>
    <row r="10" spans="1:32" ht="27" customHeight="1">
      <c r="A10" s="92">
        <v>4</v>
      </c>
      <c r="B10" s="11" t="s">
        <v>57</v>
      </c>
      <c r="C10" s="34" t="s">
        <v>112</v>
      </c>
      <c r="D10" s="52" t="s">
        <v>152</v>
      </c>
      <c r="E10" s="53" t="s">
        <v>191</v>
      </c>
      <c r="F10" s="30" t="s">
        <v>197</v>
      </c>
      <c r="G10" s="12">
        <v>1</v>
      </c>
      <c r="H10" s="13">
        <v>24</v>
      </c>
      <c r="I10" s="7">
        <v>1000</v>
      </c>
      <c r="J10" s="14">
        <v>7625</v>
      </c>
      <c r="K10" s="15">
        <f>L10</f>
        <v>7625</v>
      </c>
      <c r="L10" s="15">
        <f>3590+4035</f>
        <v>7625</v>
      </c>
      <c r="M10" s="15">
        <f t="shared" si="0"/>
        <v>7625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0.45993589743589747</v>
      </c>
      <c r="AF10" s="81">
        <f t="shared" si="7"/>
        <v>4</v>
      </c>
    </row>
    <row r="11" spans="1:32" ht="27" customHeight="1">
      <c r="A11" s="92">
        <v>5</v>
      </c>
      <c r="B11" s="11" t="s">
        <v>57</v>
      </c>
      <c r="C11" s="11" t="s">
        <v>112</v>
      </c>
      <c r="D11" s="52" t="s">
        <v>144</v>
      </c>
      <c r="E11" s="53" t="s">
        <v>189</v>
      </c>
      <c r="F11" s="30" t="s">
        <v>198</v>
      </c>
      <c r="G11" s="33">
        <v>1</v>
      </c>
      <c r="H11" s="35">
        <v>24</v>
      </c>
      <c r="I11" s="7">
        <v>3000</v>
      </c>
      <c r="J11" s="14">
        <v>5443</v>
      </c>
      <c r="K11" s="15">
        <f>L11</f>
        <v>5443</v>
      </c>
      <c r="L11" s="15">
        <f>2529+2914</f>
        <v>5443</v>
      </c>
      <c r="M11" s="15">
        <f t="shared" si="0"/>
        <v>5443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0.45993589743589747</v>
      </c>
      <c r="AF11" s="81">
        <f t="shared" si="7"/>
        <v>5</v>
      </c>
    </row>
    <row r="12" spans="1:32" ht="27" customHeight="1">
      <c r="A12" s="92">
        <v>6</v>
      </c>
      <c r="B12" s="11" t="s">
        <v>57</v>
      </c>
      <c r="C12" s="11" t="s">
        <v>116</v>
      </c>
      <c r="D12" s="52" t="s">
        <v>161</v>
      </c>
      <c r="E12" s="53" t="s">
        <v>184</v>
      </c>
      <c r="F12" s="30" t="s">
        <v>133</v>
      </c>
      <c r="G12" s="33">
        <v>1</v>
      </c>
      <c r="H12" s="35">
        <v>24</v>
      </c>
      <c r="I12" s="7">
        <v>22000</v>
      </c>
      <c r="J12" s="14">
        <v>4493</v>
      </c>
      <c r="K12" s="15">
        <f>L12+1121+873</f>
        <v>6487</v>
      </c>
      <c r="L12" s="15">
        <f>1787+2706</f>
        <v>4493</v>
      </c>
      <c r="M12" s="15">
        <f t="shared" si="0"/>
        <v>4493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8"/>
        <v>0.83333333333333337</v>
      </c>
      <c r="AE12" s="36">
        <f t="shared" si="6"/>
        <v>0.45993589743589747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173</v>
      </c>
      <c r="F13" s="30" t="s">
        <v>147</v>
      </c>
      <c r="G13" s="12">
        <v>2</v>
      </c>
      <c r="H13" s="13">
        <v>22</v>
      </c>
      <c r="I13" s="31">
        <v>71000</v>
      </c>
      <c r="J13" s="5">
        <v>9592</v>
      </c>
      <c r="K13" s="15">
        <f>L13+9138+9640+10002+9460+8804+9066</f>
        <v>65702</v>
      </c>
      <c r="L13" s="15">
        <f>2425*2+2371*2</f>
        <v>9592</v>
      </c>
      <c r="M13" s="15">
        <f t="shared" si="0"/>
        <v>9592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0.45993589743589747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116</v>
      </c>
      <c r="D14" s="52" t="s">
        <v>142</v>
      </c>
      <c r="E14" s="53" t="s">
        <v>174</v>
      </c>
      <c r="F14" s="30" t="s">
        <v>175</v>
      </c>
      <c r="G14" s="33">
        <v>2</v>
      </c>
      <c r="H14" s="35">
        <v>22</v>
      </c>
      <c r="I14" s="7">
        <v>68000</v>
      </c>
      <c r="J14" s="14">
        <v>14940</v>
      </c>
      <c r="K14" s="15">
        <f>L14+10908+11004+14278+13894+14816+13532</f>
        <v>93372</v>
      </c>
      <c r="L14" s="15">
        <f>3784*2+3686*2</f>
        <v>14940</v>
      </c>
      <c r="M14" s="15">
        <f t="shared" si="0"/>
        <v>14940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0.45993589743589747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112</v>
      </c>
      <c r="D15" s="52" t="s">
        <v>115</v>
      </c>
      <c r="E15" s="53" t="s">
        <v>190</v>
      </c>
      <c r="F15" s="30" t="s">
        <v>143</v>
      </c>
      <c r="G15" s="33">
        <v>1</v>
      </c>
      <c r="H15" s="35">
        <v>50</v>
      </c>
      <c r="I15" s="7">
        <v>300</v>
      </c>
      <c r="J15" s="5">
        <v>631</v>
      </c>
      <c r="K15" s="15">
        <f>L15</f>
        <v>631</v>
      </c>
      <c r="L15" s="15">
        <f>23+608</f>
        <v>631</v>
      </c>
      <c r="M15" s="15">
        <f t="shared" si="0"/>
        <v>631</v>
      </c>
      <c r="N15" s="15">
        <v>0</v>
      </c>
      <c r="O15" s="58">
        <f t="shared" si="1"/>
        <v>0</v>
      </c>
      <c r="P15" s="39">
        <f t="shared" si="2"/>
        <v>13</v>
      </c>
      <c r="Q15" s="40">
        <f t="shared" si="3"/>
        <v>11</v>
      </c>
      <c r="R15" s="7"/>
      <c r="S15" s="6">
        <v>11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0.54166666666666663</v>
      </c>
      <c r="AD15" s="10">
        <f t="shared" si="8"/>
        <v>0.54166666666666663</v>
      </c>
      <c r="AE15" s="36">
        <f t="shared" si="6"/>
        <v>0.45993589743589747</v>
      </c>
      <c r="AF15" s="81">
        <f t="shared" si="7"/>
        <v>9</v>
      </c>
    </row>
    <row r="16" spans="1:32" ht="27" customHeight="1">
      <c r="A16" s="106">
        <v>10</v>
      </c>
      <c r="B16" s="11" t="s">
        <v>57</v>
      </c>
      <c r="C16" s="34" t="s">
        <v>172</v>
      </c>
      <c r="D16" s="52" t="s">
        <v>178</v>
      </c>
      <c r="E16" s="53" t="s">
        <v>179</v>
      </c>
      <c r="F16" s="30" t="s">
        <v>180</v>
      </c>
      <c r="G16" s="12">
        <v>4</v>
      </c>
      <c r="H16" s="13">
        <v>24</v>
      </c>
      <c r="I16" s="31">
        <v>157200</v>
      </c>
      <c r="J16" s="14">
        <v>24984</v>
      </c>
      <c r="K16" s="15">
        <f>L16+15076+24324+23616</f>
        <v>88000</v>
      </c>
      <c r="L16" s="15">
        <f>3143*4+3103*4</f>
        <v>24984</v>
      </c>
      <c r="M16" s="15">
        <f t="shared" si="0"/>
        <v>24984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0.45993589743589747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116</v>
      </c>
      <c r="D17" s="52" t="s">
        <v>157</v>
      </c>
      <c r="E17" s="53" t="s">
        <v>167</v>
      </c>
      <c r="F17" s="30" t="s">
        <v>122</v>
      </c>
      <c r="G17" s="12">
        <v>2</v>
      </c>
      <c r="H17" s="13">
        <v>22</v>
      </c>
      <c r="I17" s="31">
        <v>260000</v>
      </c>
      <c r="J17" s="5">
        <v>11420</v>
      </c>
      <c r="K17" s="15">
        <f>L17+9350+9873+10572+11420+9694+7670+11372+10884+8431+5890+10900+11458+11552+11940+10862+11588+10714</f>
        <v>185590</v>
      </c>
      <c r="L17" s="15">
        <f>2866*2+2844*2</f>
        <v>11420</v>
      </c>
      <c r="M17" s="15">
        <f t="shared" si="0"/>
        <v>11420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0.45993589743589747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164</v>
      </c>
      <c r="D18" s="52"/>
      <c r="E18" s="53" t="s">
        <v>163</v>
      </c>
      <c r="F18" s="30" t="s">
        <v>156</v>
      </c>
      <c r="G18" s="12">
        <v>1</v>
      </c>
      <c r="H18" s="13">
        <v>24</v>
      </c>
      <c r="I18" s="7">
        <v>600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0.45993589743589747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115</v>
      </c>
      <c r="E19" s="53" t="s">
        <v>168</v>
      </c>
      <c r="F19" s="30" t="s">
        <v>133</v>
      </c>
      <c r="G19" s="12">
        <v>2</v>
      </c>
      <c r="H19" s="13">
        <v>22</v>
      </c>
      <c r="I19" s="31">
        <v>260000</v>
      </c>
      <c r="J19" s="5">
        <v>11244</v>
      </c>
      <c r="K19" s="15">
        <f>L19+10480+11444+11648+11082+10368+10658+11130+11168+12108+9740+10720+10498+11286+11772+11032+11242+10656</f>
        <v>198276</v>
      </c>
      <c r="L19" s="15">
        <f>2850*2+2772*2</f>
        <v>11244</v>
      </c>
      <c r="M19" s="15">
        <f t="shared" si="0"/>
        <v>11244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0.45993589743589747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124</v>
      </c>
      <c r="D20" s="52" t="s">
        <v>160</v>
      </c>
      <c r="E20" s="53" t="s">
        <v>188</v>
      </c>
      <c r="F20" s="30" t="s">
        <v>143</v>
      </c>
      <c r="G20" s="33">
        <v>1</v>
      </c>
      <c r="H20" s="35">
        <v>24</v>
      </c>
      <c r="I20" s="7">
        <v>2500</v>
      </c>
      <c r="J20" s="14">
        <v>1633</v>
      </c>
      <c r="K20" s="15">
        <f>L20+4563</f>
        <v>6196</v>
      </c>
      <c r="L20" s="15">
        <v>1633</v>
      </c>
      <c r="M20" s="15">
        <f t="shared" si="0"/>
        <v>1633</v>
      </c>
      <c r="N20" s="15">
        <v>0</v>
      </c>
      <c r="O20" s="58">
        <f t="shared" si="1"/>
        <v>0</v>
      </c>
      <c r="P20" s="39">
        <f t="shared" si="2"/>
        <v>9</v>
      </c>
      <c r="Q20" s="40">
        <f t="shared" si="3"/>
        <v>15</v>
      </c>
      <c r="R20" s="7"/>
      <c r="S20" s="6"/>
      <c r="T20" s="16"/>
      <c r="U20" s="16"/>
      <c r="V20" s="17"/>
      <c r="W20" s="5">
        <v>15</v>
      </c>
      <c r="X20" s="16"/>
      <c r="Y20" s="16"/>
      <c r="Z20" s="16"/>
      <c r="AA20" s="18"/>
      <c r="AB20" s="8">
        <f t="shared" si="4"/>
        <v>1</v>
      </c>
      <c r="AC20" s="9">
        <f t="shared" si="5"/>
        <v>0.375</v>
      </c>
      <c r="AD20" s="10">
        <f t="shared" si="8"/>
        <v>0.375</v>
      </c>
      <c r="AE20" s="36">
        <f t="shared" si="6"/>
        <v>0.45993589743589747</v>
      </c>
      <c r="AF20" s="81">
        <f t="shared" si="7"/>
        <v>14</v>
      </c>
    </row>
    <row r="21" spans="1:32" ht="27" customHeight="1">
      <c r="A21" s="92">
        <v>14</v>
      </c>
      <c r="B21" s="11" t="s">
        <v>57</v>
      </c>
      <c r="C21" s="11" t="s">
        <v>124</v>
      </c>
      <c r="D21" s="52" t="s">
        <v>193</v>
      </c>
      <c r="E21" s="53" t="s">
        <v>192</v>
      </c>
      <c r="F21" s="30" t="s">
        <v>143</v>
      </c>
      <c r="G21" s="33">
        <v>1</v>
      </c>
      <c r="H21" s="35">
        <v>24</v>
      </c>
      <c r="I21" s="7">
        <v>2500</v>
      </c>
      <c r="J21" s="14">
        <v>3362</v>
      </c>
      <c r="K21" s="15">
        <f>L21</f>
        <v>3362</v>
      </c>
      <c r="L21" s="15">
        <f>758+2604</f>
        <v>3362</v>
      </c>
      <c r="M21" s="15">
        <f t="shared" ref="M21" si="9">L21-N21</f>
        <v>3362</v>
      </c>
      <c r="N21" s="15">
        <v>0</v>
      </c>
      <c r="O21" s="58">
        <f t="shared" ref="O21" si="10">IF(L21=0,"0",N21/L21)</f>
        <v>0</v>
      </c>
      <c r="P21" s="39">
        <f t="shared" ref="P21" si="11">IF(L21=0,"0",(24-Q21))</f>
        <v>14</v>
      </c>
      <c r="Q21" s="40">
        <f t="shared" ref="Q21" si="12">SUM(R21:AA21)</f>
        <v>10</v>
      </c>
      <c r="R21" s="7"/>
      <c r="S21" s="6"/>
      <c r="T21" s="16">
        <v>10</v>
      </c>
      <c r="U21" s="16"/>
      <c r="V21" s="17"/>
      <c r="W21" s="5"/>
      <c r="X21" s="16"/>
      <c r="Y21" s="16"/>
      <c r="Z21" s="16"/>
      <c r="AA21" s="18"/>
      <c r="AB21" s="8">
        <f t="shared" ref="AB21" si="13">IF(J21=0,"0",(L21/J21))</f>
        <v>1</v>
      </c>
      <c r="AC21" s="9">
        <f t="shared" ref="AC21" si="14">IF(P21=0,"0",(P21/24))</f>
        <v>0.58333333333333337</v>
      </c>
      <c r="AD21" s="10">
        <f t="shared" ref="AD21" si="15">AC21*AB21*(1-O21)</f>
        <v>0.58333333333333337</v>
      </c>
      <c r="AE21" s="36">
        <f t="shared" si="6"/>
        <v>0.45993589743589747</v>
      </c>
      <c r="AF21" s="81">
        <f t="shared" ref="AF21" si="16">A21</f>
        <v>14</v>
      </c>
    </row>
    <row r="22" spans="1:32" ht="27" customHeight="1">
      <c r="A22" s="106">
        <v>15</v>
      </c>
      <c r="B22" s="11" t="s">
        <v>57</v>
      </c>
      <c r="C22" s="11" t="s">
        <v>116</v>
      </c>
      <c r="D22" s="52" t="s">
        <v>142</v>
      </c>
      <c r="E22" s="53" t="s">
        <v>185</v>
      </c>
      <c r="F22" s="30" t="s">
        <v>176</v>
      </c>
      <c r="G22" s="33">
        <v>1</v>
      </c>
      <c r="H22" s="35">
        <v>24</v>
      </c>
      <c r="I22" s="7">
        <v>22000</v>
      </c>
      <c r="J22" s="14">
        <v>5426</v>
      </c>
      <c r="K22" s="15">
        <f>L22+5062+5211</f>
        <v>15699</v>
      </c>
      <c r="L22" s="15">
        <f>2789+2637</f>
        <v>5426</v>
      </c>
      <c r="M22" s="15">
        <f t="shared" si="0"/>
        <v>5426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0.45993589743589747</v>
      </c>
      <c r="AF22" s="81">
        <f t="shared" si="7"/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165</v>
      </c>
      <c r="F23" s="12" t="s">
        <v>114</v>
      </c>
      <c r="G23" s="12">
        <v>4</v>
      </c>
      <c r="H23" s="35">
        <v>20</v>
      </c>
      <c r="I23" s="7">
        <v>2000000</v>
      </c>
      <c r="J23" s="14">
        <v>64780</v>
      </c>
      <c r="K23" s="15">
        <f>L23+64424+64620+22548+54104+64632+65016+67504+61284+57732</f>
        <v>586644</v>
      </c>
      <c r="L23" s="15">
        <f>8189*4+8006*4</f>
        <v>64780</v>
      </c>
      <c r="M23" s="15">
        <f t="shared" si="0"/>
        <v>64780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0.45993589743589747</v>
      </c>
      <c r="AF23" s="81">
        <f t="shared" si="7"/>
        <v>16</v>
      </c>
    </row>
    <row r="24" spans="1:32" ht="26.25" customHeight="1">
      <c r="A24" s="115">
        <v>17</v>
      </c>
      <c r="B24" s="11" t="s">
        <v>57</v>
      </c>
      <c r="C24" s="11"/>
      <c r="D24" s="52"/>
      <c r="E24" s="53"/>
      <c r="F24" s="12"/>
      <c r="G24" s="12"/>
      <c r="H24" s="35"/>
      <c r="I24" s="7">
        <v>0</v>
      </c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0.45993589743589747</v>
      </c>
      <c r="AF24" s="81">
        <f t="shared" si="7"/>
        <v>17</v>
      </c>
    </row>
    <row r="25" spans="1:32" ht="26.25" customHeight="1">
      <c r="A25" s="115">
        <v>18</v>
      </c>
      <c r="B25" s="11" t="s">
        <v>57</v>
      </c>
      <c r="C25" s="11" t="s">
        <v>116</v>
      </c>
      <c r="D25" s="52" t="s">
        <v>152</v>
      </c>
      <c r="E25" s="53" t="s">
        <v>166</v>
      </c>
      <c r="F25" s="12" t="s">
        <v>153</v>
      </c>
      <c r="G25" s="12">
        <v>4</v>
      </c>
      <c r="H25" s="35">
        <v>15</v>
      </c>
      <c r="I25" s="7">
        <v>20000</v>
      </c>
      <c r="J25" s="14">
        <v>24024</v>
      </c>
      <c r="K25" s="15">
        <f>L25+14040+7084+2888+25304+4864+24024</f>
        <v>78204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/>
      <c r="X25" s="16"/>
      <c r="Y25" s="16"/>
      <c r="Z25" s="16"/>
      <c r="AA25" s="18">
        <v>24</v>
      </c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0.45993589743589747</v>
      </c>
      <c r="AF25" s="81">
        <f t="shared" si="7"/>
        <v>18</v>
      </c>
    </row>
    <row r="26" spans="1:32" ht="21.75" customHeight="1">
      <c r="A26" s="92">
        <v>31</v>
      </c>
      <c r="B26" s="11" t="s">
        <v>57</v>
      </c>
      <c r="C26" s="11" t="s">
        <v>116</v>
      </c>
      <c r="D26" s="52" t="s">
        <v>115</v>
      </c>
      <c r="E26" s="53" t="s">
        <v>139</v>
      </c>
      <c r="F26" s="12" t="s">
        <v>133</v>
      </c>
      <c r="G26" s="12">
        <v>4</v>
      </c>
      <c r="H26" s="35">
        <v>20</v>
      </c>
      <c r="I26" s="7">
        <v>70000</v>
      </c>
      <c r="J26" s="14">
        <v>22300</v>
      </c>
      <c r="K26" s="15">
        <f>L26+22300</f>
        <v>22300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0.45993589743589747</v>
      </c>
      <c r="AF26" s="81">
        <f t="shared" si="7"/>
        <v>31</v>
      </c>
    </row>
    <row r="27" spans="1:32" ht="21.75" customHeight="1">
      <c r="A27" s="92">
        <v>32</v>
      </c>
      <c r="B27" s="11" t="s">
        <v>57</v>
      </c>
      <c r="C27" s="11" t="s">
        <v>150</v>
      </c>
      <c r="D27" s="52"/>
      <c r="E27" s="53" t="s">
        <v>149</v>
      </c>
      <c r="F27" s="12" t="s">
        <v>151</v>
      </c>
      <c r="G27" s="12">
        <v>30</v>
      </c>
      <c r="H27" s="35">
        <v>20</v>
      </c>
      <c r="I27" s="7">
        <v>2000000</v>
      </c>
      <c r="J27" s="14">
        <v>189476</v>
      </c>
      <c r="K27" s="15">
        <f>L27+322260+481964+478184+484736+189476</f>
        <v>1956620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7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0.45993589743589747</v>
      </c>
      <c r="AF27" s="81">
        <f t="shared" si="7"/>
        <v>32</v>
      </c>
    </row>
    <row r="28" spans="1:32" ht="21.75" customHeight="1">
      <c r="A28" s="92">
        <v>33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133</v>
      </c>
      <c r="G28" s="12">
        <v>3</v>
      </c>
      <c r="H28" s="35">
        <v>20</v>
      </c>
      <c r="I28" s="7">
        <v>130000</v>
      </c>
      <c r="J28" s="14">
        <v>15393</v>
      </c>
      <c r="K28" s="15">
        <f>L28+15220+23840+22923+6507+15501+18108+17847+18078+15393</f>
        <v>153417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0.45993589743589747</v>
      </c>
      <c r="AF28" s="81">
        <f t="shared" si="7"/>
        <v>33</v>
      </c>
    </row>
    <row r="29" spans="1:32" ht="21.75" customHeight="1">
      <c r="A29" s="92">
        <v>34</v>
      </c>
      <c r="B29" s="11" t="s">
        <v>57</v>
      </c>
      <c r="C29" s="11" t="s">
        <v>116</v>
      </c>
      <c r="D29" s="52" t="s">
        <v>157</v>
      </c>
      <c r="E29" s="53" t="s">
        <v>170</v>
      </c>
      <c r="F29" s="12" t="s">
        <v>123</v>
      </c>
      <c r="G29" s="12">
        <v>4</v>
      </c>
      <c r="H29" s="35">
        <v>20</v>
      </c>
      <c r="I29" s="7">
        <v>130000</v>
      </c>
      <c r="J29" s="14">
        <v>24332</v>
      </c>
      <c r="K29" s="15">
        <f>L29+15632+12648+1958+21292+27256+2770+24332</f>
        <v>105888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0.45993589743589747</v>
      </c>
      <c r="AF29" s="81">
        <f t="shared" si="7"/>
        <v>34</v>
      </c>
    </row>
    <row r="30" spans="1:32" ht="21.75" customHeight="1">
      <c r="A30" s="92">
        <v>35</v>
      </c>
      <c r="B30" s="11" t="s">
        <v>57</v>
      </c>
      <c r="C30" s="11" t="s">
        <v>116</v>
      </c>
      <c r="D30" s="52" t="s">
        <v>121</v>
      </c>
      <c r="E30" s="53" t="s">
        <v>171</v>
      </c>
      <c r="F30" s="12" t="s">
        <v>123</v>
      </c>
      <c r="G30" s="12">
        <v>4</v>
      </c>
      <c r="H30" s="35">
        <v>20</v>
      </c>
      <c r="I30" s="7">
        <v>130000</v>
      </c>
      <c r="J30" s="14">
        <v>26116</v>
      </c>
      <c r="K30" s="15">
        <f>L30+27916+29980+10704+25528+29800+29376+29736+26116</f>
        <v>209156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/>
      <c r="W30" s="5">
        <v>24</v>
      </c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0.45993589743589747</v>
      </c>
      <c r="AF30" s="81">
        <f t="shared" si="7"/>
        <v>35</v>
      </c>
    </row>
    <row r="31" spans="1:32" ht="21.75" customHeight="1" thickBot="1">
      <c r="A31" s="92">
        <v>36</v>
      </c>
      <c r="B31" s="11" t="s">
        <v>57</v>
      </c>
      <c r="C31" s="11" t="s">
        <v>113</v>
      </c>
      <c r="D31" s="52"/>
      <c r="E31" s="53" t="s">
        <v>140</v>
      </c>
      <c r="F31" s="12" t="s">
        <v>114</v>
      </c>
      <c r="G31" s="12">
        <v>4</v>
      </c>
      <c r="H31" s="35">
        <v>20</v>
      </c>
      <c r="I31" s="7">
        <v>1000000</v>
      </c>
      <c r="J31" s="14">
        <v>79328</v>
      </c>
      <c r="K31" s="15">
        <f>L31+28388+70816+76368+81764+83428+47688+53180+83092+82192+79328</f>
        <v>686244</v>
      </c>
      <c r="L31" s="15"/>
      <c r="M31" s="15">
        <f t="shared" si="0"/>
        <v>0</v>
      </c>
      <c r="N31" s="15">
        <v>0</v>
      </c>
      <c r="O31" s="58" t="str">
        <f t="shared" si="1"/>
        <v>0</v>
      </c>
      <c r="P31" s="39" t="str">
        <f t="shared" si="2"/>
        <v>0</v>
      </c>
      <c r="Q31" s="40">
        <f t="shared" si="3"/>
        <v>24</v>
      </c>
      <c r="R31" s="7"/>
      <c r="S31" s="6"/>
      <c r="T31" s="16"/>
      <c r="U31" s="16"/>
      <c r="V31" s="114">
        <v>24</v>
      </c>
      <c r="W31" s="5"/>
      <c r="X31" s="16"/>
      <c r="Y31" s="16"/>
      <c r="Z31" s="16"/>
      <c r="AA31" s="18"/>
      <c r="AB31" s="8">
        <f t="shared" si="4"/>
        <v>0</v>
      </c>
      <c r="AC31" s="9">
        <f t="shared" si="5"/>
        <v>0</v>
      </c>
      <c r="AD31" s="10">
        <f t="shared" si="8"/>
        <v>0</v>
      </c>
      <c r="AE31" s="36">
        <f t="shared" si="6"/>
        <v>0.45993589743589747</v>
      </c>
      <c r="AF31" s="81">
        <f t="shared" si="7"/>
        <v>36</v>
      </c>
    </row>
    <row r="32" spans="1:32" ht="19.5" thickBot="1">
      <c r="A32" s="420" t="s">
        <v>34</v>
      </c>
      <c r="B32" s="421"/>
      <c r="C32" s="421"/>
      <c r="D32" s="421"/>
      <c r="E32" s="421"/>
      <c r="F32" s="421"/>
      <c r="G32" s="421"/>
      <c r="H32" s="422"/>
      <c r="I32" s="22">
        <f t="shared" ref="I32:N32" si="17">SUM(I6:I31)</f>
        <v>6367600</v>
      </c>
      <c r="J32" s="19">
        <f t="shared" si="17"/>
        <v>555287</v>
      </c>
      <c r="K32" s="20">
        <f t="shared" si="17"/>
        <v>4497545</v>
      </c>
      <c r="L32" s="21">
        <f t="shared" si="17"/>
        <v>167841</v>
      </c>
      <c r="M32" s="20">
        <f t="shared" si="17"/>
        <v>167841</v>
      </c>
      <c r="N32" s="21">
        <f t="shared" si="17"/>
        <v>0</v>
      </c>
      <c r="O32" s="41">
        <f t="shared" si="1"/>
        <v>0</v>
      </c>
      <c r="P32" s="42">
        <f t="shared" ref="P32:AA32" si="18">SUM(P6:P31)</f>
        <v>287</v>
      </c>
      <c r="Q32" s="43">
        <f t="shared" si="18"/>
        <v>309</v>
      </c>
      <c r="R32" s="23">
        <f t="shared" si="18"/>
        <v>0</v>
      </c>
      <c r="S32" s="24">
        <f t="shared" si="18"/>
        <v>48</v>
      </c>
      <c r="T32" s="24">
        <f t="shared" si="18"/>
        <v>10</v>
      </c>
      <c r="U32" s="24">
        <f t="shared" si="18"/>
        <v>0</v>
      </c>
      <c r="V32" s="25">
        <f t="shared" si="18"/>
        <v>48</v>
      </c>
      <c r="W32" s="26">
        <f t="shared" si="18"/>
        <v>179</v>
      </c>
      <c r="X32" s="27">
        <f t="shared" si="18"/>
        <v>0</v>
      </c>
      <c r="Y32" s="27">
        <f t="shared" si="18"/>
        <v>0</v>
      </c>
      <c r="Z32" s="27">
        <f t="shared" si="18"/>
        <v>0</v>
      </c>
      <c r="AA32" s="27">
        <f t="shared" si="18"/>
        <v>24</v>
      </c>
      <c r="AB32" s="28">
        <f>AVERAGE(AB6:AB31)</f>
        <v>0.6</v>
      </c>
      <c r="AC32" s="4">
        <f>AVERAGE(AC6:AC31)</f>
        <v>0.45993589743589747</v>
      </c>
      <c r="AD32" s="4">
        <f>AVERAGE(AD6:AD31)</f>
        <v>0.45993589743589747</v>
      </c>
      <c r="AE32" s="29"/>
    </row>
    <row r="33" spans="1:32">
      <c r="T33" s="50" t="s">
        <v>125</v>
      </c>
    </row>
    <row r="34" spans="1:32" ht="18.75">
      <c r="A34" s="2"/>
      <c r="B34" s="2" t="s">
        <v>35</v>
      </c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 t="s">
        <v>36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1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 t="s">
        <v>126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82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7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7.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12" customHeight="1">
      <c r="A49" s="59"/>
      <c r="B49" s="59"/>
      <c r="C49" s="59"/>
      <c r="D49" s="59"/>
      <c r="E49" s="59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F49" s="50"/>
    </row>
    <row r="50" spans="1:32" ht="12" customHeight="1">
      <c r="A50" s="60"/>
      <c r="B50" s="60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2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2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36" thickBot="1">
      <c r="A59" s="423" t="s">
        <v>45</v>
      </c>
      <c r="B59" s="423"/>
      <c r="C59" s="423"/>
      <c r="D59" s="423"/>
      <c r="E59" s="423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26.25" thickBot="1">
      <c r="A60" s="424" t="s">
        <v>199</v>
      </c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6"/>
      <c r="N60" s="427" t="s">
        <v>207</v>
      </c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9"/>
    </row>
    <row r="61" spans="1:32" ht="27" customHeight="1">
      <c r="A61" s="430" t="s">
        <v>2</v>
      </c>
      <c r="B61" s="431"/>
      <c r="C61" s="127" t="s">
        <v>46</v>
      </c>
      <c r="D61" s="127" t="s">
        <v>47</v>
      </c>
      <c r="E61" s="127" t="s">
        <v>107</v>
      </c>
      <c r="F61" s="432" t="s">
        <v>106</v>
      </c>
      <c r="G61" s="433"/>
      <c r="H61" s="433"/>
      <c r="I61" s="433"/>
      <c r="J61" s="433"/>
      <c r="K61" s="433"/>
      <c r="L61" s="433"/>
      <c r="M61" s="434"/>
      <c r="N61" s="67" t="s">
        <v>110</v>
      </c>
      <c r="O61" s="127" t="s">
        <v>46</v>
      </c>
      <c r="P61" s="432" t="s">
        <v>47</v>
      </c>
      <c r="Q61" s="435"/>
      <c r="R61" s="432" t="s">
        <v>38</v>
      </c>
      <c r="S61" s="433"/>
      <c r="T61" s="433"/>
      <c r="U61" s="435"/>
      <c r="V61" s="432" t="s">
        <v>48</v>
      </c>
      <c r="W61" s="433"/>
      <c r="X61" s="433"/>
      <c r="Y61" s="433"/>
      <c r="Z61" s="433"/>
      <c r="AA61" s="433"/>
      <c r="AB61" s="433"/>
      <c r="AC61" s="433"/>
      <c r="AD61" s="434"/>
    </row>
    <row r="62" spans="1:32" ht="27" customHeight="1">
      <c r="A62" s="446" t="s">
        <v>112</v>
      </c>
      <c r="B62" s="447"/>
      <c r="C62" s="123" t="s">
        <v>141</v>
      </c>
      <c r="D62" s="123" t="s">
        <v>115</v>
      </c>
      <c r="E62" s="124" t="s">
        <v>186</v>
      </c>
      <c r="F62" s="448" t="s">
        <v>200</v>
      </c>
      <c r="G62" s="449"/>
      <c r="H62" s="449"/>
      <c r="I62" s="449"/>
      <c r="J62" s="449"/>
      <c r="K62" s="449"/>
      <c r="L62" s="449"/>
      <c r="M62" s="450"/>
      <c r="N62" s="116" t="s">
        <v>124</v>
      </c>
      <c r="O62" s="121" t="s">
        <v>208</v>
      </c>
      <c r="P62" s="451" t="s">
        <v>157</v>
      </c>
      <c r="Q62" s="452"/>
      <c r="R62" s="451" t="s">
        <v>209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123" t="s">
        <v>141</v>
      </c>
      <c r="D63" s="123" t="s">
        <v>115</v>
      </c>
      <c r="E63" s="124" t="s">
        <v>181</v>
      </c>
      <c r="F63" s="448" t="s">
        <v>201</v>
      </c>
      <c r="G63" s="449"/>
      <c r="H63" s="449"/>
      <c r="I63" s="449"/>
      <c r="J63" s="449"/>
      <c r="K63" s="449"/>
      <c r="L63" s="449"/>
      <c r="M63" s="450"/>
      <c r="N63" s="116" t="s">
        <v>116</v>
      </c>
      <c r="O63" s="131" t="s">
        <v>141</v>
      </c>
      <c r="P63" s="451" t="s">
        <v>115</v>
      </c>
      <c r="Q63" s="452"/>
      <c r="R63" s="451" t="s">
        <v>181</v>
      </c>
      <c r="S63" s="453"/>
      <c r="T63" s="453"/>
      <c r="U63" s="452"/>
      <c r="V63" s="454" t="s">
        <v>137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112</v>
      </c>
      <c r="B64" s="447"/>
      <c r="C64" s="123" t="s">
        <v>138</v>
      </c>
      <c r="D64" s="123" t="s">
        <v>202</v>
      </c>
      <c r="E64" s="130" t="s">
        <v>191</v>
      </c>
      <c r="F64" s="448" t="s">
        <v>146</v>
      </c>
      <c r="G64" s="449"/>
      <c r="H64" s="449"/>
      <c r="I64" s="449"/>
      <c r="J64" s="449"/>
      <c r="K64" s="449"/>
      <c r="L64" s="449"/>
      <c r="M64" s="450"/>
      <c r="N64" s="116" t="s">
        <v>211</v>
      </c>
      <c r="O64" s="121" t="s">
        <v>212</v>
      </c>
      <c r="P64" s="451" t="s">
        <v>115</v>
      </c>
      <c r="Q64" s="452"/>
      <c r="R64" s="451" t="s">
        <v>210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112</v>
      </c>
      <c r="B65" s="447"/>
      <c r="C65" s="123" t="s">
        <v>159</v>
      </c>
      <c r="D65" s="123" t="s">
        <v>115</v>
      </c>
      <c r="E65" s="124" t="s">
        <v>190</v>
      </c>
      <c r="F65" s="448" t="s">
        <v>203</v>
      </c>
      <c r="G65" s="449"/>
      <c r="H65" s="449"/>
      <c r="I65" s="449"/>
      <c r="J65" s="449"/>
      <c r="K65" s="449"/>
      <c r="L65" s="449"/>
      <c r="M65" s="450"/>
      <c r="N65" s="116" t="s">
        <v>214</v>
      </c>
      <c r="O65" s="121" t="s">
        <v>215</v>
      </c>
      <c r="P65" s="451"/>
      <c r="Q65" s="452"/>
      <c r="R65" s="451" t="s">
        <v>213</v>
      </c>
      <c r="S65" s="453"/>
      <c r="T65" s="453"/>
      <c r="U65" s="452"/>
      <c r="V65" s="454" t="s">
        <v>146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124</v>
      </c>
      <c r="B66" s="447"/>
      <c r="C66" s="123" t="s">
        <v>158</v>
      </c>
      <c r="D66" s="123" t="s">
        <v>193</v>
      </c>
      <c r="E66" s="124" t="s">
        <v>192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/>
      <c r="O66" s="121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116</v>
      </c>
      <c r="B67" s="447"/>
      <c r="C67" s="129" t="s">
        <v>148</v>
      </c>
      <c r="D67" s="129" t="s">
        <v>161</v>
      </c>
      <c r="E67" s="130" t="s">
        <v>182</v>
      </c>
      <c r="F67" s="448" t="s">
        <v>137</v>
      </c>
      <c r="G67" s="449"/>
      <c r="H67" s="449"/>
      <c r="I67" s="449"/>
      <c r="J67" s="449"/>
      <c r="K67" s="449"/>
      <c r="L67" s="449"/>
      <c r="M67" s="450"/>
      <c r="N67" s="116"/>
      <c r="O67" s="121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 t="s">
        <v>112</v>
      </c>
      <c r="B68" s="447"/>
      <c r="C68" s="123" t="s">
        <v>205</v>
      </c>
      <c r="D68" s="123" t="s">
        <v>206</v>
      </c>
      <c r="E68" s="124" t="s">
        <v>204</v>
      </c>
      <c r="F68" s="448" t="s">
        <v>146</v>
      </c>
      <c r="G68" s="449"/>
      <c r="H68" s="449"/>
      <c r="I68" s="449"/>
      <c r="J68" s="449"/>
      <c r="K68" s="449"/>
      <c r="L68" s="449"/>
      <c r="M68" s="450"/>
      <c r="N68" s="116"/>
      <c r="O68" s="121"/>
      <c r="P68" s="451"/>
      <c r="Q68" s="452"/>
      <c r="R68" s="451"/>
      <c r="S68" s="453"/>
      <c r="T68" s="453"/>
      <c r="U68" s="452"/>
      <c r="V68" s="454"/>
      <c r="W68" s="455"/>
      <c r="X68" s="455"/>
      <c r="Y68" s="455"/>
      <c r="Z68" s="455"/>
      <c r="AA68" s="455"/>
      <c r="AB68" s="455"/>
      <c r="AC68" s="455"/>
      <c r="AD68" s="456"/>
    </row>
    <row r="69" spans="1:32" ht="27" customHeight="1">
      <c r="A69" s="446"/>
      <c r="B69" s="447"/>
      <c r="C69" s="123"/>
      <c r="D69" s="123"/>
      <c r="E69" s="124"/>
      <c r="F69" s="448"/>
      <c r="G69" s="449"/>
      <c r="H69" s="449"/>
      <c r="I69" s="449"/>
      <c r="J69" s="449"/>
      <c r="K69" s="449"/>
      <c r="L69" s="449"/>
      <c r="M69" s="450"/>
      <c r="N69" s="116"/>
      <c r="O69" s="121"/>
      <c r="P69" s="451"/>
      <c r="Q69" s="452"/>
      <c r="R69" s="451"/>
      <c r="S69" s="453"/>
      <c r="T69" s="453"/>
      <c r="U69" s="452"/>
      <c r="V69" s="454"/>
      <c r="W69" s="455"/>
      <c r="X69" s="455"/>
      <c r="Y69" s="455"/>
      <c r="Z69" s="455"/>
      <c r="AA69" s="455"/>
      <c r="AB69" s="455"/>
      <c r="AC69" s="455"/>
      <c r="AD69" s="456"/>
    </row>
    <row r="70" spans="1:32" ht="27" customHeight="1">
      <c r="A70" s="446"/>
      <c r="B70" s="447"/>
      <c r="C70" s="123"/>
      <c r="D70" s="123"/>
      <c r="E70" s="124"/>
      <c r="F70" s="448"/>
      <c r="G70" s="449"/>
      <c r="H70" s="449"/>
      <c r="I70" s="449"/>
      <c r="J70" s="449"/>
      <c r="K70" s="449"/>
      <c r="L70" s="449"/>
      <c r="M70" s="450"/>
      <c r="N70" s="116"/>
      <c r="O70" s="121"/>
      <c r="P70" s="457"/>
      <c r="Q70" s="457"/>
      <c r="R70" s="457"/>
      <c r="S70" s="457"/>
      <c r="T70" s="457"/>
      <c r="U70" s="457"/>
      <c r="V70" s="454"/>
      <c r="W70" s="455"/>
      <c r="X70" s="455"/>
      <c r="Y70" s="455"/>
      <c r="Z70" s="455"/>
      <c r="AA70" s="455"/>
      <c r="AB70" s="455"/>
      <c r="AC70" s="455"/>
      <c r="AD70" s="456"/>
      <c r="AF70" s="81">
        <f>8*3000</f>
        <v>24000</v>
      </c>
    </row>
    <row r="71" spans="1:32" ht="27" customHeight="1" thickBot="1">
      <c r="A71" s="458"/>
      <c r="B71" s="459"/>
      <c r="C71" s="125"/>
      <c r="D71" s="126"/>
      <c r="E71" s="125"/>
      <c r="F71" s="460"/>
      <c r="G71" s="461"/>
      <c r="H71" s="461"/>
      <c r="I71" s="461"/>
      <c r="J71" s="461"/>
      <c r="K71" s="461"/>
      <c r="L71" s="461"/>
      <c r="M71" s="462"/>
      <c r="N71" s="105"/>
      <c r="O71" s="97"/>
      <c r="P71" s="463"/>
      <c r="Q71" s="463"/>
      <c r="R71" s="463"/>
      <c r="S71" s="463"/>
      <c r="T71" s="463"/>
      <c r="U71" s="463"/>
      <c r="V71" s="464"/>
      <c r="W71" s="464"/>
      <c r="X71" s="464"/>
      <c r="Y71" s="464"/>
      <c r="Z71" s="464"/>
      <c r="AA71" s="464"/>
      <c r="AB71" s="464"/>
      <c r="AC71" s="464"/>
      <c r="AD71" s="465"/>
      <c r="AF71" s="81">
        <f>16*3000</f>
        <v>48000</v>
      </c>
    </row>
    <row r="72" spans="1:32" ht="27.75" thickBot="1">
      <c r="A72" s="466" t="s">
        <v>216</v>
      </c>
      <c r="B72" s="466"/>
      <c r="C72" s="466"/>
      <c r="D72" s="466"/>
      <c r="E72" s="46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81">
        <v>24000</v>
      </c>
    </row>
    <row r="73" spans="1:32" ht="29.25" customHeight="1" thickBot="1">
      <c r="A73" s="467" t="s">
        <v>111</v>
      </c>
      <c r="B73" s="468"/>
      <c r="C73" s="122" t="s">
        <v>2</v>
      </c>
      <c r="D73" s="122" t="s">
        <v>37</v>
      </c>
      <c r="E73" s="122" t="s">
        <v>3</v>
      </c>
      <c r="F73" s="468" t="s">
        <v>109</v>
      </c>
      <c r="G73" s="468"/>
      <c r="H73" s="468"/>
      <c r="I73" s="468"/>
      <c r="J73" s="468"/>
      <c r="K73" s="468" t="s">
        <v>39</v>
      </c>
      <c r="L73" s="468"/>
      <c r="M73" s="122" t="s">
        <v>40</v>
      </c>
      <c r="N73" s="468" t="s">
        <v>41</v>
      </c>
      <c r="O73" s="468"/>
      <c r="P73" s="469" t="s">
        <v>42</v>
      </c>
      <c r="Q73" s="470"/>
      <c r="R73" s="469" t="s">
        <v>43</v>
      </c>
      <c r="S73" s="471"/>
      <c r="T73" s="471"/>
      <c r="U73" s="471"/>
      <c r="V73" s="471"/>
      <c r="W73" s="471"/>
      <c r="X73" s="471"/>
      <c r="Y73" s="471"/>
      <c r="Z73" s="471"/>
      <c r="AA73" s="470"/>
      <c r="AB73" s="468" t="s">
        <v>44</v>
      </c>
      <c r="AC73" s="468"/>
      <c r="AD73" s="472"/>
      <c r="AF73" s="81">
        <f>SUM(AF70:AF72)</f>
        <v>96000</v>
      </c>
    </row>
    <row r="74" spans="1:32" ht="25.5" customHeight="1">
      <c r="A74" s="473">
        <v>1</v>
      </c>
      <c r="B74" s="474"/>
      <c r="C74" s="98"/>
      <c r="D74" s="117"/>
      <c r="E74" s="120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2</v>
      </c>
      <c r="B75" s="474"/>
      <c r="C75" s="98"/>
      <c r="D75" s="117"/>
      <c r="E75" s="120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3</v>
      </c>
      <c r="B76" s="474"/>
      <c r="C76" s="98"/>
      <c r="D76" s="117"/>
      <c r="E76" s="120"/>
      <c r="F76" s="475"/>
      <c r="G76" s="476"/>
      <c r="H76" s="476"/>
      <c r="I76" s="476"/>
      <c r="J76" s="476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4</v>
      </c>
      <c r="B77" s="474"/>
      <c r="C77" s="98"/>
      <c r="D77" s="117"/>
      <c r="E77" s="120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5</v>
      </c>
      <c r="B78" s="474"/>
      <c r="C78" s="98"/>
      <c r="D78" s="117"/>
      <c r="E78" s="120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6</v>
      </c>
      <c r="B79" s="474"/>
      <c r="C79" s="98"/>
      <c r="D79" s="117"/>
      <c r="E79" s="120"/>
      <c r="F79" s="481"/>
      <c r="G79" s="482"/>
      <c r="H79" s="482"/>
      <c r="I79" s="482"/>
      <c r="J79" s="483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7</v>
      </c>
      <c r="B80" s="474"/>
      <c r="C80" s="98"/>
      <c r="D80" s="117"/>
      <c r="E80" s="120"/>
      <c r="F80" s="481"/>
      <c r="G80" s="482"/>
      <c r="H80" s="482"/>
      <c r="I80" s="482"/>
      <c r="J80" s="483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8</v>
      </c>
      <c r="B81" s="474"/>
      <c r="C81" s="98"/>
      <c r="D81" s="117"/>
      <c r="E81" s="120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5.5" customHeight="1">
      <c r="A82" s="473">
        <v>9</v>
      </c>
      <c r="B82" s="474"/>
      <c r="C82" s="98"/>
      <c r="D82" s="117"/>
      <c r="E82" s="120"/>
      <c r="F82" s="475"/>
      <c r="G82" s="476"/>
      <c r="H82" s="476"/>
      <c r="I82" s="476"/>
      <c r="J82" s="476"/>
      <c r="K82" s="476"/>
      <c r="L82" s="476"/>
      <c r="M82" s="51"/>
      <c r="N82" s="477"/>
      <c r="O82" s="477"/>
      <c r="P82" s="478"/>
      <c r="Q82" s="478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6"/>
      <c r="AC82" s="476"/>
      <c r="AD82" s="480"/>
      <c r="AF82" s="50"/>
    </row>
    <row r="83" spans="1:32" ht="25.5" customHeight="1">
      <c r="A83" s="473">
        <v>10</v>
      </c>
      <c r="B83" s="474"/>
      <c r="C83" s="98"/>
      <c r="D83" s="117"/>
      <c r="E83" s="120"/>
      <c r="F83" s="475"/>
      <c r="G83" s="476"/>
      <c r="H83" s="476"/>
      <c r="I83" s="476"/>
      <c r="J83" s="476"/>
      <c r="K83" s="476"/>
      <c r="L83" s="476"/>
      <c r="M83" s="51"/>
      <c r="N83" s="477"/>
      <c r="O83" s="477"/>
      <c r="P83" s="478"/>
      <c r="Q83" s="478"/>
      <c r="R83" s="479"/>
      <c r="S83" s="479"/>
      <c r="T83" s="479"/>
      <c r="U83" s="479"/>
      <c r="V83" s="479"/>
      <c r="W83" s="479"/>
      <c r="X83" s="479"/>
      <c r="Y83" s="479"/>
      <c r="Z83" s="479"/>
      <c r="AA83" s="479"/>
      <c r="AB83" s="476"/>
      <c r="AC83" s="476"/>
      <c r="AD83" s="480"/>
      <c r="AF83" s="50"/>
    </row>
    <row r="84" spans="1:32" ht="26.25" customHeight="1" thickBot="1">
      <c r="A84" s="484" t="s">
        <v>217</v>
      </c>
      <c r="B84" s="484"/>
      <c r="C84" s="484"/>
      <c r="D84" s="484"/>
      <c r="E84" s="48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23.25" thickBot="1">
      <c r="A85" s="485" t="s">
        <v>111</v>
      </c>
      <c r="B85" s="486"/>
      <c r="C85" s="119" t="s">
        <v>2</v>
      </c>
      <c r="D85" s="119" t="s">
        <v>37</v>
      </c>
      <c r="E85" s="119" t="s">
        <v>120</v>
      </c>
      <c r="F85" s="487" t="s">
        <v>38</v>
      </c>
      <c r="G85" s="487"/>
      <c r="H85" s="487"/>
      <c r="I85" s="487"/>
      <c r="J85" s="487"/>
      <c r="K85" s="488" t="s">
        <v>58</v>
      </c>
      <c r="L85" s="489"/>
      <c r="M85" s="489"/>
      <c r="N85" s="489"/>
      <c r="O85" s="489"/>
      <c r="P85" s="489"/>
      <c r="Q85" s="489"/>
      <c r="R85" s="489"/>
      <c r="S85" s="490"/>
      <c r="T85" s="487" t="s">
        <v>49</v>
      </c>
      <c r="U85" s="487"/>
      <c r="V85" s="488" t="s">
        <v>50</v>
      </c>
      <c r="W85" s="490"/>
      <c r="X85" s="489" t="s">
        <v>51</v>
      </c>
      <c r="Y85" s="489"/>
      <c r="Z85" s="489"/>
      <c r="AA85" s="489"/>
      <c r="AB85" s="489"/>
      <c r="AC85" s="489"/>
      <c r="AD85" s="491"/>
      <c r="AF85" s="50"/>
    </row>
    <row r="86" spans="1:32" ht="33.75" customHeight="1">
      <c r="A86" s="500">
        <v>1</v>
      </c>
      <c r="B86" s="501"/>
      <c r="C86" s="118"/>
      <c r="D86" s="118"/>
      <c r="E86" s="65"/>
      <c r="F86" s="502"/>
      <c r="G86" s="503"/>
      <c r="H86" s="503"/>
      <c r="I86" s="503"/>
      <c r="J86" s="504"/>
      <c r="K86" s="505"/>
      <c r="L86" s="506"/>
      <c r="M86" s="506"/>
      <c r="N86" s="506"/>
      <c r="O86" s="506"/>
      <c r="P86" s="506"/>
      <c r="Q86" s="506"/>
      <c r="R86" s="506"/>
      <c r="S86" s="507"/>
      <c r="T86" s="508"/>
      <c r="U86" s="509"/>
      <c r="V86" s="510"/>
      <c r="W86" s="510"/>
      <c r="X86" s="511"/>
      <c r="Y86" s="511"/>
      <c r="Z86" s="511"/>
      <c r="AA86" s="511"/>
      <c r="AB86" s="511"/>
      <c r="AC86" s="511"/>
      <c r="AD86" s="512"/>
      <c r="AF86" s="50"/>
    </row>
    <row r="87" spans="1:32" ht="30" customHeight="1">
      <c r="A87" s="492">
        <f>A86+1</f>
        <v>2</v>
      </c>
      <c r="B87" s="493"/>
      <c r="C87" s="117"/>
      <c r="D87" s="117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ref="A88:A92" si="19">A87+1</f>
        <v>3</v>
      </c>
      <c r="B88" s="493"/>
      <c r="C88" s="117"/>
      <c r="D88" s="117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9"/>
        <v>4</v>
      </c>
      <c r="B89" s="493"/>
      <c r="C89" s="117"/>
      <c r="D89" s="117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9"/>
        <v>5</v>
      </c>
      <c r="B90" s="493"/>
      <c r="C90" s="117"/>
      <c r="D90" s="117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0" customHeight="1">
      <c r="A91" s="492">
        <f t="shared" si="19"/>
        <v>6</v>
      </c>
      <c r="B91" s="493"/>
      <c r="C91" s="117"/>
      <c r="D91" s="117"/>
      <c r="E91" s="32"/>
      <c r="F91" s="493"/>
      <c r="G91" s="493"/>
      <c r="H91" s="493"/>
      <c r="I91" s="493"/>
      <c r="J91" s="493"/>
      <c r="K91" s="494"/>
      <c r="L91" s="495"/>
      <c r="M91" s="495"/>
      <c r="N91" s="495"/>
      <c r="O91" s="495"/>
      <c r="P91" s="495"/>
      <c r="Q91" s="495"/>
      <c r="R91" s="495"/>
      <c r="S91" s="496"/>
      <c r="T91" s="497"/>
      <c r="U91" s="497"/>
      <c r="V91" s="497"/>
      <c r="W91" s="497"/>
      <c r="X91" s="498"/>
      <c r="Y91" s="498"/>
      <c r="Z91" s="498"/>
      <c r="AA91" s="498"/>
      <c r="AB91" s="498"/>
      <c r="AC91" s="498"/>
      <c r="AD91" s="499"/>
      <c r="AF91" s="50"/>
    </row>
    <row r="92" spans="1:32" ht="30" customHeight="1">
      <c r="A92" s="492">
        <f t="shared" si="19"/>
        <v>7</v>
      </c>
      <c r="B92" s="493"/>
      <c r="C92" s="117"/>
      <c r="D92" s="117"/>
      <c r="E92" s="32"/>
      <c r="F92" s="493"/>
      <c r="G92" s="493"/>
      <c r="H92" s="493"/>
      <c r="I92" s="493"/>
      <c r="J92" s="493"/>
      <c r="K92" s="494"/>
      <c r="L92" s="495"/>
      <c r="M92" s="495"/>
      <c r="N92" s="495"/>
      <c r="O92" s="495"/>
      <c r="P92" s="495"/>
      <c r="Q92" s="495"/>
      <c r="R92" s="495"/>
      <c r="S92" s="496"/>
      <c r="T92" s="497"/>
      <c r="U92" s="497"/>
      <c r="V92" s="497"/>
      <c r="W92" s="497"/>
      <c r="X92" s="498"/>
      <c r="Y92" s="498"/>
      <c r="Z92" s="498"/>
      <c r="AA92" s="498"/>
      <c r="AB92" s="498"/>
      <c r="AC92" s="498"/>
      <c r="AD92" s="499"/>
      <c r="AF92" s="50"/>
    </row>
    <row r="93" spans="1:32" ht="36" thickBot="1">
      <c r="A93" s="484" t="s">
        <v>218</v>
      </c>
      <c r="B93" s="484"/>
      <c r="C93" s="484"/>
      <c r="D93" s="484"/>
      <c r="E93" s="484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F93" s="50"/>
    </row>
    <row r="94" spans="1:32" ht="30.75" customHeight="1" thickBot="1">
      <c r="A94" s="513" t="s">
        <v>111</v>
      </c>
      <c r="B94" s="487"/>
      <c r="C94" s="514" t="s">
        <v>52</v>
      </c>
      <c r="D94" s="514"/>
      <c r="E94" s="514" t="s">
        <v>53</v>
      </c>
      <c r="F94" s="514"/>
      <c r="G94" s="514"/>
      <c r="H94" s="514"/>
      <c r="I94" s="514"/>
      <c r="J94" s="514"/>
      <c r="K94" s="514" t="s">
        <v>54</v>
      </c>
      <c r="L94" s="514"/>
      <c r="M94" s="514"/>
      <c r="N94" s="514"/>
      <c r="O94" s="514"/>
      <c r="P94" s="514"/>
      <c r="Q94" s="514"/>
      <c r="R94" s="514"/>
      <c r="S94" s="514"/>
      <c r="T94" s="514" t="s">
        <v>55</v>
      </c>
      <c r="U94" s="514"/>
      <c r="V94" s="514" t="s">
        <v>56</v>
      </c>
      <c r="W94" s="514"/>
      <c r="X94" s="514"/>
      <c r="Y94" s="514" t="s">
        <v>51</v>
      </c>
      <c r="Z94" s="514"/>
      <c r="AA94" s="514"/>
      <c r="AB94" s="514"/>
      <c r="AC94" s="514"/>
      <c r="AD94" s="515"/>
      <c r="AF94" s="50"/>
    </row>
    <row r="95" spans="1:32" ht="30.75" customHeight="1">
      <c r="A95" s="500">
        <v>1</v>
      </c>
      <c r="B95" s="501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  <c r="T95" s="516"/>
      <c r="U95" s="516"/>
      <c r="V95" s="517"/>
      <c r="W95" s="517"/>
      <c r="X95" s="517"/>
      <c r="Y95" s="518"/>
      <c r="Z95" s="518"/>
      <c r="AA95" s="518"/>
      <c r="AB95" s="518"/>
      <c r="AC95" s="518"/>
      <c r="AD95" s="519"/>
      <c r="AF95" s="50"/>
    </row>
    <row r="96" spans="1:32" ht="30.75" customHeight="1">
      <c r="A96" s="492">
        <v>2</v>
      </c>
      <c r="B96" s="493"/>
      <c r="C96" s="528"/>
      <c r="D96" s="528"/>
      <c r="E96" s="528"/>
      <c r="F96" s="528"/>
      <c r="G96" s="528"/>
      <c r="H96" s="528"/>
      <c r="I96" s="528"/>
      <c r="J96" s="528"/>
      <c r="K96" s="528"/>
      <c r="L96" s="528"/>
      <c r="M96" s="528"/>
      <c r="N96" s="528"/>
      <c r="O96" s="528"/>
      <c r="P96" s="528"/>
      <c r="Q96" s="528"/>
      <c r="R96" s="528"/>
      <c r="S96" s="528"/>
      <c r="T96" s="529"/>
      <c r="U96" s="529"/>
      <c r="V96" s="530"/>
      <c r="W96" s="530"/>
      <c r="X96" s="530"/>
      <c r="Y96" s="520"/>
      <c r="Z96" s="520"/>
      <c r="AA96" s="520"/>
      <c r="AB96" s="520"/>
      <c r="AC96" s="520"/>
      <c r="AD96" s="521"/>
      <c r="AF96" s="50"/>
    </row>
    <row r="97" spans="1:32" ht="30.75" customHeight="1" thickBot="1">
      <c r="A97" s="522">
        <v>3</v>
      </c>
      <c r="B97" s="523"/>
      <c r="C97" s="524"/>
      <c r="D97" s="524"/>
      <c r="E97" s="524"/>
      <c r="F97" s="524"/>
      <c r="G97" s="524"/>
      <c r="H97" s="524"/>
      <c r="I97" s="524"/>
      <c r="J97" s="524"/>
      <c r="K97" s="524"/>
      <c r="L97" s="524"/>
      <c r="M97" s="524"/>
      <c r="N97" s="524"/>
      <c r="O97" s="524"/>
      <c r="P97" s="524"/>
      <c r="Q97" s="524"/>
      <c r="R97" s="524"/>
      <c r="S97" s="524"/>
      <c r="T97" s="524"/>
      <c r="U97" s="524"/>
      <c r="V97" s="525"/>
      <c r="W97" s="525"/>
      <c r="X97" s="525"/>
      <c r="Y97" s="526"/>
      <c r="Z97" s="526"/>
      <c r="AA97" s="526"/>
      <c r="AB97" s="526"/>
      <c r="AC97" s="526"/>
      <c r="AD97" s="527"/>
      <c r="AF97" s="50"/>
    </row>
  </sheetData>
  <mergeCells count="232">
    <mergeCell ref="Y96:AD96"/>
    <mergeCell ref="A97:B97"/>
    <mergeCell ref="C97:D97"/>
    <mergeCell ref="E97:J97"/>
    <mergeCell ref="K97:S97"/>
    <mergeCell ref="T97:U97"/>
    <mergeCell ref="V97:X97"/>
    <mergeCell ref="Y97:AD97"/>
    <mergeCell ref="A96:B96"/>
    <mergeCell ref="C96:D96"/>
    <mergeCell ref="E96:J96"/>
    <mergeCell ref="K96:S96"/>
    <mergeCell ref="T96:U96"/>
    <mergeCell ref="V96:X96"/>
    <mergeCell ref="V94:X94"/>
    <mergeCell ref="Y94:AD94"/>
    <mergeCell ref="A95:B95"/>
    <mergeCell ref="C95:D95"/>
    <mergeCell ref="E95:J95"/>
    <mergeCell ref="K95:S95"/>
    <mergeCell ref="T95:U95"/>
    <mergeCell ref="V95:X95"/>
    <mergeCell ref="Y95:AD95"/>
    <mergeCell ref="A93:E93"/>
    <mergeCell ref="A94:B94"/>
    <mergeCell ref="C94:D94"/>
    <mergeCell ref="E94:J94"/>
    <mergeCell ref="K94:S94"/>
    <mergeCell ref="T94:U94"/>
    <mergeCell ref="A92:B92"/>
    <mergeCell ref="F92:J92"/>
    <mergeCell ref="K92:S92"/>
    <mergeCell ref="T92:U92"/>
    <mergeCell ref="V92:W92"/>
    <mergeCell ref="X92:AD92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B83:AD83"/>
    <mergeCell ref="A84:E84"/>
    <mergeCell ref="A85:B85"/>
    <mergeCell ref="F85:J85"/>
    <mergeCell ref="K85:S85"/>
    <mergeCell ref="T85:U85"/>
    <mergeCell ref="V85:W85"/>
    <mergeCell ref="X85:AD85"/>
    <mergeCell ref="A83:B83"/>
    <mergeCell ref="F83:J83"/>
    <mergeCell ref="K83:L83"/>
    <mergeCell ref="N83:O83"/>
    <mergeCell ref="P83:Q83"/>
    <mergeCell ref="R83:AA83"/>
    <mergeCell ref="AB81:AD81"/>
    <mergeCell ref="A82:B82"/>
    <mergeCell ref="F82:J82"/>
    <mergeCell ref="K82:L82"/>
    <mergeCell ref="N82:O82"/>
    <mergeCell ref="P82:Q82"/>
    <mergeCell ref="R82:AA82"/>
    <mergeCell ref="AB82:AD82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R73:AA73"/>
    <mergeCell ref="AB73:AD73"/>
    <mergeCell ref="A74:B74"/>
    <mergeCell ref="F74:J74"/>
    <mergeCell ref="K74:L74"/>
    <mergeCell ref="N74:O74"/>
    <mergeCell ref="P74:Q74"/>
    <mergeCell ref="R74:AA74"/>
    <mergeCell ref="AB74:AD74"/>
    <mergeCell ref="A72:E72"/>
    <mergeCell ref="A73:B73"/>
    <mergeCell ref="F73:J73"/>
    <mergeCell ref="K73:L73"/>
    <mergeCell ref="N73:O73"/>
    <mergeCell ref="P73:Q73"/>
    <mergeCell ref="A70:B70"/>
    <mergeCell ref="F70:M70"/>
    <mergeCell ref="P70:Q70"/>
    <mergeCell ref="R70:U70"/>
    <mergeCell ref="V70:AD70"/>
    <mergeCell ref="A71:B71"/>
    <mergeCell ref="F71:M71"/>
    <mergeCell ref="P71:Q71"/>
    <mergeCell ref="R71:U71"/>
    <mergeCell ref="V71:AD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D4:AD5"/>
    <mergeCell ref="A32:H32"/>
    <mergeCell ref="A59:E59"/>
    <mergeCell ref="A60:M60"/>
    <mergeCell ref="N60:AD60"/>
    <mergeCell ref="A61:B61"/>
    <mergeCell ref="F61:M61"/>
    <mergeCell ref="P61:Q61"/>
    <mergeCell ref="R61:U61"/>
    <mergeCell ref="V61:AD6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7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6168-AD94-41B5-A74C-2B426B0E4102}">
  <sheetPr>
    <pageSetUpPr fitToPage="1"/>
  </sheetPr>
  <dimension ref="A1:AF95"/>
  <sheetViews>
    <sheetView view="pageBreakPreview" zoomScale="70" zoomScaleNormal="72" zoomScaleSheetLayoutView="70" workbookViewId="0">
      <selection activeCell="A18" sqref="A18:XFD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219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5292</v>
      </c>
      <c r="K6" s="15">
        <f>L6</f>
        <v>0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0.45659722222222227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135</v>
      </c>
      <c r="E7" s="53" t="s">
        <v>177</v>
      </c>
      <c r="F7" s="30" t="s">
        <v>134</v>
      </c>
      <c r="G7" s="12">
        <v>1</v>
      </c>
      <c r="H7" s="13">
        <v>24</v>
      </c>
      <c r="I7" s="31">
        <v>6000</v>
      </c>
      <c r="J7" s="14">
        <v>585</v>
      </c>
      <c r="K7" s="15">
        <f>L7+2472+6598+585</f>
        <v>9655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0.45659722222222227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116</v>
      </c>
      <c r="D8" s="52" t="s">
        <v>115</v>
      </c>
      <c r="E8" s="53" t="s">
        <v>196</v>
      </c>
      <c r="F8" s="30" t="s">
        <v>133</v>
      </c>
      <c r="G8" s="12">
        <v>1</v>
      </c>
      <c r="H8" s="13">
        <v>24</v>
      </c>
      <c r="I8" s="7">
        <v>9000</v>
      </c>
      <c r="J8" s="14">
        <v>2502</v>
      </c>
      <c r="K8" s="15">
        <f>L8+2238</f>
        <v>4740</v>
      </c>
      <c r="L8" s="15">
        <f>1358+1144</f>
        <v>2502</v>
      </c>
      <c r="M8" s="15">
        <f t="shared" si="0"/>
        <v>2502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8"/>
        <v>0.54166666666666663</v>
      </c>
      <c r="AE8" s="36">
        <f t="shared" si="6"/>
        <v>0.45659722222222227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112</v>
      </c>
      <c r="D9" s="52" t="s">
        <v>115</v>
      </c>
      <c r="E9" s="53" t="s">
        <v>210</v>
      </c>
      <c r="F9" s="30" t="s">
        <v>221</v>
      </c>
      <c r="G9" s="12">
        <v>1</v>
      </c>
      <c r="H9" s="13">
        <v>24</v>
      </c>
      <c r="I9" s="7">
        <v>3000</v>
      </c>
      <c r="J9" s="14">
        <v>2398</v>
      </c>
      <c r="K9" s="15">
        <f>L9</f>
        <v>2398</v>
      </c>
      <c r="L9" s="15">
        <f>1773+625</f>
        <v>2398</v>
      </c>
      <c r="M9" s="15">
        <f t="shared" si="0"/>
        <v>2398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8"/>
        <v>0.5</v>
      </c>
      <c r="AE9" s="36">
        <f t="shared" si="6"/>
        <v>0.45659722222222227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144</v>
      </c>
      <c r="E10" s="53" t="s">
        <v>189</v>
      </c>
      <c r="F10" s="30" t="s">
        <v>198</v>
      </c>
      <c r="G10" s="33">
        <v>1</v>
      </c>
      <c r="H10" s="35">
        <v>24</v>
      </c>
      <c r="I10" s="7">
        <v>3000</v>
      </c>
      <c r="J10" s="14">
        <v>5205</v>
      </c>
      <c r="K10" s="15">
        <f>L10+5443</f>
        <v>10648</v>
      </c>
      <c r="L10" s="15">
        <f>2374+2831</f>
        <v>5205</v>
      </c>
      <c r="M10" s="15">
        <f t="shared" si="0"/>
        <v>5205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0.45659722222222227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161</v>
      </c>
      <c r="E11" s="53" t="s">
        <v>182</v>
      </c>
      <c r="F11" s="30" t="s">
        <v>133</v>
      </c>
      <c r="G11" s="33">
        <v>1</v>
      </c>
      <c r="H11" s="35">
        <v>24</v>
      </c>
      <c r="I11" s="7">
        <v>22000</v>
      </c>
      <c r="J11" s="14">
        <v>5508</v>
      </c>
      <c r="K11" s="15">
        <f>L11+1121+873+4493</f>
        <v>11995</v>
      </c>
      <c r="L11" s="15">
        <f>2775+2733</f>
        <v>5508</v>
      </c>
      <c r="M11" s="15">
        <f t="shared" si="0"/>
        <v>5508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0.45659722222222227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71000</v>
      </c>
      <c r="J12" s="5">
        <v>8372</v>
      </c>
      <c r="K12" s="15">
        <f>L12+9138+9640+10002+9460+8804+9066+9592</f>
        <v>74074</v>
      </c>
      <c r="L12" s="15">
        <f>1821*2+2365*2</f>
        <v>8372</v>
      </c>
      <c r="M12" s="15">
        <f t="shared" si="0"/>
        <v>8372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>
        <v>1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8"/>
        <v>0.95833333333333337</v>
      </c>
      <c r="AE12" s="36">
        <f t="shared" si="6"/>
        <v>0.45659722222222227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174</v>
      </c>
      <c r="F13" s="30" t="s">
        <v>175</v>
      </c>
      <c r="G13" s="33">
        <v>2</v>
      </c>
      <c r="H13" s="35">
        <v>22</v>
      </c>
      <c r="I13" s="7">
        <v>68000</v>
      </c>
      <c r="J13" s="14">
        <v>14268</v>
      </c>
      <c r="K13" s="15">
        <f>L13+10908+11004+14278+13894+14816+13532+14940</f>
        <v>107640</v>
      </c>
      <c r="L13" s="15">
        <f>3439*2+3695*2</f>
        <v>14268</v>
      </c>
      <c r="M13" s="15">
        <f t="shared" si="0"/>
        <v>14268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0.45659722222222227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0.45659722222222227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24984</v>
      </c>
      <c r="K15" s="15">
        <f>L15+15076+24324+23616+24984</f>
        <v>112984</v>
      </c>
      <c r="L15" s="15">
        <f>3136*4+3110*4</f>
        <v>24984</v>
      </c>
      <c r="M15" s="15">
        <f t="shared" si="0"/>
        <v>24984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0.45659722222222227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11054</v>
      </c>
      <c r="K16" s="15">
        <f>L16+9350+9873+10572+11420+9694+7670+11372+10884+8431+5890+10900+11458+11552+11940+10862+11588+10714+11420</f>
        <v>196644</v>
      </c>
      <c r="L16" s="15">
        <f>2847*2+2680*2</f>
        <v>11054</v>
      </c>
      <c r="M16" s="15">
        <f t="shared" si="0"/>
        <v>11054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0.45659722222222227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213</v>
      </c>
      <c r="F17" s="30" t="s">
        <v>156</v>
      </c>
      <c r="G17" s="12">
        <v>1</v>
      </c>
      <c r="H17" s="13">
        <v>24</v>
      </c>
      <c r="I17" s="7">
        <v>19000</v>
      </c>
      <c r="J17" s="14">
        <v>5064</v>
      </c>
      <c r="K17" s="15">
        <f>L17</f>
        <v>5064</v>
      </c>
      <c r="L17" s="15">
        <f>2323+2741</f>
        <v>5064</v>
      </c>
      <c r="M17" s="15">
        <f t="shared" si="0"/>
        <v>5064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0.45659722222222227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5352</v>
      </c>
      <c r="K18" s="15">
        <f>L18+10480+11444+11648+11082+10368+10658+11130+11168+12108+9740+10720+10498+11286+11772+11032+11242+10656+11244</f>
        <v>203628</v>
      </c>
      <c r="L18" s="15">
        <f>2676*2</f>
        <v>5352</v>
      </c>
      <c r="M18" s="15">
        <f t="shared" si="0"/>
        <v>5352</v>
      </c>
      <c r="N18" s="15">
        <v>0</v>
      </c>
      <c r="O18" s="58">
        <f t="shared" si="1"/>
        <v>0</v>
      </c>
      <c r="P18" s="39">
        <f t="shared" si="2"/>
        <v>12</v>
      </c>
      <c r="Q18" s="40">
        <f t="shared" si="3"/>
        <v>12</v>
      </c>
      <c r="R18" s="7"/>
      <c r="S18" s="6">
        <v>12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</v>
      </c>
      <c r="AD18" s="10">
        <f t="shared" si="8"/>
        <v>0.5</v>
      </c>
      <c r="AE18" s="36">
        <f t="shared" si="6"/>
        <v>0.45659722222222227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193</v>
      </c>
      <c r="E19" s="53" t="s">
        <v>192</v>
      </c>
      <c r="F19" s="30" t="s">
        <v>143</v>
      </c>
      <c r="G19" s="33">
        <v>1</v>
      </c>
      <c r="H19" s="35">
        <v>24</v>
      </c>
      <c r="I19" s="7">
        <v>2500</v>
      </c>
      <c r="J19" s="14">
        <v>4789</v>
      </c>
      <c r="K19" s="15">
        <f>L19+3362</f>
        <v>8151</v>
      </c>
      <c r="L19" s="15">
        <f>2259+2530</f>
        <v>4789</v>
      </c>
      <c r="M19" s="15">
        <f t="shared" si="0"/>
        <v>4789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0.45659722222222227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185</v>
      </c>
      <c r="F20" s="30" t="s">
        <v>176</v>
      </c>
      <c r="G20" s="33">
        <v>1</v>
      </c>
      <c r="H20" s="35">
        <v>24</v>
      </c>
      <c r="I20" s="7">
        <v>22000</v>
      </c>
      <c r="J20" s="14">
        <v>2305</v>
      </c>
      <c r="K20" s="15">
        <f>L20+5062+5211+5426</f>
        <v>18004</v>
      </c>
      <c r="L20" s="15">
        <f>2305</f>
        <v>2305</v>
      </c>
      <c r="M20" s="15">
        <f t="shared" si="0"/>
        <v>2305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si="8"/>
        <v>0.45833333333333331</v>
      </c>
      <c r="AE20" s="36">
        <f t="shared" si="6"/>
        <v>0.45659722222222227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64192</v>
      </c>
      <c r="K21" s="15">
        <f>L21+64424+64620+22548+54104+64632+65016+67504+61284+57732+64780</f>
        <v>650836</v>
      </c>
      <c r="L21" s="15">
        <f>8073*4+7975*4</f>
        <v>64192</v>
      </c>
      <c r="M21" s="15">
        <f t="shared" si="0"/>
        <v>64192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0.45659722222222227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0.45659722222222227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0.45659722222222227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0.45659722222222227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0.45659722222222227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3</v>
      </c>
      <c r="H26" s="35">
        <v>20</v>
      </c>
      <c r="I26" s="7">
        <v>130000</v>
      </c>
      <c r="J26" s="14">
        <v>15393</v>
      </c>
      <c r="K26" s="15">
        <f>L26+15220+23840+22923+6507+15501+18108+17847+18078+15393</f>
        <v>153417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0.45659722222222227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v>130000</v>
      </c>
      <c r="J27" s="14">
        <v>24332</v>
      </c>
      <c r="K27" s="15">
        <f>L27+15632+12648+1958+21292+27256+2770+24332</f>
        <v>105888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0.45659722222222227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v>130000</v>
      </c>
      <c r="J28" s="14">
        <v>26116</v>
      </c>
      <c r="K28" s="15">
        <f>L28+27916+29980+10704+25528+29800+29376+29736+26116</f>
        <v>209156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0.45659722222222227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0.45659722222222227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9">SUM(I6:I29)</f>
        <v>6433000</v>
      </c>
      <c r="J30" s="19">
        <f t="shared" si="9"/>
        <v>543470</v>
      </c>
      <c r="K30" s="20">
        <f t="shared" si="9"/>
        <v>4628921</v>
      </c>
      <c r="L30" s="21">
        <f t="shared" si="9"/>
        <v>155993</v>
      </c>
      <c r="M30" s="20">
        <f t="shared" si="9"/>
        <v>155993</v>
      </c>
      <c r="N30" s="21">
        <f t="shared" si="9"/>
        <v>0</v>
      </c>
      <c r="O30" s="41">
        <f t="shared" si="1"/>
        <v>0</v>
      </c>
      <c r="P30" s="42">
        <f t="shared" ref="P30:AA30" si="10">SUM(P6:P29)</f>
        <v>263</v>
      </c>
      <c r="Q30" s="43">
        <f t="shared" si="10"/>
        <v>313</v>
      </c>
      <c r="R30" s="23">
        <f t="shared" si="10"/>
        <v>1</v>
      </c>
      <c r="S30" s="24">
        <f t="shared" si="10"/>
        <v>72</v>
      </c>
      <c r="T30" s="24">
        <f t="shared" si="10"/>
        <v>0</v>
      </c>
      <c r="U30" s="24">
        <f t="shared" si="10"/>
        <v>0</v>
      </c>
      <c r="V30" s="25">
        <f t="shared" si="10"/>
        <v>48</v>
      </c>
      <c r="W30" s="26">
        <f t="shared" si="10"/>
        <v>144</v>
      </c>
      <c r="X30" s="27">
        <f t="shared" si="10"/>
        <v>0</v>
      </c>
      <c r="Y30" s="27">
        <f t="shared" si="10"/>
        <v>0</v>
      </c>
      <c r="Z30" s="27">
        <f t="shared" si="10"/>
        <v>0</v>
      </c>
      <c r="AA30" s="27">
        <f t="shared" si="10"/>
        <v>48</v>
      </c>
      <c r="AB30" s="28">
        <f>AVERAGE(AB6:AB29)</f>
        <v>0.56521739130434778</v>
      </c>
      <c r="AC30" s="4">
        <f>AVERAGE(AC6:AC29)</f>
        <v>0.45659722222222227</v>
      </c>
      <c r="AD30" s="4">
        <f>AVERAGE(AD6:AD29)</f>
        <v>0.45659722222222227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23" t="s">
        <v>45</v>
      </c>
      <c r="B57" s="423"/>
      <c r="C57" s="423"/>
      <c r="D57" s="423"/>
      <c r="E57" s="423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222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239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133" t="s">
        <v>46</v>
      </c>
      <c r="D59" s="133" t="s">
        <v>47</v>
      </c>
      <c r="E59" s="133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133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150" t="s">
        <v>141</v>
      </c>
      <c r="D60" s="150" t="s">
        <v>115</v>
      </c>
      <c r="E60" s="151" t="s">
        <v>181</v>
      </c>
      <c r="F60" s="448" t="s">
        <v>200</v>
      </c>
      <c r="G60" s="449"/>
      <c r="H60" s="449"/>
      <c r="I60" s="449"/>
      <c r="J60" s="449"/>
      <c r="K60" s="449"/>
      <c r="L60" s="449"/>
      <c r="M60" s="450"/>
      <c r="N60" s="116" t="s">
        <v>124</v>
      </c>
      <c r="O60" s="140" t="s">
        <v>208</v>
      </c>
      <c r="P60" s="451" t="s">
        <v>157</v>
      </c>
      <c r="Q60" s="452"/>
      <c r="R60" s="451" t="s">
        <v>209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124</v>
      </c>
      <c r="B61" s="447"/>
      <c r="C61" s="134" t="s">
        <v>208</v>
      </c>
      <c r="D61" s="134" t="s">
        <v>157</v>
      </c>
      <c r="E61" s="135" t="s">
        <v>223</v>
      </c>
      <c r="F61" s="448" t="s">
        <v>224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140" t="s">
        <v>141</v>
      </c>
      <c r="P61" s="451" t="s">
        <v>115</v>
      </c>
      <c r="Q61" s="452"/>
      <c r="R61" s="451" t="s">
        <v>181</v>
      </c>
      <c r="S61" s="453"/>
      <c r="T61" s="453"/>
      <c r="U61" s="452"/>
      <c r="V61" s="454" t="s">
        <v>137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112</v>
      </c>
      <c r="B62" s="447"/>
      <c r="C62" s="134" t="s">
        <v>138</v>
      </c>
      <c r="D62" s="134" t="s">
        <v>115</v>
      </c>
      <c r="E62" s="135" t="s">
        <v>210</v>
      </c>
      <c r="F62" s="448" t="s">
        <v>225</v>
      </c>
      <c r="G62" s="449"/>
      <c r="H62" s="449"/>
      <c r="I62" s="449"/>
      <c r="J62" s="449"/>
      <c r="K62" s="449"/>
      <c r="L62" s="449"/>
      <c r="M62" s="450"/>
      <c r="N62" s="116" t="s">
        <v>211</v>
      </c>
      <c r="O62" s="140" t="s">
        <v>212</v>
      </c>
      <c r="P62" s="451" t="s">
        <v>115</v>
      </c>
      <c r="Q62" s="452"/>
      <c r="R62" s="451" t="s">
        <v>210</v>
      </c>
      <c r="S62" s="453"/>
      <c r="T62" s="453"/>
      <c r="U62" s="452"/>
      <c r="V62" s="454" t="s">
        <v>137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227</v>
      </c>
      <c r="B63" s="447"/>
      <c r="C63" s="134" t="s">
        <v>228</v>
      </c>
      <c r="D63" s="134"/>
      <c r="E63" s="135" t="s">
        <v>226</v>
      </c>
      <c r="F63" s="448" t="s">
        <v>146</v>
      </c>
      <c r="G63" s="449"/>
      <c r="H63" s="449"/>
      <c r="I63" s="449"/>
      <c r="J63" s="449"/>
      <c r="K63" s="449"/>
      <c r="L63" s="449"/>
      <c r="M63" s="450"/>
      <c r="N63" s="116" t="s">
        <v>214</v>
      </c>
      <c r="O63" s="140" t="s">
        <v>205</v>
      </c>
      <c r="P63" s="451"/>
      <c r="Q63" s="452"/>
      <c r="R63" s="451" t="s">
        <v>240</v>
      </c>
      <c r="S63" s="453"/>
      <c r="T63" s="453"/>
      <c r="U63" s="452"/>
      <c r="V63" s="454" t="s">
        <v>146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134" t="s">
        <v>231</v>
      </c>
      <c r="D64" s="134" t="s">
        <v>115</v>
      </c>
      <c r="E64" s="135" t="s">
        <v>229</v>
      </c>
      <c r="F64" s="448" t="s">
        <v>230</v>
      </c>
      <c r="G64" s="449"/>
      <c r="H64" s="449"/>
      <c r="I64" s="449"/>
      <c r="J64" s="449"/>
      <c r="K64" s="449"/>
      <c r="L64" s="449"/>
      <c r="M64" s="450"/>
      <c r="N64" s="116" t="s">
        <v>116</v>
      </c>
      <c r="O64" s="140" t="s">
        <v>238</v>
      </c>
      <c r="P64" s="451" t="s">
        <v>115</v>
      </c>
      <c r="Q64" s="452"/>
      <c r="R64" s="451" t="s">
        <v>236</v>
      </c>
      <c r="S64" s="453"/>
      <c r="T64" s="453"/>
      <c r="U64" s="452"/>
      <c r="V64" s="454" t="s">
        <v>137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134" t="s">
        <v>234</v>
      </c>
      <c r="D65" s="134" t="s">
        <v>235</v>
      </c>
      <c r="E65" s="135" t="s">
        <v>232</v>
      </c>
      <c r="F65" s="448" t="s">
        <v>233</v>
      </c>
      <c r="G65" s="449"/>
      <c r="H65" s="449"/>
      <c r="I65" s="449"/>
      <c r="J65" s="449"/>
      <c r="K65" s="449"/>
      <c r="L65" s="449"/>
      <c r="M65" s="450"/>
      <c r="N65" s="116" t="s">
        <v>116</v>
      </c>
      <c r="O65" s="140" t="s">
        <v>234</v>
      </c>
      <c r="P65" s="451" t="s">
        <v>235</v>
      </c>
      <c r="Q65" s="452"/>
      <c r="R65" s="451" t="s">
        <v>232</v>
      </c>
      <c r="S65" s="453"/>
      <c r="T65" s="453"/>
      <c r="U65" s="452"/>
      <c r="V65" s="454" t="s">
        <v>137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116</v>
      </c>
      <c r="B66" s="447"/>
      <c r="C66" s="134" t="s">
        <v>238</v>
      </c>
      <c r="D66" s="134" t="s">
        <v>115</v>
      </c>
      <c r="E66" s="135" t="s">
        <v>236</v>
      </c>
      <c r="F66" s="448" t="s">
        <v>237</v>
      </c>
      <c r="G66" s="449"/>
      <c r="H66" s="449"/>
      <c r="I66" s="449"/>
      <c r="J66" s="449"/>
      <c r="K66" s="449"/>
      <c r="L66" s="449"/>
      <c r="M66" s="450"/>
      <c r="N66" s="116"/>
      <c r="O66" s="140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134"/>
      <c r="D67" s="134"/>
      <c r="E67" s="135"/>
      <c r="F67" s="448"/>
      <c r="G67" s="449"/>
      <c r="H67" s="449"/>
      <c r="I67" s="449"/>
      <c r="J67" s="449"/>
      <c r="K67" s="449"/>
      <c r="L67" s="449"/>
      <c r="M67" s="450"/>
      <c r="N67" s="116"/>
      <c r="O67" s="140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134"/>
      <c r="D68" s="134"/>
      <c r="E68" s="135"/>
      <c r="F68" s="448"/>
      <c r="G68" s="449"/>
      <c r="H68" s="449"/>
      <c r="I68" s="449"/>
      <c r="J68" s="449"/>
      <c r="K68" s="449"/>
      <c r="L68" s="449"/>
      <c r="M68" s="450"/>
      <c r="N68" s="116"/>
      <c r="O68" s="140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136"/>
      <c r="D69" s="137"/>
      <c r="E69" s="136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241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138" t="s">
        <v>2</v>
      </c>
      <c r="D71" s="138" t="s">
        <v>37</v>
      </c>
      <c r="E71" s="138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138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243</v>
      </c>
      <c r="D72" s="142"/>
      <c r="E72" s="139" t="s">
        <v>244</v>
      </c>
      <c r="F72" s="475" t="s">
        <v>242</v>
      </c>
      <c r="G72" s="476"/>
      <c r="H72" s="476"/>
      <c r="I72" s="476"/>
      <c r="J72" s="476"/>
      <c r="K72" s="476" t="s">
        <v>245</v>
      </c>
      <c r="L72" s="476"/>
      <c r="M72" s="51" t="s">
        <v>246</v>
      </c>
      <c r="N72" s="477" t="s">
        <v>247</v>
      </c>
      <c r="O72" s="477"/>
      <c r="P72" s="478"/>
      <c r="Q72" s="478"/>
      <c r="R72" s="479" t="s">
        <v>248</v>
      </c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227</v>
      </c>
      <c r="D73" s="142"/>
      <c r="E73" s="139"/>
      <c r="F73" s="481" t="s">
        <v>249</v>
      </c>
      <c r="G73" s="482"/>
      <c r="H73" s="482"/>
      <c r="I73" s="482"/>
      <c r="J73" s="483"/>
      <c r="K73" s="476" t="s">
        <v>250</v>
      </c>
      <c r="L73" s="476"/>
      <c r="M73" s="51" t="s">
        <v>246</v>
      </c>
      <c r="N73" s="477" t="s">
        <v>251</v>
      </c>
      <c r="O73" s="477"/>
      <c r="P73" s="478">
        <v>50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 t="s">
        <v>255</v>
      </c>
      <c r="D74" s="142"/>
      <c r="E74" s="139" t="s">
        <v>244</v>
      </c>
      <c r="F74" s="475" t="s">
        <v>252</v>
      </c>
      <c r="G74" s="476"/>
      <c r="H74" s="476"/>
      <c r="I74" s="476"/>
      <c r="J74" s="476"/>
      <c r="K74" s="476" t="s">
        <v>258</v>
      </c>
      <c r="L74" s="476"/>
      <c r="M74" s="51" t="s">
        <v>260</v>
      </c>
      <c r="N74" s="477" t="s">
        <v>261</v>
      </c>
      <c r="O74" s="477"/>
      <c r="P74" s="478">
        <v>40</v>
      </c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 t="s">
        <v>255</v>
      </c>
      <c r="D75" s="142"/>
      <c r="E75" s="139" t="s">
        <v>256</v>
      </c>
      <c r="F75" s="481" t="s">
        <v>253</v>
      </c>
      <c r="G75" s="482"/>
      <c r="H75" s="482"/>
      <c r="I75" s="482"/>
      <c r="J75" s="483"/>
      <c r="K75" s="476" t="s">
        <v>259</v>
      </c>
      <c r="L75" s="476"/>
      <c r="M75" s="51" t="s">
        <v>246</v>
      </c>
      <c r="N75" s="477" t="s">
        <v>261</v>
      </c>
      <c r="O75" s="477"/>
      <c r="P75" s="478">
        <v>20</v>
      </c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 t="s">
        <v>255</v>
      </c>
      <c r="D76" s="142"/>
      <c r="E76" s="139" t="s">
        <v>257</v>
      </c>
      <c r="F76" s="481" t="s">
        <v>254</v>
      </c>
      <c r="G76" s="482"/>
      <c r="H76" s="482"/>
      <c r="I76" s="482"/>
      <c r="J76" s="483"/>
      <c r="K76" s="476" t="s">
        <v>259</v>
      </c>
      <c r="L76" s="476"/>
      <c r="M76" s="51" t="s">
        <v>246</v>
      </c>
      <c r="N76" s="477" t="s">
        <v>261</v>
      </c>
      <c r="O76" s="477"/>
      <c r="P76" s="478">
        <v>20</v>
      </c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142"/>
      <c r="E77" s="139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142"/>
      <c r="E78" s="139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142"/>
      <c r="E79" s="139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142"/>
      <c r="E80" s="139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142"/>
      <c r="E81" s="139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262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141" t="s">
        <v>2</v>
      </c>
      <c r="D83" s="141" t="s">
        <v>37</v>
      </c>
      <c r="E83" s="141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143"/>
      <c r="D84" s="143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142"/>
      <c r="D85" s="142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1">A85+1</f>
        <v>3</v>
      </c>
      <c r="B86" s="493"/>
      <c r="C86" s="142"/>
      <c r="D86" s="142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1"/>
        <v>4</v>
      </c>
      <c r="B87" s="493"/>
      <c r="C87" s="142"/>
      <c r="D87" s="142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1"/>
        <v>5</v>
      </c>
      <c r="B88" s="493"/>
      <c r="C88" s="142"/>
      <c r="D88" s="142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1"/>
        <v>6</v>
      </c>
      <c r="B89" s="493"/>
      <c r="C89" s="142"/>
      <c r="D89" s="142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1"/>
        <v>7</v>
      </c>
      <c r="B90" s="493"/>
      <c r="C90" s="142"/>
      <c r="D90" s="142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263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376-D1F4-4059-83BE-48A08A6EB2CC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264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55" t="s">
        <v>17</v>
      </c>
      <c r="L5" s="155" t="s">
        <v>18</v>
      </c>
      <c r="M5" s="155" t="s">
        <v>19</v>
      </c>
      <c r="N5" s="1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5292</v>
      </c>
      <c r="K6" s="15">
        <f>L6</f>
        <v>0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0.47222222222222227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135</v>
      </c>
      <c r="E7" s="53" t="s">
        <v>177</v>
      </c>
      <c r="F7" s="30" t="s">
        <v>134</v>
      </c>
      <c r="G7" s="12">
        <v>1</v>
      </c>
      <c r="H7" s="13">
        <v>24</v>
      </c>
      <c r="I7" s="31">
        <v>6000</v>
      </c>
      <c r="J7" s="14">
        <v>585</v>
      </c>
      <c r="K7" s="15">
        <f>L7+2472+6598+585</f>
        <v>9655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0.47222222222222227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116</v>
      </c>
      <c r="D8" s="52" t="s">
        <v>115</v>
      </c>
      <c r="E8" s="53" t="s">
        <v>181</v>
      </c>
      <c r="F8" s="30" t="s">
        <v>133</v>
      </c>
      <c r="G8" s="12">
        <v>1</v>
      </c>
      <c r="H8" s="13">
        <v>24</v>
      </c>
      <c r="I8" s="7">
        <v>9000</v>
      </c>
      <c r="J8" s="14">
        <v>2278</v>
      </c>
      <c r="K8" s="15">
        <f>L8+2238+2502</f>
        <v>7018</v>
      </c>
      <c r="L8" s="15">
        <f>951+1327</f>
        <v>2278</v>
      </c>
      <c r="M8" s="15">
        <f t="shared" si="0"/>
        <v>2278</v>
      </c>
      <c r="N8" s="15">
        <v>0</v>
      </c>
      <c r="O8" s="58">
        <f t="shared" si="1"/>
        <v>0</v>
      </c>
      <c r="P8" s="39">
        <f t="shared" si="2"/>
        <v>11</v>
      </c>
      <c r="Q8" s="40">
        <f t="shared" si="3"/>
        <v>13</v>
      </c>
      <c r="R8" s="7"/>
      <c r="S8" s="6">
        <v>13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0.45833333333333331</v>
      </c>
      <c r="AD8" s="10">
        <f t="shared" si="8"/>
        <v>0.45833333333333331</v>
      </c>
      <c r="AE8" s="36">
        <f t="shared" si="6"/>
        <v>0.47222222222222227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112</v>
      </c>
      <c r="D9" s="52" t="s">
        <v>115</v>
      </c>
      <c r="E9" s="53" t="s">
        <v>210</v>
      </c>
      <c r="F9" s="30" t="s">
        <v>221</v>
      </c>
      <c r="G9" s="12">
        <v>1</v>
      </c>
      <c r="H9" s="13">
        <v>24</v>
      </c>
      <c r="I9" s="7">
        <v>3000</v>
      </c>
      <c r="J9" s="14">
        <v>3425</v>
      </c>
      <c r="K9" s="15">
        <f>L9+2398</f>
        <v>5823</v>
      </c>
      <c r="L9" s="15">
        <f>2893+532</f>
        <v>3425</v>
      </c>
      <c r="M9" s="15">
        <f t="shared" si="0"/>
        <v>3425</v>
      </c>
      <c r="N9" s="15">
        <v>0</v>
      </c>
      <c r="O9" s="58">
        <f t="shared" si="1"/>
        <v>0</v>
      </c>
      <c r="P9" s="39">
        <f t="shared" si="2"/>
        <v>16</v>
      </c>
      <c r="Q9" s="40">
        <f t="shared" si="3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0.66666666666666663</v>
      </c>
      <c r="AD9" s="10">
        <f t="shared" si="8"/>
        <v>0.66666666666666663</v>
      </c>
      <c r="AE9" s="36">
        <f t="shared" si="6"/>
        <v>0.47222222222222227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164</v>
      </c>
      <c r="D10" s="52"/>
      <c r="E10" s="53" t="s">
        <v>240</v>
      </c>
      <c r="F10" s="30" t="s">
        <v>133</v>
      </c>
      <c r="G10" s="33">
        <v>1</v>
      </c>
      <c r="H10" s="35">
        <v>24</v>
      </c>
      <c r="I10" s="7">
        <v>19000</v>
      </c>
      <c r="J10" s="14">
        <v>5282</v>
      </c>
      <c r="K10" s="15">
        <f>L10</f>
        <v>5282</v>
      </c>
      <c r="L10" s="15">
        <f>2153+3129</f>
        <v>5282</v>
      </c>
      <c r="M10" s="15">
        <f t="shared" si="0"/>
        <v>5282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0.47222222222222227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161</v>
      </c>
      <c r="E11" s="53" t="s">
        <v>182</v>
      </c>
      <c r="F11" s="30" t="s">
        <v>133</v>
      </c>
      <c r="G11" s="33">
        <v>1</v>
      </c>
      <c r="H11" s="35">
        <v>24</v>
      </c>
      <c r="I11" s="7">
        <v>22000</v>
      </c>
      <c r="J11" s="14">
        <v>5711</v>
      </c>
      <c r="K11" s="15">
        <f>L11+1121+873+4493+5508</f>
        <v>17706</v>
      </c>
      <c r="L11" s="15">
        <f>2982+2729</f>
        <v>5711</v>
      </c>
      <c r="M11" s="15">
        <f t="shared" si="0"/>
        <v>5711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0.47222222222222227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71000</v>
      </c>
      <c r="J12" s="5">
        <v>8842</v>
      </c>
      <c r="K12" s="15">
        <f>L12+9138+9640+10002+9460+8804+9066+9592+8372</f>
        <v>82916</v>
      </c>
      <c r="L12" s="15">
        <f>2368*2+2053*2</f>
        <v>8842</v>
      </c>
      <c r="M12" s="15">
        <f t="shared" si="0"/>
        <v>8842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>
        <v>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8"/>
        <v>0.95833333333333337</v>
      </c>
      <c r="AE12" s="36">
        <f t="shared" si="6"/>
        <v>0.47222222222222227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174</v>
      </c>
      <c r="F13" s="30" t="s">
        <v>175</v>
      </c>
      <c r="G13" s="33">
        <v>2</v>
      </c>
      <c r="H13" s="35">
        <v>22</v>
      </c>
      <c r="I13" s="7">
        <v>68000</v>
      </c>
      <c r="J13" s="14">
        <v>11302</v>
      </c>
      <c r="K13" s="15">
        <f>L13+10908+11004+14278+13894+14816+13532+14940+14268</f>
        <v>118942</v>
      </c>
      <c r="L13" s="15">
        <f>3328*2+2323*2</f>
        <v>11302</v>
      </c>
      <c r="M13" s="15">
        <f t="shared" si="0"/>
        <v>11302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/>
      <c r="T13" s="16"/>
      <c r="U13" s="16"/>
      <c r="V13" s="17"/>
      <c r="W13" s="5">
        <v>2</v>
      </c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 t="shared" si="8"/>
        <v>0.91666666666666663</v>
      </c>
      <c r="AE13" s="36">
        <f t="shared" si="6"/>
        <v>0.47222222222222227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0.47222222222222227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26012</v>
      </c>
      <c r="K15" s="15">
        <f>L15+15076+24324+23616+24984+24984</f>
        <v>138996</v>
      </c>
      <c r="L15" s="15">
        <f>3356*4+3147*4</f>
        <v>26012</v>
      </c>
      <c r="M15" s="15">
        <f t="shared" si="0"/>
        <v>26012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0.47222222222222227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11778</v>
      </c>
      <c r="K16" s="15">
        <f>L16+9350+9873+10572+11420+9694+7670+11372+10884+8431+5890+10900+11458+11552+11940+10862+11588+10714+11420+11054</f>
        <v>208422</v>
      </c>
      <c r="L16" s="15">
        <f>3041*2+2848*2</f>
        <v>11778</v>
      </c>
      <c r="M16" s="15">
        <f t="shared" si="0"/>
        <v>11778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0.47222222222222227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213</v>
      </c>
      <c r="F17" s="30" t="s">
        <v>156</v>
      </c>
      <c r="G17" s="12">
        <v>1</v>
      </c>
      <c r="H17" s="13">
        <v>24</v>
      </c>
      <c r="I17" s="7">
        <v>19000</v>
      </c>
      <c r="J17" s="14">
        <v>5683</v>
      </c>
      <c r="K17" s="15">
        <f>L17+5064</f>
        <v>10747</v>
      </c>
      <c r="L17" s="15">
        <f>2955+2728</f>
        <v>5683</v>
      </c>
      <c r="M17" s="15">
        <f t="shared" si="0"/>
        <v>5683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0.47222222222222227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265</v>
      </c>
      <c r="F18" s="30" t="s">
        <v>143</v>
      </c>
      <c r="G18" s="12">
        <v>1</v>
      </c>
      <c r="H18" s="13">
        <v>22</v>
      </c>
      <c r="I18" s="31">
        <v>3200</v>
      </c>
      <c r="J18" s="5">
        <v>4283</v>
      </c>
      <c r="K18" s="15">
        <f>L18</f>
        <v>4283</v>
      </c>
      <c r="L18" s="15">
        <f>1550+2733</f>
        <v>4283</v>
      </c>
      <c r="M18" s="15">
        <f t="shared" si="0"/>
        <v>4283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8"/>
        <v>0.83333333333333337</v>
      </c>
      <c r="AE18" s="36">
        <f t="shared" si="6"/>
        <v>0.47222222222222227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116</v>
      </c>
      <c r="D19" s="52" t="s">
        <v>135</v>
      </c>
      <c r="E19" s="53" t="s">
        <v>266</v>
      </c>
      <c r="F19" s="30" t="s">
        <v>143</v>
      </c>
      <c r="G19" s="33">
        <v>1</v>
      </c>
      <c r="H19" s="35">
        <v>24</v>
      </c>
      <c r="I19" s="7">
        <v>2500</v>
      </c>
      <c r="J19" s="14">
        <v>3637</v>
      </c>
      <c r="K19" s="15">
        <f>L19</f>
        <v>3637</v>
      </c>
      <c r="L19" s="15">
        <f>2300+1337</f>
        <v>3637</v>
      </c>
      <c r="M19" s="15">
        <f t="shared" si="0"/>
        <v>3637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8"/>
        <v>0.79166666666666663</v>
      </c>
      <c r="AE19" s="36">
        <f t="shared" si="6"/>
        <v>0.47222222222222227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185</v>
      </c>
      <c r="F20" s="30" t="s">
        <v>176</v>
      </c>
      <c r="G20" s="33">
        <v>1</v>
      </c>
      <c r="H20" s="35">
        <v>24</v>
      </c>
      <c r="I20" s="7">
        <v>22000</v>
      </c>
      <c r="J20" s="14">
        <v>3941</v>
      </c>
      <c r="K20" s="15">
        <f>L20+5062+5211+5426+2305</f>
        <v>21945</v>
      </c>
      <c r="L20" s="15">
        <f>2609+1332</f>
        <v>3941</v>
      </c>
      <c r="M20" s="15">
        <f t="shared" si="0"/>
        <v>3941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8"/>
        <v>0.70833333333333337</v>
      </c>
      <c r="AE20" s="36">
        <f t="shared" si="6"/>
        <v>0.47222222222222227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63920</v>
      </c>
      <c r="K21" s="15">
        <f>L21+64424+64620+22548+54104+64632+65016+67504+61284+57732+64780+64192</f>
        <v>714756</v>
      </c>
      <c r="L21" s="15">
        <f>7960*4+8020*4</f>
        <v>63920</v>
      </c>
      <c r="M21" s="15">
        <f t="shared" si="0"/>
        <v>63920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0.47222222222222227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0.47222222222222227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0.47222222222222227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0.47222222222222227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0.47222222222222227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3</v>
      </c>
      <c r="H26" s="35">
        <v>20</v>
      </c>
      <c r="I26" s="7">
        <v>130000</v>
      </c>
      <c r="J26" s="14">
        <v>15393</v>
      </c>
      <c r="K26" s="15">
        <f>L26+15220+23840+22923+6507+15501+18108+17847+18078+15393</f>
        <v>153417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0.47222222222222227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v>130000</v>
      </c>
      <c r="J27" s="14">
        <v>24332</v>
      </c>
      <c r="K27" s="15">
        <f>L27+15632+12648+1958+21292+27256+2770+24332</f>
        <v>105888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0.47222222222222227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v>130000</v>
      </c>
      <c r="J28" s="14">
        <v>26116</v>
      </c>
      <c r="K28" s="15">
        <f>L28+27916+29980+10704+25528+29800+29376+29736+26116</f>
        <v>209156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0.47222222222222227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0.47222222222222227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9">SUM(I6:I29)</f>
        <v>6192200</v>
      </c>
      <c r="J30" s="19">
        <f t="shared" si="9"/>
        <v>543571</v>
      </c>
      <c r="K30" s="20">
        <f t="shared" si="9"/>
        <v>4562588</v>
      </c>
      <c r="L30" s="21">
        <f t="shared" si="9"/>
        <v>156094</v>
      </c>
      <c r="M30" s="20">
        <f t="shared" si="9"/>
        <v>156094</v>
      </c>
      <c r="N30" s="21">
        <f t="shared" si="9"/>
        <v>0</v>
      </c>
      <c r="O30" s="41">
        <f t="shared" si="1"/>
        <v>0</v>
      </c>
      <c r="P30" s="42">
        <f t="shared" ref="P30:AA30" si="10">SUM(P6:P29)</f>
        <v>272</v>
      </c>
      <c r="Q30" s="43">
        <f t="shared" si="10"/>
        <v>304</v>
      </c>
      <c r="R30" s="23">
        <f t="shared" si="10"/>
        <v>0</v>
      </c>
      <c r="S30" s="24">
        <f t="shared" si="10"/>
        <v>62</v>
      </c>
      <c r="T30" s="24">
        <f t="shared" si="10"/>
        <v>0</v>
      </c>
      <c r="U30" s="24">
        <f t="shared" si="10"/>
        <v>0</v>
      </c>
      <c r="V30" s="25">
        <f t="shared" si="10"/>
        <v>48</v>
      </c>
      <c r="W30" s="26">
        <f t="shared" si="10"/>
        <v>146</v>
      </c>
      <c r="X30" s="27">
        <f t="shared" si="10"/>
        <v>0</v>
      </c>
      <c r="Y30" s="27">
        <f t="shared" si="10"/>
        <v>0</v>
      </c>
      <c r="Z30" s="27">
        <f t="shared" si="10"/>
        <v>0</v>
      </c>
      <c r="AA30" s="27">
        <f t="shared" si="10"/>
        <v>48</v>
      </c>
      <c r="AB30" s="28">
        <f>AVERAGE(AB6:AB29)</f>
        <v>0.56521739130434778</v>
      </c>
      <c r="AC30" s="4">
        <f>AVERAGE(AC6:AC29)</f>
        <v>0.47222222222222227</v>
      </c>
      <c r="AD30" s="4">
        <f>AVERAGE(AD6:AD29)</f>
        <v>0.47222222222222227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267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271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154" t="s">
        <v>46</v>
      </c>
      <c r="D59" s="154" t="s">
        <v>47</v>
      </c>
      <c r="E59" s="154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154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150" t="s">
        <v>141</v>
      </c>
      <c r="D60" s="150" t="s">
        <v>115</v>
      </c>
      <c r="E60" s="151" t="s">
        <v>181</v>
      </c>
      <c r="F60" s="448" t="s">
        <v>201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158" t="s">
        <v>141</v>
      </c>
      <c r="P60" s="451" t="s">
        <v>115</v>
      </c>
      <c r="Q60" s="452"/>
      <c r="R60" s="451" t="s">
        <v>181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112</v>
      </c>
      <c r="B61" s="447"/>
      <c r="C61" s="156" t="s">
        <v>138</v>
      </c>
      <c r="D61" s="156" t="s">
        <v>115</v>
      </c>
      <c r="E61" s="157" t="s">
        <v>210</v>
      </c>
      <c r="F61" s="448" t="s">
        <v>137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148" t="s">
        <v>234</v>
      </c>
      <c r="P61" s="451" t="s">
        <v>115</v>
      </c>
      <c r="Q61" s="452"/>
      <c r="R61" s="451" t="s">
        <v>272</v>
      </c>
      <c r="S61" s="453"/>
      <c r="T61" s="453"/>
      <c r="U61" s="452"/>
      <c r="V61" s="454" t="s">
        <v>270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164</v>
      </c>
      <c r="B62" s="447"/>
      <c r="C62" s="150" t="s">
        <v>205</v>
      </c>
      <c r="D62" s="150"/>
      <c r="E62" s="157" t="s">
        <v>240</v>
      </c>
      <c r="F62" s="448" t="s">
        <v>146</v>
      </c>
      <c r="G62" s="449"/>
      <c r="H62" s="449"/>
      <c r="I62" s="449"/>
      <c r="J62" s="449"/>
      <c r="K62" s="449"/>
      <c r="L62" s="449"/>
      <c r="M62" s="450"/>
      <c r="N62" s="116"/>
      <c r="O62" s="148"/>
      <c r="P62" s="451"/>
      <c r="Q62" s="452"/>
      <c r="R62" s="451"/>
      <c r="S62" s="453"/>
      <c r="T62" s="453"/>
      <c r="U62" s="452"/>
      <c r="V62" s="454"/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156" t="s">
        <v>231</v>
      </c>
      <c r="D63" s="156" t="s">
        <v>115</v>
      </c>
      <c r="E63" s="157" t="s">
        <v>265</v>
      </c>
      <c r="F63" s="448" t="s">
        <v>203</v>
      </c>
      <c r="G63" s="449"/>
      <c r="H63" s="449"/>
      <c r="I63" s="449"/>
      <c r="J63" s="449"/>
      <c r="K63" s="449"/>
      <c r="L63" s="449"/>
      <c r="M63" s="450"/>
      <c r="N63" s="116"/>
      <c r="O63" s="148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156" t="s">
        <v>234</v>
      </c>
      <c r="D64" s="156" t="s">
        <v>142</v>
      </c>
      <c r="E64" s="157" t="s">
        <v>232</v>
      </c>
      <c r="F64" s="448" t="s">
        <v>268</v>
      </c>
      <c r="G64" s="449"/>
      <c r="H64" s="449"/>
      <c r="I64" s="449"/>
      <c r="J64" s="449"/>
      <c r="K64" s="449"/>
      <c r="L64" s="449"/>
      <c r="M64" s="450"/>
      <c r="N64" s="116"/>
      <c r="O64" s="148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156" t="s">
        <v>238</v>
      </c>
      <c r="D65" s="156" t="s">
        <v>115</v>
      </c>
      <c r="E65" s="157" t="s">
        <v>173</v>
      </c>
      <c r="F65" s="448" t="s">
        <v>137</v>
      </c>
      <c r="G65" s="449"/>
      <c r="H65" s="449"/>
      <c r="I65" s="449"/>
      <c r="J65" s="449"/>
      <c r="K65" s="449"/>
      <c r="L65" s="449"/>
      <c r="M65" s="450"/>
      <c r="N65" s="116"/>
      <c r="O65" s="148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116</v>
      </c>
      <c r="B66" s="447"/>
      <c r="C66" s="150" t="s">
        <v>158</v>
      </c>
      <c r="D66" s="150" t="s">
        <v>135</v>
      </c>
      <c r="E66" s="151" t="s">
        <v>269</v>
      </c>
      <c r="F66" s="448" t="s">
        <v>270</v>
      </c>
      <c r="G66" s="449"/>
      <c r="H66" s="449"/>
      <c r="I66" s="449"/>
      <c r="J66" s="449"/>
      <c r="K66" s="449"/>
      <c r="L66" s="449"/>
      <c r="M66" s="450"/>
      <c r="N66" s="116"/>
      <c r="O66" s="148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150"/>
      <c r="D67" s="150"/>
      <c r="E67" s="151"/>
      <c r="F67" s="448"/>
      <c r="G67" s="449"/>
      <c r="H67" s="449"/>
      <c r="I67" s="449"/>
      <c r="J67" s="449"/>
      <c r="K67" s="449"/>
      <c r="L67" s="449"/>
      <c r="M67" s="450"/>
      <c r="N67" s="116"/>
      <c r="O67" s="148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150"/>
      <c r="D68" s="150"/>
      <c r="E68" s="151"/>
      <c r="F68" s="448"/>
      <c r="G68" s="449"/>
      <c r="H68" s="449"/>
      <c r="I68" s="449"/>
      <c r="J68" s="449"/>
      <c r="K68" s="449"/>
      <c r="L68" s="449"/>
      <c r="M68" s="450"/>
      <c r="N68" s="116"/>
      <c r="O68" s="148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152"/>
      <c r="D69" s="153"/>
      <c r="E69" s="152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273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149" t="s">
        <v>2</v>
      </c>
      <c r="D71" s="149" t="s">
        <v>37</v>
      </c>
      <c r="E71" s="149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149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274</v>
      </c>
      <c r="D72" s="144"/>
      <c r="E72" s="147" t="s">
        <v>275</v>
      </c>
      <c r="F72" s="475" t="s">
        <v>269</v>
      </c>
      <c r="G72" s="476"/>
      <c r="H72" s="476"/>
      <c r="I72" s="476"/>
      <c r="J72" s="476"/>
      <c r="K72" s="476">
        <v>7301</v>
      </c>
      <c r="L72" s="476"/>
      <c r="M72" s="51" t="s">
        <v>276</v>
      </c>
      <c r="N72" s="477" t="s">
        <v>277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144"/>
      <c r="E73" s="147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144"/>
      <c r="E74" s="147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144"/>
      <c r="E75" s="147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144"/>
      <c r="E76" s="147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144"/>
      <c r="E77" s="147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144"/>
      <c r="E78" s="147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144"/>
      <c r="E79" s="147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144"/>
      <c r="E80" s="147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144"/>
      <c r="E81" s="147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278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146" t="s">
        <v>2</v>
      </c>
      <c r="D83" s="146" t="s">
        <v>37</v>
      </c>
      <c r="E83" s="146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145"/>
      <c r="D84" s="145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144"/>
      <c r="D85" s="144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1">A85+1</f>
        <v>3</v>
      </c>
      <c r="B86" s="493"/>
      <c r="C86" s="144"/>
      <c r="D86" s="144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1"/>
        <v>4</v>
      </c>
      <c r="B87" s="493"/>
      <c r="C87" s="144"/>
      <c r="D87" s="144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1"/>
        <v>5</v>
      </c>
      <c r="B88" s="493"/>
      <c r="C88" s="144"/>
      <c r="D88" s="144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1"/>
        <v>6</v>
      </c>
      <c r="B89" s="493"/>
      <c r="C89" s="144"/>
      <c r="D89" s="144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1"/>
        <v>7</v>
      </c>
      <c r="B90" s="493"/>
      <c r="C90" s="144"/>
      <c r="D90" s="144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279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9845-F3D0-4D3E-A2A9-B89AD34406BE}">
  <sheetPr>
    <pageSetUpPr fitToPage="1"/>
  </sheetPr>
  <dimension ref="A1:AF95"/>
  <sheetViews>
    <sheetView view="pageBreakPreview" zoomScale="70" zoomScaleNormal="72" zoomScaleSheetLayoutView="70" workbookViewId="0">
      <selection activeCell="A3" sqref="A3:G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304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70" t="s">
        <v>17</v>
      </c>
      <c r="L5" s="170" t="s">
        <v>18</v>
      </c>
      <c r="M5" s="170" t="s">
        <v>19</v>
      </c>
      <c r="N5" s="1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5292</v>
      </c>
      <c r="K6" s="15">
        <f>L6</f>
        <v>0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0.23263888888888887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135</v>
      </c>
      <c r="E7" s="53" t="s">
        <v>177</v>
      </c>
      <c r="F7" s="30" t="s">
        <v>134</v>
      </c>
      <c r="G7" s="12">
        <v>1</v>
      </c>
      <c r="H7" s="13">
        <v>24</v>
      </c>
      <c r="I7" s="31">
        <v>6000</v>
      </c>
      <c r="J7" s="14">
        <v>585</v>
      </c>
      <c r="K7" s="15">
        <f>L7+2472+6598+585</f>
        <v>9655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0.23263888888888887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116</v>
      </c>
      <c r="D8" s="52" t="s">
        <v>115</v>
      </c>
      <c r="E8" s="53" t="s">
        <v>181</v>
      </c>
      <c r="F8" s="30" t="s">
        <v>133</v>
      </c>
      <c r="G8" s="12">
        <v>1</v>
      </c>
      <c r="H8" s="13">
        <v>24</v>
      </c>
      <c r="I8" s="7">
        <v>9000</v>
      </c>
      <c r="J8" s="14">
        <v>3290</v>
      </c>
      <c r="K8" s="15">
        <f>L8+2238+2502+2278</f>
        <v>10308</v>
      </c>
      <c r="L8" s="15">
        <f>1503+1787</f>
        <v>3290</v>
      </c>
      <c r="M8" s="15">
        <f t="shared" si="0"/>
        <v>3290</v>
      </c>
      <c r="N8" s="15">
        <v>0</v>
      </c>
      <c r="O8" s="58">
        <f t="shared" si="1"/>
        <v>0</v>
      </c>
      <c r="P8" s="39">
        <f t="shared" si="2"/>
        <v>16</v>
      </c>
      <c r="Q8" s="40">
        <f t="shared" si="3"/>
        <v>8</v>
      </c>
      <c r="R8" s="7"/>
      <c r="S8" s="6">
        <v>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0.66666666666666663</v>
      </c>
      <c r="AD8" s="10">
        <f t="shared" si="8"/>
        <v>0.66666666666666663</v>
      </c>
      <c r="AE8" s="36">
        <f t="shared" si="6"/>
        <v>0.23263888888888887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112</v>
      </c>
      <c r="D9" s="52" t="s">
        <v>115</v>
      </c>
      <c r="E9" s="53" t="s">
        <v>210</v>
      </c>
      <c r="F9" s="30" t="s">
        <v>221</v>
      </c>
      <c r="G9" s="12">
        <v>1</v>
      </c>
      <c r="H9" s="13">
        <v>24</v>
      </c>
      <c r="I9" s="7">
        <v>3000</v>
      </c>
      <c r="J9" s="14">
        <v>4039</v>
      </c>
      <c r="K9" s="15">
        <f>L9+2398+3425</f>
        <v>9862</v>
      </c>
      <c r="L9" s="15">
        <f>1697+2342</f>
        <v>4039</v>
      </c>
      <c r="M9" s="15">
        <f t="shared" si="0"/>
        <v>4039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/>
      <c r="T9" s="16"/>
      <c r="U9" s="16"/>
      <c r="V9" s="17">
        <v>4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8"/>
        <v>0.83333333333333337</v>
      </c>
      <c r="AE9" s="36">
        <f t="shared" si="6"/>
        <v>0.23263888888888887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164</v>
      </c>
      <c r="D10" s="52"/>
      <c r="E10" s="53" t="s">
        <v>240</v>
      </c>
      <c r="F10" s="30" t="s">
        <v>133</v>
      </c>
      <c r="G10" s="33">
        <v>1</v>
      </c>
      <c r="H10" s="35">
        <v>24</v>
      </c>
      <c r="I10" s="7">
        <v>19000</v>
      </c>
      <c r="J10" s="14">
        <v>4501</v>
      </c>
      <c r="K10" s="15">
        <f>L10+5282</f>
        <v>9783</v>
      </c>
      <c r="L10" s="15">
        <f>1880+2621</f>
        <v>4501</v>
      </c>
      <c r="M10" s="15">
        <f t="shared" si="0"/>
        <v>4501</v>
      </c>
      <c r="N10" s="15">
        <v>0</v>
      </c>
      <c r="O10" s="58">
        <f t="shared" si="1"/>
        <v>0</v>
      </c>
      <c r="P10" s="39">
        <f t="shared" si="2"/>
        <v>20</v>
      </c>
      <c r="Q10" s="40">
        <f t="shared" si="3"/>
        <v>4</v>
      </c>
      <c r="R10" s="7"/>
      <c r="S10" s="6"/>
      <c r="T10" s="16"/>
      <c r="U10" s="16"/>
      <c r="V10" s="17">
        <v>4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0.83333333333333337</v>
      </c>
      <c r="AD10" s="10">
        <f t="shared" si="8"/>
        <v>0.83333333333333337</v>
      </c>
      <c r="AE10" s="36">
        <f t="shared" si="6"/>
        <v>0.23263888888888887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161</v>
      </c>
      <c r="E11" s="53" t="s">
        <v>182</v>
      </c>
      <c r="F11" s="30" t="s">
        <v>133</v>
      </c>
      <c r="G11" s="33">
        <v>1</v>
      </c>
      <c r="H11" s="35">
        <v>24</v>
      </c>
      <c r="I11" s="7">
        <v>22000</v>
      </c>
      <c r="J11" s="14">
        <v>4227</v>
      </c>
      <c r="K11" s="15">
        <f>L11+1121+873+4493+5508+5711</f>
        <v>21933</v>
      </c>
      <c r="L11" s="15">
        <f>1817+2410</f>
        <v>4227</v>
      </c>
      <c r="M11" s="15">
        <f t="shared" si="0"/>
        <v>4227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/>
      <c r="T11" s="16"/>
      <c r="U11" s="16"/>
      <c r="V11" s="17">
        <v>4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si="8"/>
        <v>0.83333333333333337</v>
      </c>
      <c r="AE11" s="36">
        <f t="shared" si="6"/>
        <v>0.23263888888888887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71000</v>
      </c>
      <c r="J12" s="5">
        <v>8842</v>
      </c>
      <c r="K12" s="15">
        <f>L12+9138+9640+10002+9460+8804+9066+9592+8372+8842</f>
        <v>82916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8"/>
        <v>0</v>
      </c>
      <c r="AE12" s="36">
        <f t="shared" si="6"/>
        <v>0.23263888888888887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174</v>
      </c>
      <c r="F13" s="30" t="s">
        <v>175</v>
      </c>
      <c r="G13" s="33">
        <v>2</v>
      </c>
      <c r="H13" s="35">
        <v>22</v>
      </c>
      <c r="I13" s="7">
        <v>68000</v>
      </c>
      <c r="J13" s="14">
        <v>11302</v>
      </c>
      <c r="K13" s="15">
        <f>L13+10908+11004+14278+13894+14816+13532+14940+14268+11302</f>
        <v>118942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8"/>
        <v>0</v>
      </c>
      <c r="AE13" s="36">
        <f t="shared" si="6"/>
        <v>0.23263888888888887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0.23263888888888887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26012</v>
      </c>
      <c r="K15" s="15">
        <f>L15+15076+24324+23616+24984+24984+26012</f>
        <v>138996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0.23263888888888887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11778</v>
      </c>
      <c r="K16" s="15">
        <f>L16+9350+9873+10572+11420+9694+7670+11372+10884+8431+5890+10900+11458+11552+11940+10862+11588+10714+11420+11054+11778</f>
        <v>208422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0.23263888888888887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213</v>
      </c>
      <c r="F17" s="30" t="s">
        <v>156</v>
      </c>
      <c r="G17" s="12">
        <v>1</v>
      </c>
      <c r="H17" s="13">
        <v>24</v>
      </c>
      <c r="I17" s="7">
        <v>19000</v>
      </c>
      <c r="J17" s="14">
        <v>4157</v>
      </c>
      <c r="K17" s="15">
        <f>L17+5064+5683</f>
        <v>14904</v>
      </c>
      <c r="L17" s="15">
        <f>1764+2393</f>
        <v>4157</v>
      </c>
      <c r="M17" s="15">
        <f t="shared" si="0"/>
        <v>4157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/>
      <c r="T17" s="16"/>
      <c r="U17" s="16"/>
      <c r="V17" s="17">
        <v>4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8"/>
        <v>0.83333333333333337</v>
      </c>
      <c r="AE17" s="36">
        <f t="shared" si="6"/>
        <v>0.23263888888888887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265</v>
      </c>
      <c r="F18" s="30" t="s">
        <v>143</v>
      </c>
      <c r="G18" s="12">
        <v>1</v>
      </c>
      <c r="H18" s="13">
        <v>22</v>
      </c>
      <c r="I18" s="31">
        <v>3200</v>
      </c>
      <c r="J18" s="5">
        <v>3910</v>
      </c>
      <c r="K18" s="15">
        <f>L18+4283</f>
        <v>8193</v>
      </c>
      <c r="L18" s="15">
        <f>1815+2095</f>
        <v>3910</v>
      </c>
      <c r="M18" s="15">
        <f t="shared" si="0"/>
        <v>3910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2</v>
      </c>
      <c r="T18" s="16"/>
      <c r="U18" s="16"/>
      <c r="V18" s="17">
        <v>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8"/>
        <v>0.75</v>
      </c>
      <c r="AE18" s="36">
        <f t="shared" si="6"/>
        <v>0.23263888888888887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116</v>
      </c>
      <c r="D19" s="52" t="s">
        <v>161</v>
      </c>
      <c r="E19" s="53" t="s">
        <v>280</v>
      </c>
      <c r="F19" s="30" t="s">
        <v>143</v>
      </c>
      <c r="G19" s="33">
        <v>1</v>
      </c>
      <c r="H19" s="35">
        <v>24</v>
      </c>
      <c r="I19" s="7">
        <v>1000</v>
      </c>
      <c r="J19" s="14">
        <v>3637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0.23263888888888887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185</v>
      </c>
      <c r="F20" s="30" t="s">
        <v>176</v>
      </c>
      <c r="G20" s="33">
        <v>1</v>
      </c>
      <c r="H20" s="35">
        <v>24</v>
      </c>
      <c r="I20" s="7">
        <v>22000</v>
      </c>
      <c r="J20" s="14">
        <v>4162</v>
      </c>
      <c r="K20" s="15">
        <f>L20+5062+5211+5426+2305+3941</f>
        <v>26107</v>
      </c>
      <c r="L20" s="15">
        <f>1781+2381</f>
        <v>4162</v>
      </c>
      <c r="M20" s="15">
        <f t="shared" si="0"/>
        <v>4162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/>
      <c r="T20" s="16"/>
      <c r="U20" s="16"/>
      <c r="V20" s="17">
        <v>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8"/>
        <v>0.83333333333333337</v>
      </c>
      <c r="AE20" s="36">
        <f t="shared" si="6"/>
        <v>0.23263888888888887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63920</v>
      </c>
      <c r="K21" s="15">
        <f>L21+64424+64620+22548+54104+64632+65016+67504+61284+57732+64780+64192+63920</f>
        <v>714756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0.23263888888888887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0.23263888888888887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0.23263888888888887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0.23263888888888887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0.23263888888888887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3</v>
      </c>
      <c r="H26" s="35">
        <v>20</v>
      </c>
      <c r="I26" s="7">
        <v>130000</v>
      </c>
      <c r="J26" s="14">
        <v>15393</v>
      </c>
      <c r="K26" s="15">
        <f>L26+15220+23840+22923+6507+15501+18108+17847+18078+15393</f>
        <v>153417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0.23263888888888887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v>130000</v>
      </c>
      <c r="J27" s="14">
        <v>24332</v>
      </c>
      <c r="K27" s="15">
        <f>L27+15632+12648+1958+21292+27256+2770+24332</f>
        <v>105888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0.23263888888888887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v>130000</v>
      </c>
      <c r="J28" s="14">
        <v>26116</v>
      </c>
      <c r="K28" s="15">
        <f>L28+27916+29980+10704+25528+29800+29376+29736+26116</f>
        <v>209156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0.23263888888888887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0.23263888888888887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9">SUM(I6:I29)</f>
        <v>6190700</v>
      </c>
      <c r="J30" s="19">
        <f t="shared" si="9"/>
        <v>541254</v>
      </c>
      <c r="K30" s="20">
        <f t="shared" si="9"/>
        <v>4587237</v>
      </c>
      <c r="L30" s="21">
        <f t="shared" si="9"/>
        <v>28286</v>
      </c>
      <c r="M30" s="20">
        <f t="shared" si="9"/>
        <v>28286</v>
      </c>
      <c r="N30" s="21">
        <f t="shared" si="9"/>
        <v>0</v>
      </c>
      <c r="O30" s="41">
        <f t="shared" si="1"/>
        <v>0</v>
      </c>
      <c r="P30" s="42">
        <f t="shared" ref="P30:AA30" si="10">SUM(P6:P29)</f>
        <v>134</v>
      </c>
      <c r="Q30" s="43">
        <f t="shared" si="10"/>
        <v>442</v>
      </c>
      <c r="R30" s="23">
        <f t="shared" si="10"/>
        <v>0</v>
      </c>
      <c r="S30" s="24">
        <f t="shared" si="10"/>
        <v>58</v>
      </c>
      <c r="T30" s="24">
        <f t="shared" si="10"/>
        <v>0</v>
      </c>
      <c r="U30" s="24">
        <f t="shared" si="10"/>
        <v>0</v>
      </c>
      <c r="V30" s="25">
        <f t="shared" si="10"/>
        <v>144</v>
      </c>
      <c r="W30" s="26">
        <f t="shared" si="10"/>
        <v>192</v>
      </c>
      <c r="X30" s="27">
        <f t="shared" si="10"/>
        <v>0</v>
      </c>
      <c r="Y30" s="27">
        <f t="shared" si="10"/>
        <v>0</v>
      </c>
      <c r="Z30" s="27">
        <f t="shared" si="10"/>
        <v>0</v>
      </c>
      <c r="AA30" s="27">
        <f t="shared" si="10"/>
        <v>48</v>
      </c>
      <c r="AB30" s="28">
        <f>AVERAGE(AB6:AB29)</f>
        <v>0.30434782608695654</v>
      </c>
      <c r="AC30" s="4">
        <f>AVERAGE(AC6:AC29)</f>
        <v>0.23263888888888887</v>
      </c>
      <c r="AD30" s="4">
        <f>AVERAGE(AD6:AD29)</f>
        <v>0.23263888888888887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281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287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169" t="s">
        <v>46</v>
      </c>
      <c r="D59" s="169" t="s">
        <v>47</v>
      </c>
      <c r="E59" s="169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169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165" t="s">
        <v>141</v>
      </c>
      <c r="D60" s="165" t="s">
        <v>115</v>
      </c>
      <c r="E60" s="166" t="s">
        <v>181</v>
      </c>
      <c r="F60" s="448" t="s">
        <v>201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163" t="s">
        <v>141</v>
      </c>
      <c r="P60" s="451" t="s">
        <v>115</v>
      </c>
      <c r="Q60" s="452"/>
      <c r="R60" s="451" t="s">
        <v>181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173" t="s">
        <v>231</v>
      </c>
      <c r="D61" s="173" t="s">
        <v>115</v>
      </c>
      <c r="E61" s="174" t="s">
        <v>265</v>
      </c>
      <c r="F61" s="448" t="s">
        <v>282</v>
      </c>
      <c r="G61" s="449"/>
      <c r="H61" s="449"/>
      <c r="I61" s="449"/>
      <c r="J61" s="449"/>
      <c r="K61" s="449"/>
      <c r="L61" s="449"/>
      <c r="M61" s="450"/>
      <c r="N61" s="116" t="s">
        <v>124</v>
      </c>
      <c r="O61" s="163" t="s">
        <v>208</v>
      </c>
      <c r="P61" s="451" t="s">
        <v>157</v>
      </c>
      <c r="Q61" s="452"/>
      <c r="R61" s="451" t="s">
        <v>288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165" t="s">
        <v>283</v>
      </c>
      <c r="D62" s="165" t="s">
        <v>284</v>
      </c>
      <c r="E62" s="166" t="s">
        <v>285</v>
      </c>
      <c r="F62" s="448" t="s">
        <v>286</v>
      </c>
      <c r="G62" s="449"/>
      <c r="H62" s="449"/>
      <c r="I62" s="449"/>
      <c r="J62" s="449"/>
      <c r="K62" s="449"/>
      <c r="L62" s="449"/>
      <c r="M62" s="450"/>
      <c r="N62" s="116" t="s">
        <v>290</v>
      </c>
      <c r="O62" s="163" t="s">
        <v>291</v>
      </c>
      <c r="P62" s="451"/>
      <c r="Q62" s="452"/>
      <c r="R62" s="451" t="s">
        <v>289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/>
      <c r="B63" s="447"/>
      <c r="C63" s="165"/>
      <c r="D63" s="165"/>
      <c r="E63" s="166"/>
      <c r="F63" s="448"/>
      <c r="G63" s="449"/>
      <c r="H63" s="449"/>
      <c r="I63" s="449"/>
      <c r="J63" s="449"/>
      <c r="K63" s="449"/>
      <c r="L63" s="449"/>
      <c r="M63" s="450"/>
      <c r="N63" s="116" t="s">
        <v>116</v>
      </c>
      <c r="O63" s="163" t="s">
        <v>293</v>
      </c>
      <c r="P63" s="451" t="s">
        <v>115</v>
      </c>
      <c r="Q63" s="452"/>
      <c r="R63" s="451" t="s">
        <v>292</v>
      </c>
      <c r="S63" s="453"/>
      <c r="T63" s="453"/>
      <c r="U63" s="452"/>
      <c r="V63" s="454" t="s">
        <v>146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/>
      <c r="B64" s="447"/>
      <c r="C64" s="165"/>
      <c r="D64" s="165"/>
      <c r="E64" s="166"/>
      <c r="F64" s="448"/>
      <c r="G64" s="449"/>
      <c r="H64" s="449"/>
      <c r="I64" s="449"/>
      <c r="J64" s="449"/>
      <c r="K64" s="449"/>
      <c r="L64" s="449"/>
      <c r="M64" s="450"/>
      <c r="N64" s="116" t="s">
        <v>294</v>
      </c>
      <c r="O64" s="163" t="s">
        <v>295</v>
      </c>
      <c r="P64" s="451" t="s">
        <v>115</v>
      </c>
      <c r="Q64" s="452"/>
      <c r="R64" s="451" t="s">
        <v>296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165"/>
      <c r="D65" s="165"/>
      <c r="E65" s="166"/>
      <c r="F65" s="448"/>
      <c r="G65" s="449"/>
      <c r="H65" s="449"/>
      <c r="I65" s="449"/>
      <c r="J65" s="449"/>
      <c r="K65" s="449"/>
      <c r="L65" s="449"/>
      <c r="M65" s="450"/>
      <c r="N65" s="116" t="s">
        <v>124</v>
      </c>
      <c r="O65" s="163" t="s">
        <v>283</v>
      </c>
      <c r="P65" s="451" t="s">
        <v>298</v>
      </c>
      <c r="Q65" s="452"/>
      <c r="R65" s="451" t="s">
        <v>297</v>
      </c>
      <c r="S65" s="453"/>
      <c r="T65" s="453"/>
      <c r="U65" s="452"/>
      <c r="V65" s="454" t="s">
        <v>146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165"/>
      <c r="D66" s="165"/>
      <c r="E66" s="166"/>
      <c r="F66" s="448"/>
      <c r="G66" s="449"/>
      <c r="H66" s="449"/>
      <c r="I66" s="449"/>
      <c r="J66" s="449"/>
      <c r="K66" s="449"/>
      <c r="L66" s="449"/>
      <c r="M66" s="450"/>
      <c r="N66" s="116"/>
      <c r="O66" s="163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165"/>
      <c r="D67" s="165"/>
      <c r="E67" s="166"/>
      <c r="F67" s="448"/>
      <c r="G67" s="449"/>
      <c r="H67" s="449"/>
      <c r="I67" s="449"/>
      <c r="J67" s="449"/>
      <c r="K67" s="449"/>
      <c r="L67" s="449"/>
      <c r="M67" s="450"/>
      <c r="N67" s="116"/>
      <c r="O67" s="163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165"/>
      <c r="D68" s="165"/>
      <c r="E68" s="166"/>
      <c r="F68" s="448"/>
      <c r="G68" s="449"/>
      <c r="H68" s="449"/>
      <c r="I68" s="449"/>
      <c r="J68" s="449"/>
      <c r="K68" s="449"/>
      <c r="L68" s="449"/>
      <c r="M68" s="450"/>
      <c r="N68" s="116"/>
      <c r="O68" s="163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167"/>
      <c r="D69" s="168"/>
      <c r="E69" s="167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299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164" t="s">
        <v>2</v>
      </c>
      <c r="D71" s="164" t="s">
        <v>37</v>
      </c>
      <c r="E71" s="164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164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159"/>
      <c r="E72" s="162" t="s">
        <v>115</v>
      </c>
      <c r="F72" s="475" t="s">
        <v>300</v>
      </c>
      <c r="G72" s="476"/>
      <c r="H72" s="476"/>
      <c r="I72" s="476"/>
      <c r="J72" s="476"/>
      <c r="K72" s="476">
        <v>7301</v>
      </c>
      <c r="L72" s="476"/>
      <c r="M72" s="51" t="s">
        <v>276</v>
      </c>
      <c r="N72" s="477" t="s">
        <v>158</v>
      </c>
      <c r="O72" s="477"/>
      <c r="P72" s="478">
        <v>50</v>
      </c>
      <c r="Q72" s="478"/>
      <c r="R72" s="479" t="s">
        <v>301</v>
      </c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159"/>
      <c r="E73" s="162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159"/>
      <c r="E74" s="162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159"/>
      <c r="E75" s="162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159"/>
      <c r="E76" s="162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159"/>
      <c r="E77" s="162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159"/>
      <c r="E78" s="162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159"/>
      <c r="E79" s="162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159"/>
      <c r="E80" s="162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159"/>
      <c r="E81" s="162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302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161" t="s">
        <v>2</v>
      </c>
      <c r="D83" s="161" t="s">
        <v>37</v>
      </c>
      <c r="E83" s="161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160"/>
      <c r="D84" s="160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159"/>
      <c r="D85" s="159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1">A85+1</f>
        <v>3</v>
      </c>
      <c r="B86" s="493"/>
      <c r="C86" s="159"/>
      <c r="D86" s="159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1"/>
        <v>4</v>
      </c>
      <c r="B87" s="493"/>
      <c r="C87" s="159"/>
      <c r="D87" s="159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1"/>
        <v>5</v>
      </c>
      <c r="B88" s="493"/>
      <c r="C88" s="159"/>
      <c r="D88" s="159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1"/>
        <v>6</v>
      </c>
      <c r="B89" s="493"/>
      <c r="C89" s="159"/>
      <c r="D89" s="159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1"/>
        <v>7</v>
      </c>
      <c r="B90" s="493"/>
      <c r="C90" s="159"/>
      <c r="D90" s="159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303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9BF3-9A03-4222-8798-7C8034599D5A}">
  <sheetPr>
    <pageSetUpPr fitToPage="1"/>
  </sheetPr>
  <dimension ref="A1:AF95"/>
  <sheetViews>
    <sheetView view="pageBreakPreview" topLeftCell="A73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305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71" t="s">
        <v>17</v>
      </c>
      <c r="L5" s="171" t="s">
        <v>18</v>
      </c>
      <c r="M5" s="171" t="s">
        <v>19</v>
      </c>
      <c r="N5" s="1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5292</v>
      </c>
      <c r="K6" s="15">
        <f>L6</f>
        <v>0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0.61953883495145623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135</v>
      </c>
      <c r="E7" s="53" t="s">
        <v>177</v>
      </c>
      <c r="F7" s="30" t="s">
        <v>134</v>
      </c>
      <c r="G7" s="12">
        <v>1</v>
      </c>
      <c r="H7" s="13">
        <v>24</v>
      </c>
      <c r="I7" s="31">
        <v>6000</v>
      </c>
      <c r="J7" s="14">
        <v>585</v>
      </c>
      <c r="K7" s="15">
        <f>L7+2472+6598+585</f>
        <v>9655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0.61953883495145623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116</v>
      </c>
      <c r="D8" s="52" t="s">
        <v>115</v>
      </c>
      <c r="E8" s="53" t="s">
        <v>181</v>
      </c>
      <c r="F8" s="30" t="s">
        <v>133</v>
      </c>
      <c r="G8" s="12">
        <v>1</v>
      </c>
      <c r="H8" s="13">
        <v>24</v>
      </c>
      <c r="I8" s="7">
        <v>9000</v>
      </c>
      <c r="J8" s="14">
        <v>2732</v>
      </c>
      <c r="K8" s="15">
        <f>L8+2238+2502+2278+3290</f>
        <v>13040</v>
      </c>
      <c r="L8" s="15">
        <f>1208+1524</f>
        <v>2732</v>
      </c>
      <c r="M8" s="15">
        <f t="shared" si="0"/>
        <v>2732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8"/>
        <v>0.58333333333333337</v>
      </c>
      <c r="AE8" s="36">
        <f t="shared" si="6"/>
        <v>0.61953883495145623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164</v>
      </c>
      <c r="D9" s="52"/>
      <c r="E9" s="53" t="s">
        <v>289</v>
      </c>
      <c r="F9" s="30" t="s">
        <v>306</v>
      </c>
      <c r="G9" s="12">
        <v>1</v>
      </c>
      <c r="H9" s="13">
        <v>24</v>
      </c>
      <c r="I9" s="7">
        <v>19000</v>
      </c>
      <c r="J9" s="14">
        <v>4649</v>
      </c>
      <c r="K9" s="15">
        <f>L9</f>
        <v>4649</v>
      </c>
      <c r="L9" s="15">
        <f>1771+2878</f>
        <v>4649</v>
      </c>
      <c r="M9" s="15">
        <f t="shared" si="0"/>
        <v>4649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/>
      <c r="T9" s="16">
        <v>2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8"/>
        <v>0.91666666666666663</v>
      </c>
      <c r="AE9" s="36">
        <f t="shared" si="6"/>
        <v>0.61953883495145623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164</v>
      </c>
      <c r="D10" s="52"/>
      <c r="E10" s="53" t="s">
        <v>240</v>
      </c>
      <c r="F10" s="30" t="s">
        <v>133</v>
      </c>
      <c r="G10" s="33">
        <v>1</v>
      </c>
      <c r="H10" s="35">
        <v>24</v>
      </c>
      <c r="I10" s="7">
        <v>19000</v>
      </c>
      <c r="J10" s="14">
        <v>5601</v>
      </c>
      <c r="K10" s="15">
        <f>L10+5282+4501</f>
        <v>15384</v>
      </c>
      <c r="L10" s="15">
        <f>2598+3003</f>
        <v>5601</v>
      </c>
      <c r="M10" s="15">
        <f t="shared" si="0"/>
        <v>5601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0.61953883495145623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161</v>
      </c>
      <c r="E11" s="53" t="s">
        <v>182</v>
      </c>
      <c r="F11" s="30" t="s">
        <v>133</v>
      </c>
      <c r="G11" s="33">
        <v>1</v>
      </c>
      <c r="H11" s="35">
        <v>24</v>
      </c>
      <c r="I11" s="7">
        <v>22000</v>
      </c>
      <c r="J11" s="14">
        <v>4788</v>
      </c>
      <c r="K11" s="15">
        <f>L11+1121+873+4493+5508+5711+4227</f>
        <v>26721</v>
      </c>
      <c r="L11" s="15">
        <f>2066+2722</f>
        <v>4788</v>
      </c>
      <c r="M11" s="15">
        <f t="shared" si="0"/>
        <v>4788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8"/>
        <v>0.91666666666666663</v>
      </c>
      <c r="AE11" s="36">
        <f t="shared" si="6"/>
        <v>0.61953883495145623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4285</v>
      </c>
      <c r="K12" s="15">
        <f>L12</f>
        <v>4285</v>
      </c>
      <c r="L12" s="15">
        <f>2300+1985</f>
        <v>4285</v>
      </c>
      <c r="M12" s="15">
        <f t="shared" si="0"/>
        <v>4285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8"/>
        <v>0.91666666666666663</v>
      </c>
      <c r="AE12" s="36">
        <f t="shared" si="6"/>
        <v>0.61953883495145623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115</v>
      </c>
      <c r="E13" s="53" t="s">
        <v>296</v>
      </c>
      <c r="F13" s="30" t="s">
        <v>143</v>
      </c>
      <c r="G13" s="33">
        <v>1</v>
      </c>
      <c r="H13" s="35">
        <v>22</v>
      </c>
      <c r="I13" s="7">
        <v>8000</v>
      </c>
      <c r="J13" s="14">
        <v>5025</v>
      </c>
      <c r="K13" s="15">
        <f>L13</f>
        <v>5025</v>
      </c>
      <c r="L13" s="15">
        <f>2746+2279</f>
        <v>5025</v>
      </c>
      <c r="M13" s="15">
        <f t="shared" si="0"/>
        <v>5025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0.61953883495145623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0.61953883495145623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21116</v>
      </c>
      <c r="K15" s="15">
        <f>L15+15076+24324+23616+24984+24984+26012</f>
        <v>160112</v>
      </c>
      <c r="L15" s="15">
        <f>2197*4+3082*4</f>
        <v>21116</v>
      </c>
      <c r="M15" s="15">
        <f t="shared" si="0"/>
        <v>21116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0.61953883495145623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10788</v>
      </c>
      <c r="K16" s="15">
        <f>L16+9350+9873+10572+11420+9694+7670+11372+10884+8431+5890+10900+11458+11552+11940+10862+11588+10714+11420+11054+11778</f>
        <v>219210</v>
      </c>
      <c r="L16" s="15">
        <f>2556*2+2838*2</f>
        <v>10788</v>
      </c>
      <c r="M16" s="15">
        <f t="shared" si="0"/>
        <v>10788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0.61953883495145623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213</v>
      </c>
      <c r="F17" s="30" t="s">
        <v>156</v>
      </c>
      <c r="G17" s="12">
        <v>1</v>
      </c>
      <c r="H17" s="13">
        <v>24</v>
      </c>
      <c r="I17" s="7">
        <v>19000</v>
      </c>
      <c r="J17" s="14">
        <v>5190</v>
      </c>
      <c r="K17" s="15">
        <f>L17+5064+5683+4157</f>
        <v>20094</v>
      </c>
      <c r="L17" s="15">
        <f>2472+2718</f>
        <v>5190</v>
      </c>
      <c r="M17" s="15">
        <f t="shared" si="0"/>
        <v>5190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0.61953883495145623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8064</v>
      </c>
      <c r="K18" s="15">
        <f>L18+10480+11444+11648+11082+10368+10658+11130+11168+12108+9740+10720+10498+11286+11772+11032+11242+10656+11244+5352</f>
        <v>211692</v>
      </c>
      <c r="L18" s="15">
        <f>2396*2+1636*2</f>
        <v>8064</v>
      </c>
      <c r="M18" s="15">
        <f t="shared" si="0"/>
        <v>8064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8"/>
        <v>0.83333333333333337</v>
      </c>
      <c r="AE18" s="36">
        <f t="shared" si="6"/>
        <v>0.61953883495145623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308</v>
      </c>
      <c r="F19" s="30" t="s">
        <v>198</v>
      </c>
      <c r="G19" s="33">
        <v>2</v>
      </c>
      <c r="H19" s="35">
        <v>24</v>
      </c>
      <c r="I19" s="7">
        <v>50000</v>
      </c>
      <c r="J19" s="14">
        <v>9720</v>
      </c>
      <c r="K19" s="15">
        <f>L19</f>
        <v>9720</v>
      </c>
      <c r="L19" s="15">
        <f>2396*2+2464*2</f>
        <v>9720</v>
      </c>
      <c r="M19" s="15">
        <f t="shared" si="0"/>
        <v>9720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0.61953883495145623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185</v>
      </c>
      <c r="F20" s="30" t="s">
        <v>176</v>
      </c>
      <c r="G20" s="33">
        <v>1</v>
      </c>
      <c r="H20" s="35">
        <v>24</v>
      </c>
      <c r="I20" s="7">
        <v>22000</v>
      </c>
      <c r="J20" s="14">
        <v>5371</v>
      </c>
      <c r="K20" s="15">
        <f>L20+5062+5211+5426+2305+3941+4162</f>
        <v>31478</v>
      </c>
      <c r="L20" s="15">
        <f>2582+2789</f>
        <v>5371</v>
      </c>
      <c r="M20" s="15">
        <f t="shared" si="0"/>
        <v>5371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0.61953883495145623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55712</v>
      </c>
      <c r="K21" s="15">
        <f>L21+64424+64620+22548+54104+64632+65016+67504+61284+57732+64780+64192+63920</f>
        <v>770468</v>
      </c>
      <c r="L21" s="15">
        <f>5879*4+8049*4</f>
        <v>55712</v>
      </c>
      <c r="M21" s="15">
        <f t="shared" si="0"/>
        <v>55712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/>
      <c r="T21" s="16"/>
      <c r="U21" s="16"/>
      <c r="V21" s="17">
        <v>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8"/>
        <v>0.91666666666666663</v>
      </c>
      <c r="AE21" s="36">
        <f t="shared" si="6"/>
        <v>0.61953883495145623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0.61953883495145623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0.61953883495145623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0.61953883495145623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0.61953883495145623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v>180000</v>
      </c>
      <c r="J26" s="14">
        <v>20480</v>
      </c>
      <c r="K26" s="15">
        <f>L26</f>
        <v>20480</v>
      </c>
      <c r="L26" s="15">
        <f>1977*4+3143*4</f>
        <v>20480</v>
      </c>
      <c r="M26" s="15">
        <f t="shared" si="0"/>
        <v>20480</v>
      </c>
      <c r="N26" s="15">
        <v>0</v>
      </c>
      <c r="O26" s="58">
        <f t="shared" si="1"/>
        <v>0</v>
      </c>
      <c r="P26" s="39">
        <f t="shared" si="2"/>
        <v>22</v>
      </c>
      <c r="Q26" s="40">
        <f t="shared" si="3"/>
        <v>2</v>
      </c>
      <c r="R26" s="7"/>
      <c r="S26" s="6"/>
      <c r="T26" s="16">
        <v>2</v>
      </c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0.91666666666666663</v>
      </c>
      <c r="AD26" s="10">
        <f t="shared" si="8"/>
        <v>0.91666666666666663</v>
      </c>
      <c r="AE26" s="36">
        <f t="shared" si="6"/>
        <v>0.61953883495145623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v>180000</v>
      </c>
      <c r="J27" s="14">
        <v>18128</v>
      </c>
      <c r="K27" s="15">
        <f>L27+15632+12648+1958+21292+27256+2770+24332</f>
        <v>128016</v>
      </c>
      <c r="L27" s="15">
        <f>1915*4+3617*4</f>
        <v>22128</v>
      </c>
      <c r="M27" s="15">
        <f t="shared" si="0"/>
        <v>22128</v>
      </c>
      <c r="N27" s="15">
        <v>0</v>
      </c>
      <c r="O27" s="58">
        <f t="shared" si="1"/>
        <v>0</v>
      </c>
      <c r="P27" s="39">
        <f t="shared" si="2"/>
        <v>22</v>
      </c>
      <c r="Q27" s="40">
        <f t="shared" si="3"/>
        <v>2</v>
      </c>
      <c r="R27" s="7"/>
      <c r="S27" s="6"/>
      <c r="T27" s="16">
        <v>2</v>
      </c>
      <c r="U27" s="16"/>
      <c r="V27" s="114"/>
      <c r="W27" s="5"/>
      <c r="X27" s="16"/>
      <c r="Y27" s="16"/>
      <c r="Z27" s="16"/>
      <c r="AA27" s="18"/>
      <c r="AB27" s="8">
        <f t="shared" si="4"/>
        <v>1.2206531332744925</v>
      </c>
      <c r="AC27" s="9">
        <f t="shared" si="5"/>
        <v>0.91666666666666663</v>
      </c>
      <c r="AD27" s="10">
        <f t="shared" si="8"/>
        <v>1.1189320388349515</v>
      </c>
      <c r="AE27" s="36">
        <f t="shared" si="6"/>
        <v>0.61953883495145623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v>180000</v>
      </c>
      <c r="J28" s="14">
        <v>18992</v>
      </c>
      <c r="K28" s="15">
        <f>L28+27916+29980+10704+25528+29800+29376+29736+26116</f>
        <v>228148</v>
      </c>
      <c r="L28" s="15">
        <f>1665*4+3083*4</f>
        <v>18992</v>
      </c>
      <c r="M28" s="15">
        <f t="shared" si="0"/>
        <v>18992</v>
      </c>
      <c r="N28" s="15">
        <v>0</v>
      </c>
      <c r="O28" s="58">
        <f t="shared" si="1"/>
        <v>0</v>
      </c>
      <c r="P28" s="39">
        <f t="shared" si="2"/>
        <v>18</v>
      </c>
      <c r="Q28" s="40">
        <f t="shared" si="3"/>
        <v>6</v>
      </c>
      <c r="R28" s="7"/>
      <c r="S28" s="6">
        <v>3</v>
      </c>
      <c r="T28" s="16">
        <v>3</v>
      </c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0.75</v>
      </c>
      <c r="AD28" s="10">
        <f t="shared" si="8"/>
        <v>0.75</v>
      </c>
      <c r="AE28" s="36">
        <f t="shared" si="6"/>
        <v>0.61953883495145623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0.61953883495145623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9">SUM(I6:I29)</f>
        <v>6551500</v>
      </c>
      <c r="J30" s="19">
        <f t="shared" si="9"/>
        <v>522277</v>
      </c>
      <c r="K30" s="20">
        <f t="shared" si="9"/>
        <v>4622176</v>
      </c>
      <c r="L30" s="21">
        <f t="shared" si="9"/>
        <v>204641</v>
      </c>
      <c r="M30" s="20">
        <f t="shared" si="9"/>
        <v>204641</v>
      </c>
      <c r="N30" s="21">
        <f t="shared" si="9"/>
        <v>0</v>
      </c>
      <c r="O30" s="41">
        <f t="shared" si="1"/>
        <v>0</v>
      </c>
      <c r="P30" s="42">
        <f t="shared" ref="P30:AA30" si="10">SUM(P6:P29)</f>
        <v>352</v>
      </c>
      <c r="Q30" s="43">
        <f t="shared" si="10"/>
        <v>224</v>
      </c>
      <c r="R30" s="23">
        <f t="shared" si="10"/>
        <v>0</v>
      </c>
      <c r="S30" s="24">
        <f t="shared" si="10"/>
        <v>45</v>
      </c>
      <c r="T30" s="24">
        <f t="shared" si="10"/>
        <v>9</v>
      </c>
      <c r="U30" s="24">
        <f t="shared" si="10"/>
        <v>0</v>
      </c>
      <c r="V30" s="25">
        <f t="shared" si="10"/>
        <v>50</v>
      </c>
      <c r="W30" s="26">
        <f t="shared" si="10"/>
        <v>72</v>
      </c>
      <c r="X30" s="27">
        <f t="shared" si="10"/>
        <v>0</v>
      </c>
      <c r="Y30" s="27">
        <f t="shared" si="10"/>
        <v>0</v>
      </c>
      <c r="Z30" s="27">
        <f t="shared" si="10"/>
        <v>0</v>
      </c>
      <c r="AA30" s="27">
        <f t="shared" si="10"/>
        <v>48</v>
      </c>
      <c r="AB30" s="28">
        <f>AVERAGE(AB6:AB29)</f>
        <v>0.70524578840323882</v>
      </c>
      <c r="AC30" s="4">
        <f>AVERAGE(AC6:AC29)</f>
        <v>0.61111111111111105</v>
      </c>
      <c r="AD30" s="4">
        <f>AVERAGE(AD6:AD29)</f>
        <v>0.61953883495145623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309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329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172" t="s">
        <v>46</v>
      </c>
      <c r="D59" s="172" t="s">
        <v>47</v>
      </c>
      <c r="E59" s="172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172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173" t="s">
        <v>141</v>
      </c>
      <c r="D60" s="173" t="s">
        <v>115</v>
      </c>
      <c r="E60" s="174" t="s">
        <v>181</v>
      </c>
      <c r="F60" s="448" t="s">
        <v>310</v>
      </c>
      <c r="G60" s="449"/>
      <c r="H60" s="449"/>
      <c r="I60" s="449"/>
      <c r="J60" s="449"/>
      <c r="K60" s="449"/>
      <c r="L60" s="449"/>
      <c r="M60" s="450"/>
      <c r="N60" s="116" t="s">
        <v>124</v>
      </c>
      <c r="O60" s="179" t="s">
        <v>141</v>
      </c>
      <c r="P60" s="451" t="s">
        <v>115</v>
      </c>
      <c r="Q60" s="452"/>
      <c r="R60" s="451" t="s">
        <v>330</v>
      </c>
      <c r="S60" s="453"/>
      <c r="T60" s="453"/>
      <c r="U60" s="452"/>
      <c r="V60" s="454" t="s">
        <v>146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173" t="s">
        <v>231</v>
      </c>
      <c r="D61" s="173" t="s">
        <v>115</v>
      </c>
      <c r="E61" s="174" t="s">
        <v>311</v>
      </c>
      <c r="F61" s="448" t="s">
        <v>268</v>
      </c>
      <c r="G61" s="449"/>
      <c r="H61" s="449"/>
      <c r="I61" s="449"/>
      <c r="J61" s="449"/>
      <c r="K61" s="449"/>
      <c r="L61" s="449"/>
      <c r="M61" s="450"/>
      <c r="N61" s="116" t="s">
        <v>124</v>
      </c>
      <c r="O61" s="179" t="s">
        <v>208</v>
      </c>
      <c r="P61" s="451" t="s">
        <v>157</v>
      </c>
      <c r="Q61" s="452"/>
      <c r="R61" s="451" t="s">
        <v>288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164</v>
      </c>
      <c r="B62" s="447"/>
      <c r="C62" s="173" t="s">
        <v>138</v>
      </c>
      <c r="D62" s="173"/>
      <c r="E62" s="174" t="s">
        <v>289</v>
      </c>
      <c r="F62" s="448" t="s">
        <v>146</v>
      </c>
      <c r="G62" s="449"/>
      <c r="H62" s="449"/>
      <c r="I62" s="449"/>
      <c r="J62" s="449"/>
      <c r="K62" s="449"/>
      <c r="L62" s="449"/>
      <c r="M62" s="450"/>
      <c r="N62" s="116"/>
      <c r="O62" s="179"/>
      <c r="P62" s="451"/>
      <c r="Q62" s="452"/>
      <c r="R62" s="451"/>
      <c r="S62" s="453"/>
      <c r="T62" s="453"/>
      <c r="U62" s="452"/>
      <c r="V62" s="454"/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173" t="s">
        <v>318</v>
      </c>
      <c r="D63" s="173" t="s">
        <v>115</v>
      </c>
      <c r="E63" s="174" t="s">
        <v>312</v>
      </c>
      <c r="F63" s="448" t="s">
        <v>146</v>
      </c>
      <c r="G63" s="449"/>
      <c r="H63" s="449"/>
      <c r="I63" s="449"/>
      <c r="J63" s="449"/>
      <c r="K63" s="449"/>
      <c r="L63" s="449"/>
      <c r="M63" s="450"/>
      <c r="N63" s="116"/>
      <c r="O63" s="179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319</v>
      </c>
      <c r="B64" s="447"/>
      <c r="C64" s="173" t="s">
        <v>320</v>
      </c>
      <c r="D64" s="173" t="s">
        <v>115</v>
      </c>
      <c r="E64" s="174" t="s">
        <v>313</v>
      </c>
      <c r="F64" s="448" t="s">
        <v>146</v>
      </c>
      <c r="G64" s="449"/>
      <c r="H64" s="449"/>
      <c r="I64" s="449"/>
      <c r="J64" s="449"/>
      <c r="K64" s="449"/>
      <c r="L64" s="449"/>
      <c r="M64" s="450"/>
      <c r="N64" s="116"/>
      <c r="O64" s="179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321</v>
      </c>
      <c r="B65" s="447"/>
      <c r="C65" s="173" t="s">
        <v>322</v>
      </c>
      <c r="D65" s="173" t="s">
        <v>323</v>
      </c>
      <c r="E65" s="174" t="s">
        <v>308</v>
      </c>
      <c r="F65" s="448" t="s">
        <v>146</v>
      </c>
      <c r="G65" s="449"/>
      <c r="H65" s="449"/>
      <c r="I65" s="449"/>
      <c r="J65" s="449"/>
      <c r="K65" s="449"/>
      <c r="L65" s="449"/>
      <c r="M65" s="450"/>
      <c r="N65" s="116"/>
      <c r="O65" s="179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116</v>
      </c>
      <c r="B66" s="447"/>
      <c r="C66" s="173" t="s">
        <v>324</v>
      </c>
      <c r="D66" s="173" t="s">
        <v>115</v>
      </c>
      <c r="E66" s="174" t="s">
        <v>314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/>
      <c r="O66" s="179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116</v>
      </c>
      <c r="B67" s="447"/>
      <c r="C67" s="173" t="s">
        <v>325</v>
      </c>
      <c r="D67" s="173" t="s">
        <v>327</v>
      </c>
      <c r="E67" s="174" t="s">
        <v>315</v>
      </c>
      <c r="F67" s="448" t="s">
        <v>146</v>
      </c>
      <c r="G67" s="449"/>
      <c r="H67" s="449"/>
      <c r="I67" s="449"/>
      <c r="J67" s="449"/>
      <c r="K67" s="449"/>
      <c r="L67" s="449"/>
      <c r="M67" s="450"/>
      <c r="N67" s="116"/>
      <c r="O67" s="179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 t="s">
        <v>116</v>
      </c>
      <c r="B68" s="447"/>
      <c r="C68" s="173" t="s">
        <v>326</v>
      </c>
      <c r="D68" s="173" t="s">
        <v>328</v>
      </c>
      <c r="E68" s="174" t="s">
        <v>316</v>
      </c>
      <c r="F68" s="448" t="s">
        <v>317</v>
      </c>
      <c r="G68" s="449"/>
      <c r="H68" s="449"/>
      <c r="I68" s="449"/>
      <c r="J68" s="449"/>
      <c r="K68" s="449"/>
      <c r="L68" s="449"/>
      <c r="M68" s="450"/>
      <c r="N68" s="116"/>
      <c r="O68" s="179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175"/>
      <c r="D69" s="176"/>
      <c r="E69" s="175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331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177" t="s">
        <v>2</v>
      </c>
      <c r="D71" s="177" t="s">
        <v>37</v>
      </c>
      <c r="E71" s="177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177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243</v>
      </c>
      <c r="D72" s="181"/>
      <c r="E72" s="178" t="s">
        <v>115</v>
      </c>
      <c r="F72" s="475" t="s">
        <v>242</v>
      </c>
      <c r="G72" s="476"/>
      <c r="H72" s="476"/>
      <c r="I72" s="476"/>
      <c r="J72" s="476"/>
      <c r="K72" s="476" t="s">
        <v>332</v>
      </c>
      <c r="L72" s="476"/>
      <c r="M72" s="51" t="s">
        <v>333</v>
      </c>
      <c r="N72" s="477" t="s">
        <v>247</v>
      </c>
      <c r="O72" s="477"/>
      <c r="P72" s="478">
        <v>20</v>
      </c>
      <c r="Q72" s="478"/>
      <c r="R72" s="479" t="s">
        <v>248</v>
      </c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335</v>
      </c>
      <c r="D73" s="181"/>
      <c r="E73" s="178" t="s">
        <v>115</v>
      </c>
      <c r="F73" s="481" t="s">
        <v>334</v>
      </c>
      <c r="G73" s="482"/>
      <c r="H73" s="482"/>
      <c r="I73" s="482"/>
      <c r="J73" s="483"/>
      <c r="K73" s="476" t="s">
        <v>336</v>
      </c>
      <c r="L73" s="476"/>
      <c r="M73" s="51" t="s">
        <v>333</v>
      </c>
      <c r="N73" s="477" t="s">
        <v>231</v>
      </c>
      <c r="O73" s="477"/>
      <c r="P73" s="478">
        <v>100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181"/>
      <c r="E74" s="178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181"/>
      <c r="E75" s="178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181"/>
      <c r="E76" s="178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181"/>
      <c r="E77" s="178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181"/>
      <c r="E78" s="178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181"/>
      <c r="E79" s="178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181"/>
      <c r="E80" s="178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181"/>
      <c r="E81" s="178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337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180" t="s">
        <v>2</v>
      </c>
      <c r="D83" s="180" t="s">
        <v>37</v>
      </c>
      <c r="E83" s="180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182"/>
      <c r="D84" s="182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181"/>
      <c r="D85" s="181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1">A85+1</f>
        <v>3</v>
      </c>
      <c r="B86" s="493"/>
      <c r="C86" s="181"/>
      <c r="D86" s="181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1"/>
        <v>4</v>
      </c>
      <c r="B87" s="493"/>
      <c r="C87" s="181"/>
      <c r="D87" s="181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1"/>
        <v>5</v>
      </c>
      <c r="B88" s="493"/>
      <c r="C88" s="181"/>
      <c r="D88" s="181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1"/>
        <v>6</v>
      </c>
      <c r="B89" s="493"/>
      <c r="C89" s="181"/>
      <c r="D89" s="181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1"/>
        <v>7</v>
      </c>
      <c r="B90" s="493"/>
      <c r="C90" s="181"/>
      <c r="D90" s="181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338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4D10-8A71-4075-BD90-1D8FCB7A6FD8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339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94" t="s">
        <v>17</v>
      </c>
      <c r="L5" s="194" t="s">
        <v>18</v>
      </c>
      <c r="M5" s="194" t="s">
        <v>19</v>
      </c>
      <c r="N5" s="1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10316</v>
      </c>
      <c r="K6" s="15">
        <f>L6</f>
        <v>10316</v>
      </c>
      <c r="L6" s="15">
        <f>2883*2+2275*2</f>
        <v>10316</v>
      </c>
      <c r="M6" s="15">
        <f t="shared" ref="M6:M29" si="0">L6-N6</f>
        <v>10316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22</v>
      </c>
      <c r="Q6" s="40">
        <f t="shared" ref="Q6:Q29" si="3">SUM(R6:AA6)</f>
        <v>2</v>
      </c>
      <c r="R6" s="7"/>
      <c r="S6" s="6"/>
      <c r="T6" s="16">
        <v>2</v>
      </c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0.91666666666666663</v>
      </c>
      <c r="AD6" s="10">
        <f>AC6*AB6*(1-O6)</f>
        <v>0.91666666666666663</v>
      </c>
      <c r="AE6" s="36">
        <f t="shared" ref="AE6:AE29" si="6">$AD$30</f>
        <v>0.67708333333333337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135</v>
      </c>
      <c r="E7" s="53" t="s">
        <v>177</v>
      </c>
      <c r="F7" s="30" t="s">
        <v>134</v>
      </c>
      <c r="G7" s="12">
        <v>1</v>
      </c>
      <c r="H7" s="13">
        <v>24</v>
      </c>
      <c r="I7" s="31">
        <v>6000</v>
      </c>
      <c r="J7" s="14">
        <v>585</v>
      </c>
      <c r="K7" s="15">
        <f>L7+2472+6598+585</f>
        <v>9655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0.67708333333333337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50000</v>
      </c>
      <c r="J8" s="14">
        <v>8168</v>
      </c>
      <c r="K8" s="15">
        <f>L8</f>
        <v>8168</v>
      </c>
      <c r="L8" s="15">
        <f>1306*2+2778*2</f>
        <v>8168</v>
      </c>
      <c r="M8" s="15">
        <f t="shared" si="0"/>
        <v>8168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8"/>
        <v>0.83333333333333337</v>
      </c>
      <c r="AE8" s="36">
        <f t="shared" si="6"/>
        <v>0.67708333333333337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164</v>
      </c>
      <c r="D9" s="52"/>
      <c r="E9" s="53" t="s">
        <v>289</v>
      </c>
      <c r="F9" s="30" t="s">
        <v>306</v>
      </c>
      <c r="G9" s="12">
        <v>1</v>
      </c>
      <c r="H9" s="13">
        <v>24</v>
      </c>
      <c r="I9" s="7">
        <v>19000</v>
      </c>
      <c r="J9" s="14">
        <v>5831</v>
      </c>
      <c r="K9" s="15">
        <f>L9+4649</f>
        <v>10480</v>
      </c>
      <c r="L9" s="15">
        <f>2939+2892</f>
        <v>5831</v>
      </c>
      <c r="M9" s="15">
        <f t="shared" si="0"/>
        <v>5831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0.67708333333333337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164</v>
      </c>
      <c r="D10" s="52"/>
      <c r="E10" s="53" t="s">
        <v>240</v>
      </c>
      <c r="F10" s="30" t="s">
        <v>133</v>
      </c>
      <c r="G10" s="33">
        <v>1</v>
      </c>
      <c r="H10" s="35">
        <v>24</v>
      </c>
      <c r="I10" s="7">
        <v>19000</v>
      </c>
      <c r="J10" s="14">
        <v>3858</v>
      </c>
      <c r="K10" s="15">
        <f>L10+5282+4501+5601</f>
        <v>19242</v>
      </c>
      <c r="L10" s="15">
        <f>3114+744</f>
        <v>3858</v>
      </c>
      <c r="M10" s="15">
        <f t="shared" si="0"/>
        <v>3858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>
        <v>3</v>
      </c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 t="shared" si="8"/>
        <v>0.70833333333333337</v>
      </c>
      <c r="AE10" s="36">
        <f t="shared" si="6"/>
        <v>0.67708333333333337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161</v>
      </c>
      <c r="E11" s="53" t="s">
        <v>182</v>
      </c>
      <c r="F11" s="30" t="s">
        <v>133</v>
      </c>
      <c r="G11" s="33">
        <v>1</v>
      </c>
      <c r="H11" s="35">
        <v>24</v>
      </c>
      <c r="I11" s="7">
        <v>22000</v>
      </c>
      <c r="J11" s="14">
        <v>5516</v>
      </c>
      <c r="K11" s="15">
        <f>L11+1121+873+4493+5508+5711+4227+4788</f>
        <v>32237</v>
      </c>
      <c r="L11" s="15">
        <f>2750+2766</f>
        <v>5516</v>
      </c>
      <c r="M11" s="15">
        <f t="shared" si="0"/>
        <v>5516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0.67708333333333337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4023</v>
      </c>
      <c r="K12" s="15">
        <f>L12+4285</f>
        <v>8308</v>
      </c>
      <c r="L12" s="15">
        <f>2456+1567</f>
        <v>4023</v>
      </c>
      <c r="M12" s="15">
        <f t="shared" si="0"/>
        <v>4023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/>
      <c r="T12" s="16"/>
      <c r="U12" s="16"/>
      <c r="V12" s="17">
        <v>3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8"/>
        <v>0.875</v>
      </c>
      <c r="AE12" s="36">
        <f t="shared" si="6"/>
        <v>0.67708333333333337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115</v>
      </c>
      <c r="E13" s="53" t="s">
        <v>296</v>
      </c>
      <c r="F13" s="30" t="s">
        <v>143</v>
      </c>
      <c r="G13" s="33">
        <v>1</v>
      </c>
      <c r="H13" s="35">
        <v>22</v>
      </c>
      <c r="I13" s="7">
        <v>8000</v>
      </c>
      <c r="J13" s="14">
        <v>5301</v>
      </c>
      <c r="K13" s="15">
        <f>L13+5025</f>
        <v>10326</v>
      </c>
      <c r="L13" s="15">
        <f>2547+2754</f>
        <v>5301</v>
      </c>
      <c r="M13" s="15">
        <f t="shared" si="0"/>
        <v>5301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0.67708333333333337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0.67708333333333337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23796</v>
      </c>
      <c r="K15" s="15">
        <f>L15+15076+24324+23616+24984+24984+26012+21116</f>
        <v>183908</v>
      </c>
      <c r="L15" s="15">
        <f>3208*4+2741*4</f>
        <v>23796</v>
      </c>
      <c r="M15" s="15">
        <f t="shared" si="0"/>
        <v>23796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0.67708333333333337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11600</v>
      </c>
      <c r="K16" s="15">
        <f>L16+9350+9873+10572+11420+9694+7670+11372+10884+8431+5890+10900+11458+11552+11940+10862+11588+10714+11420+11054+11778+10788</f>
        <v>230810</v>
      </c>
      <c r="L16" s="15">
        <f>2919*2+2881*2</f>
        <v>11600</v>
      </c>
      <c r="M16" s="15">
        <f t="shared" si="0"/>
        <v>11600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0.67708333333333337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213</v>
      </c>
      <c r="F17" s="30" t="s">
        <v>156</v>
      </c>
      <c r="G17" s="12">
        <v>1</v>
      </c>
      <c r="H17" s="13">
        <v>24</v>
      </c>
      <c r="I17" s="7">
        <v>19000</v>
      </c>
      <c r="J17" s="14">
        <v>4787</v>
      </c>
      <c r="K17" s="15">
        <f>L17+5064+5683+4157+5190</f>
        <v>24881</v>
      </c>
      <c r="L17" s="15">
        <f>2032+2755</f>
        <v>4787</v>
      </c>
      <c r="M17" s="15">
        <f t="shared" si="0"/>
        <v>4787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0.67708333333333337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11508</v>
      </c>
      <c r="K18" s="15">
        <f>L18+10480+11444+11648+11082+10368+10658+11130+11168+12108+9740+10720+10498+11286+11772+11032+11242+10656+11244+5352+8064</f>
        <v>223200</v>
      </c>
      <c r="L18" s="15">
        <f>2896*2+2858*2</f>
        <v>11508</v>
      </c>
      <c r="M18" s="15">
        <f t="shared" si="0"/>
        <v>11508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0.67708333333333337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308</v>
      </c>
      <c r="F19" s="30" t="s">
        <v>198</v>
      </c>
      <c r="G19" s="33">
        <v>2</v>
      </c>
      <c r="H19" s="35">
        <v>24</v>
      </c>
      <c r="I19" s="7">
        <v>50000</v>
      </c>
      <c r="J19" s="14">
        <v>11486</v>
      </c>
      <c r="K19" s="15">
        <f>L19+9720</f>
        <v>21206</v>
      </c>
      <c r="L19" s="15">
        <f>2892*2+2851*2</f>
        <v>11486</v>
      </c>
      <c r="M19" s="15">
        <f t="shared" si="0"/>
        <v>11486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0.67708333333333337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185</v>
      </c>
      <c r="F20" s="30" t="s">
        <v>176</v>
      </c>
      <c r="G20" s="33">
        <v>1</v>
      </c>
      <c r="H20" s="35">
        <v>24</v>
      </c>
      <c r="I20" s="7">
        <v>22000</v>
      </c>
      <c r="J20" s="14">
        <v>5135</v>
      </c>
      <c r="K20" s="15">
        <f>L20+5062+5211+5426+2305+3941+4162+5371</f>
        <v>36613</v>
      </c>
      <c r="L20" s="15">
        <f>2333+2802</f>
        <v>5135</v>
      </c>
      <c r="M20" s="15">
        <f t="shared" si="0"/>
        <v>5135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/>
      <c r="U20" s="16"/>
      <c r="V20" s="17"/>
      <c r="W20" s="5">
        <v>2</v>
      </c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0.67708333333333337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65444</v>
      </c>
      <c r="K21" s="15">
        <f>L21+64424+64620+22548+54104+64632+65016+67504+61284+57732+64780+64192+63920+55712</f>
        <v>835912</v>
      </c>
      <c r="L21" s="15">
        <f>8259*4+8102*4</f>
        <v>65444</v>
      </c>
      <c r="M21" s="15">
        <f t="shared" si="0"/>
        <v>65444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0.67708333333333337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0.67708333333333337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0.67708333333333337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0.67708333333333337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0.67708333333333337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v>180000</v>
      </c>
      <c r="J26" s="14">
        <v>24108</v>
      </c>
      <c r="K26" s="15">
        <f>L26+20480</f>
        <v>44588</v>
      </c>
      <c r="L26" s="15">
        <f>3057*4+2970*4</f>
        <v>24108</v>
      </c>
      <c r="M26" s="15">
        <f t="shared" si="0"/>
        <v>24108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0.67708333333333337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v>180000</v>
      </c>
      <c r="J27" s="14">
        <v>27588</v>
      </c>
      <c r="K27" s="15">
        <f>L27+22128</f>
        <v>49716</v>
      </c>
      <c r="L27" s="15">
        <f>3518*4+3379*4</f>
        <v>27588</v>
      </c>
      <c r="M27" s="15">
        <f t="shared" si="0"/>
        <v>27588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0.67708333333333337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v>180000</v>
      </c>
      <c r="J28" s="14">
        <v>29436</v>
      </c>
      <c r="K28" s="15">
        <f>L28+18992</f>
        <v>48428</v>
      </c>
      <c r="L28" s="15">
        <f>3781*4+3578*4</f>
        <v>29436</v>
      </c>
      <c r="M28" s="15">
        <f t="shared" si="0"/>
        <v>29436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0.67708333333333337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0.67708333333333337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9">SUM(I6:I29)</f>
        <v>6592500</v>
      </c>
      <c r="J30" s="19">
        <f t="shared" si="9"/>
        <v>574245</v>
      </c>
      <c r="K30" s="20">
        <f t="shared" si="9"/>
        <v>4551993</v>
      </c>
      <c r="L30" s="21">
        <f t="shared" si="9"/>
        <v>257901</v>
      </c>
      <c r="M30" s="20">
        <f t="shared" si="9"/>
        <v>257901</v>
      </c>
      <c r="N30" s="21">
        <f t="shared" si="9"/>
        <v>0</v>
      </c>
      <c r="O30" s="41">
        <f t="shared" si="1"/>
        <v>0</v>
      </c>
      <c r="P30" s="42">
        <f t="shared" ref="P30:AA30" si="10">SUM(P6:P29)</f>
        <v>390</v>
      </c>
      <c r="Q30" s="43">
        <f t="shared" si="10"/>
        <v>186</v>
      </c>
      <c r="R30" s="23">
        <f t="shared" si="10"/>
        <v>3</v>
      </c>
      <c r="S30" s="24">
        <f t="shared" si="10"/>
        <v>8</v>
      </c>
      <c r="T30" s="24">
        <f t="shared" si="10"/>
        <v>2</v>
      </c>
      <c r="U30" s="24">
        <f t="shared" si="10"/>
        <v>0</v>
      </c>
      <c r="V30" s="25">
        <f t="shared" si="10"/>
        <v>51</v>
      </c>
      <c r="W30" s="26">
        <f t="shared" si="10"/>
        <v>74</v>
      </c>
      <c r="X30" s="27">
        <f t="shared" si="10"/>
        <v>0</v>
      </c>
      <c r="Y30" s="27">
        <f t="shared" si="10"/>
        <v>0</v>
      </c>
      <c r="Z30" s="27">
        <f t="shared" si="10"/>
        <v>0</v>
      </c>
      <c r="AA30" s="27">
        <f t="shared" si="10"/>
        <v>48</v>
      </c>
      <c r="AB30" s="28">
        <f>AVERAGE(AB6:AB29)</f>
        <v>0.73913043478260865</v>
      </c>
      <c r="AC30" s="4">
        <f>AVERAGE(AC6:AC29)</f>
        <v>0.67708333333333337</v>
      </c>
      <c r="AD30" s="4">
        <f>AVERAGE(AD6:AD29)</f>
        <v>0.67708333333333337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340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343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193" t="s">
        <v>46</v>
      </c>
      <c r="D59" s="193" t="s">
        <v>47</v>
      </c>
      <c r="E59" s="193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193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124</v>
      </c>
      <c r="B60" s="447"/>
      <c r="C60" s="189" t="s">
        <v>208</v>
      </c>
      <c r="D60" s="189" t="s">
        <v>157</v>
      </c>
      <c r="E60" s="190" t="s">
        <v>209</v>
      </c>
      <c r="F60" s="448" t="s">
        <v>137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187" t="s">
        <v>234</v>
      </c>
      <c r="P60" s="451" t="s">
        <v>161</v>
      </c>
      <c r="Q60" s="452"/>
      <c r="R60" s="451" t="s">
        <v>280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124</v>
      </c>
      <c r="B61" s="447"/>
      <c r="C61" s="189" t="s">
        <v>141</v>
      </c>
      <c r="D61" s="189" t="s">
        <v>115</v>
      </c>
      <c r="E61" s="198" t="s">
        <v>330</v>
      </c>
      <c r="F61" s="448" t="s">
        <v>341</v>
      </c>
      <c r="G61" s="449"/>
      <c r="H61" s="449"/>
      <c r="I61" s="449"/>
      <c r="J61" s="449"/>
      <c r="K61" s="449"/>
      <c r="L61" s="449"/>
      <c r="M61" s="450"/>
      <c r="N61" s="116" t="s">
        <v>345</v>
      </c>
      <c r="O61" s="187" t="s">
        <v>215</v>
      </c>
      <c r="P61" s="451"/>
      <c r="Q61" s="452"/>
      <c r="R61" s="451" t="s">
        <v>344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164</v>
      </c>
      <c r="B62" s="447"/>
      <c r="C62" s="189" t="s">
        <v>205</v>
      </c>
      <c r="D62" s="189"/>
      <c r="E62" s="190" t="s">
        <v>240</v>
      </c>
      <c r="F62" s="448" t="s">
        <v>342</v>
      </c>
      <c r="G62" s="449"/>
      <c r="H62" s="449"/>
      <c r="I62" s="449"/>
      <c r="J62" s="449"/>
      <c r="K62" s="449"/>
      <c r="L62" s="449"/>
      <c r="M62" s="450"/>
      <c r="N62" s="116" t="s">
        <v>347</v>
      </c>
      <c r="O62" s="187" t="s">
        <v>348</v>
      </c>
      <c r="P62" s="451" t="s">
        <v>349</v>
      </c>
      <c r="Q62" s="452"/>
      <c r="R62" s="451" t="s">
        <v>346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/>
      <c r="B63" s="447"/>
      <c r="C63" s="189"/>
      <c r="D63" s="189"/>
      <c r="E63" s="190"/>
      <c r="F63" s="448"/>
      <c r="G63" s="449"/>
      <c r="H63" s="449"/>
      <c r="I63" s="449"/>
      <c r="J63" s="449"/>
      <c r="K63" s="449"/>
      <c r="L63" s="449"/>
      <c r="M63" s="450"/>
      <c r="N63" s="116" t="s">
        <v>351</v>
      </c>
      <c r="O63" s="187" t="s">
        <v>352</v>
      </c>
      <c r="P63" s="451" t="s">
        <v>353</v>
      </c>
      <c r="Q63" s="452"/>
      <c r="R63" s="451" t="s">
        <v>350</v>
      </c>
      <c r="S63" s="453"/>
      <c r="T63" s="453"/>
      <c r="U63" s="452"/>
      <c r="V63" s="454" t="s">
        <v>146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/>
      <c r="B64" s="447"/>
      <c r="C64" s="189"/>
      <c r="D64" s="189"/>
      <c r="E64" s="190"/>
      <c r="F64" s="448"/>
      <c r="G64" s="449"/>
      <c r="H64" s="449"/>
      <c r="I64" s="449"/>
      <c r="J64" s="449"/>
      <c r="K64" s="449"/>
      <c r="L64" s="449"/>
      <c r="M64" s="450"/>
      <c r="N64" s="116"/>
      <c r="O64" s="187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189"/>
      <c r="D65" s="189"/>
      <c r="E65" s="190"/>
      <c r="F65" s="448"/>
      <c r="G65" s="449"/>
      <c r="H65" s="449"/>
      <c r="I65" s="449"/>
      <c r="J65" s="449"/>
      <c r="K65" s="449"/>
      <c r="L65" s="449"/>
      <c r="M65" s="450"/>
      <c r="N65" s="116"/>
      <c r="O65" s="187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189"/>
      <c r="D66" s="189"/>
      <c r="E66" s="190"/>
      <c r="F66" s="448"/>
      <c r="G66" s="449"/>
      <c r="H66" s="449"/>
      <c r="I66" s="449"/>
      <c r="J66" s="449"/>
      <c r="K66" s="449"/>
      <c r="L66" s="449"/>
      <c r="M66" s="450"/>
      <c r="N66" s="116"/>
      <c r="O66" s="187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189"/>
      <c r="D67" s="189"/>
      <c r="E67" s="190"/>
      <c r="F67" s="448"/>
      <c r="G67" s="449"/>
      <c r="H67" s="449"/>
      <c r="I67" s="449"/>
      <c r="J67" s="449"/>
      <c r="K67" s="449"/>
      <c r="L67" s="449"/>
      <c r="M67" s="450"/>
      <c r="N67" s="116"/>
      <c r="O67" s="187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189"/>
      <c r="D68" s="189"/>
      <c r="E68" s="190"/>
      <c r="F68" s="448"/>
      <c r="G68" s="449"/>
      <c r="H68" s="449"/>
      <c r="I68" s="449"/>
      <c r="J68" s="449"/>
      <c r="K68" s="449"/>
      <c r="L68" s="449"/>
      <c r="M68" s="450"/>
      <c r="N68" s="116"/>
      <c r="O68" s="187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191"/>
      <c r="D69" s="192"/>
      <c r="E69" s="191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354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188" t="s">
        <v>2</v>
      </c>
      <c r="D71" s="188" t="s">
        <v>37</v>
      </c>
      <c r="E71" s="188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188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/>
      <c r="D72" s="183"/>
      <c r="E72" s="186"/>
      <c r="F72" s="475"/>
      <c r="G72" s="476"/>
      <c r="H72" s="476"/>
      <c r="I72" s="476"/>
      <c r="J72" s="476"/>
      <c r="K72" s="476"/>
      <c r="L72" s="476"/>
      <c r="M72" s="51"/>
      <c r="N72" s="477"/>
      <c r="O72" s="477"/>
      <c r="P72" s="478"/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183"/>
      <c r="E73" s="186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183"/>
      <c r="E74" s="186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183"/>
      <c r="E75" s="186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183"/>
      <c r="E76" s="186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183"/>
      <c r="E77" s="186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183"/>
      <c r="E78" s="186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183"/>
      <c r="E79" s="186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183"/>
      <c r="E80" s="186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183"/>
      <c r="E81" s="186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355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185" t="s">
        <v>2</v>
      </c>
      <c r="D83" s="185" t="s">
        <v>37</v>
      </c>
      <c r="E83" s="185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184"/>
      <c r="D84" s="184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183"/>
      <c r="D85" s="183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1">A85+1</f>
        <v>3</v>
      </c>
      <c r="B86" s="493"/>
      <c r="C86" s="183"/>
      <c r="D86" s="183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1"/>
        <v>4</v>
      </c>
      <c r="B87" s="493"/>
      <c r="C87" s="183"/>
      <c r="D87" s="183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1"/>
        <v>5</v>
      </c>
      <c r="B88" s="493"/>
      <c r="C88" s="183"/>
      <c r="D88" s="183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1"/>
        <v>6</v>
      </c>
      <c r="B89" s="493"/>
      <c r="C89" s="183"/>
      <c r="D89" s="183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1"/>
        <v>7</v>
      </c>
      <c r="B90" s="493"/>
      <c r="C90" s="183"/>
      <c r="D90" s="183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356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67B9-F3DB-4107-816D-E73054834920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357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195" t="s">
        <v>17</v>
      </c>
      <c r="L5" s="195" t="s">
        <v>18</v>
      </c>
      <c r="M5" s="195" t="s">
        <v>19</v>
      </c>
      <c r="N5" s="19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11230</v>
      </c>
      <c r="K6" s="15">
        <f>L6+10316</f>
        <v>21546</v>
      </c>
      <c r="L6" s="15">
        <f>2853*2+2762*2</f>
        <v>11230</v>
      </c>
      <c r="M6" s="15">
        <f t="shared" ref="M6:M29" si="0">L6-N6</f>
        <v>11230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0.671875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243</v>
      </c>
      <c r="D7" s="52" t="s">
        <v>115</v>
      </c>
      <c r="E7" s="53" t="s">
        <v>358</v>
      </c>
      <c r="F7" s="30" t="s">
        <v>134</v>
      </c>
      <c r="G7" s="12">
        <v>1</v>
      </c>
      <c r="H7" s="13">
        <v>24</v>
      </c>
      <c r="I7" s="31">
        <v>100</v>
      </c>
      <c r="J7" s="14">
        <v>100</v>
      </c>
      <c r="K7" s="15">
        <f>L7</f>
        <v>100</v>
      </c>
      <c r="L7" s="15">
        <v>100</v>
      </c>
      <c r="M7" s="15">
        <f t="shared" si="0"/>
        <v>100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>
        <v>10</v>
      </c>
      <c r="T7" s="16"/>
      <c r="U7" s="16"/>
      <c r="V7" s="17"/>
      <c r="W7" s="5">
        <v>10</v>
      </c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ref="AD7:AD29" si="8">AC7*AB7*(1-O7)</f>
        <v>0.16666666666666666</v>
      </c>
      <c r="AE7" s="36">
        <f t="shared" si="6"/>
        <v>0.671875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50000</v>
      </c>
      <c r="J8" s="14">
        <v>10878</v>
      </c>
      <c r="K8" s="15">
        <f>L8+8168</f>
        <v>19046</v>
      </c>
      <c r="L8" s="15">
        <f>2780*2+2659*2</f>
        <v>10878</v>
      </c>
      <c r="M8" s="15">
        <f t="shared" si="0"/>
        <v>10878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0.671875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164</v>
      </c>
      <c r="D9" s="52"/>
      <c r="E9" s="53" t="s">
        <v>289</v>
      </c>
      <c r="F9" s="30" t="s">
        <v>306</v>
      </c>
      <c r="G9" s="12">
        <v>1</v>
      </c>
      <c r="H9" s="13">
        <v>24</v>
      </c>
      <c r="I9" s="7">
        <v>19000</v>
      </c>
      <c r="J9" s="14">
        <v>4936</v>
      </c>
      <c r="K9" s="15">
        <f>L9+4649+5831</f>
        <v>15416</v>
      </c>
      <c r="L9" s="15">
        <f>2928+2008</f>
        <v>4936</v>
      </c>
      <c r="M9" s="15">
        <f t="shared" si="0"/>
        <v>4936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0.671875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164</v>
      </c>
      <c r="D10" s="52"/>
      <c r="E10" s="53" t="s">
        <v>240</v>
      </c>
      <c r="F10" s="30" t="s">
        <v>133</v>
      </c>
      <c r="G10" s="33">
        <v>1</v>
      </c>
      <c r="H10" s="35">
        <v>24</v>
      </c>
      <c r="I10" s="7">
        <v>19000</v>
      </c>
      <c r="J10" s="14">
        <v>6127</v>
      </c>
      <c r="K10" s="15">
        <f>L10+5282+4501+5601+3858</f>
        <v>25369</v>
      </c>
      <c r="L10" s="15">
        <f>3115+3012</f>
        <v>6127</v>
      </c>
      <c r="M10" s="15">
        <f t="shared" si="0"/>
        <v>6127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0.671875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124</v>
      </c>
      <c r="D11" s="52" t="s">
        <v>353</v>
      </c>
      <c r="E11" s="53" t="s">
        <v>359</v>
      </c>
      <c r="F11" s="30" t="s">
        <v>114</v>
      </c>
      <c r="G11" s="33">
        <v>1</v>
      </c>
      <c r="H11" s="35">
        <v>24</v>
      </c>
      <c r="I11" s="7">
        <v>1000</v>
      </c>
      <c r="J11" s="14">
        <v>4117</v>
      </c>
      <c r="K11" s="15">
        <f>L11</f>
        <v>4117</v>
      </c>
      <c r="L11" s="15">
        <f>2245+1872</f>
        <v>4117</v>
      </c>
      <c r="M11" s="15">
        <f t="shared" si="0"/>
        <v>4117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4</v>
      </c>
      <c r="AB11" s="8">
        <f t="shared" si="4"/>
        <v>1</v>
      </c>
      <c r="AC11" s="9">
        <f t="shared" si="5"/>
        <v>0.83333333333333337</v>
      </c>
      <c r="AD11" s="10">
        <f t="shared" si="8"/>
        <v>0.83333333333333337</v>
      </c>
      <c r="AE11" s="36">
        <f t="shared" si="6"/>
        <v>0.671875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4778</v>
      </c>
      <c r="K12" s="15">
        <f>L12+4285+4023</f>
        <v>13086</v>
      </c>
      <c r="L12" s="15">
        <f>2439+2339</f>
        <v>4778</v>
      </c>
      <c r="M12" s="15">
        <f t="shared" si="0"/>
        <v>4778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0.671875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142</v>
      </c>
      <c r="E13" s="53" t="s">
        <v>346</v>
      </c>
      <c r="F13" s="30" t="s">
        <v>360</v>
      </c>
      <c r="G13" s="33">
        <v>4</v>
      </c>
      <c r="H13" s="35">
        <v>22</v>
      </c>
      <c r="I13" s="7">
        <v>100000</v>
      </c>
      <c r="J13" s="14">
        <v>23900</v>
      </c>
      <c r="K13" s="15">
        <f>L13</f>
        <v>23900</v>
      </c>
      <c r="L13" s="15">
        <f>2784*4+3191*4</f>
        <v>23900</v>
      </c>
      <c r="M13" s="15">
        <f t="shared" si="0"/>
        <v>23900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0.671875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0.671875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25180</v>
      </c>
      <c r="K15" s="15">
        <f>L15+15076+24324+23616+24984+24984+26012+21116+23796</f>
        <v>209088</v>
      </c>
      <c r="L15" s="15">
        <f>3179*4+3116*4</f>
        <v>25180</v>
      </c>
      <c r="M15" s="15">
        <f t="shared" si="0"/>
        <v>25180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0.671875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11484</v>
      </c>
      <c r="K16" s="15">
        <f>L16+9350+9873+10572+11420+9694+7670+11372+10884+8431+5890+10900+11458+11552+11940+10862+11588+10714+11420+11054+11778+10788+11600</f>
        <v>242294</v>
      </c>
      <c r="L16" s="15">
        <f>2908*2+2834*2</f>
        <v>11484</v>
      </c>
      <c r="M16" s="15">
        <f t="shared" si="0"/>
        <v>11484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0.671875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11722</v>
      </c>
      <c r="K17" s="15">
        <f>L17</f>
        <v>11722</v>
      </c>
      <c r="L17" s="15">
        <f>2319*2+3542*2</f>
        <v>11722</v>
      </c>
      <c r="M17" s="15">
        <f t="shared" si="0"/>
        <v>11722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/>
      <c r="T17" s="16">
        <v>2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8"/>
        <v>0.91666666666666663</v>
      </c>
      <c r="AE17" s="36">
        <f t="shared" si="6"/>
        <v>0.671875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10790</v>
      </c>
      <c r="K18" s="15">
        <f>L18+10480+11444+11648+11082+10368+10658+11130+11168+12108+9740+10720+10498+11286+11772+11032+11242+10656+11244+5352+8064+11508</f>
        <v>233990</v>
      </c>
      <c r="L18" s="15">
        <f>2746*2+2649*2</f>
        <v>10790</v>
      </c>
      <c r="M18" s="15">
        <f t="shared" si="0"/>
        <v>10790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0.671875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50000</v>
      </c>
      <c r="J19" s="14">
        <v>11352</v>
      </c>
      <c r="K19" s="15">
        <f>L19+9720+11486</f>
        <v>32558</v>
      </c>
      <c r="L19" s="15">
        <f>2883*2+2793*2</f>
        <v>11352</v>
      </c>
      <c r="M19" s="15">
        <f t="shared" si="0"/>
        <v>11352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0.671875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161</v>
      </c>
      <c r="E20" s="53" t="s">
        <v>280</v>
      </c>
      <c r="F20" s="30" t="s">
        <v>143</v>
      </c>
      <c r="G20" s="33">
        <v>1</v>
      </c>
      <c r="H20" s="35">
        <v>24</v>
      </c>
      <c r="I20" s="7">
        <v>1000</v>
      </c>
      <c r="J20" s="14">
        <v>1065</v>
      </c>
      <c r="K20" s="15">
        <f>L20</f>
        <v>1065</v>
      </c>
      <c r="L20" s="15">
        <f>906+159</f>
        <v>1065</v>
      </c>
      <c r="M20" s="15">
        <f t="shared" si="0"/>
        <v>1065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>
        <v>19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8"/>
        <v>0.20833333333333334</v>
      </c>
      <c r="AE20" s="36">
        <f t="shared" si="6"/>
        <v>0.671875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64496</v>
      </c>
      <c r="K21" s="15">
        <f>L21+64424+64620+22548+54104+64632+65016+67504+61284+57732+64780+64192+63920+55712+65444</f>
        <v>900408</v>
      </c>
      <c r="L21" s="15">
        <f>8199*4+7925*4</f>
        <v>64496</v>
      </c>
      <c r="M21" s="15">
        <f t="shared" si="0"/>
        <v>64496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0.671875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0.671875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0.671875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0.671875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0.671875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23840</v>
      </c>
      <c r="K26" s="15">
        <f>L26+20480+24108</f>
        <v>68428</v>
      </c>
      <c r="L26" s="15">
        <f>3000*4+2960*4</f>
        <v>23840</v>
      </c>
      <c r="M26" s="15">
        <f t="shared" si="0"/>
        <v>23840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0.671875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27392</v>
      </c>
      <c r="K27" s="15">
        <f>L27+22128+27588</f>
        <v>77108</v>
      </c>
      <c r="L27" s="15">
        <f>3000*4+3848*4</f>
        <v>27392</v>
      </c>
      <c r="M27" s="15">
        <f t="shared" si="0"/>
        <v>27392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0.671875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29448</v>
      </c>
      <c r="K28" s="15">
        <f>L28+18992+29436</f>
        <v>77876</v>
      </c>
      <c r="L28" s="15">
        <f>3500*4+3862*4</f>
        <v>29448</v>
      </c>
      <c r="M28" s="15">
        <f t="shared" si="0"/>
        <v>29448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0.671875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0.671875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7097600</v>
      </c>
      <c r="J30" s="19">
        <f t="shared" si="10"/>
        <v>598594</v>
      </c>
      <c r="K30" s="20">
        <f t="shared" si="10"/>
        <v>4721116</v>
      </c>
      <c r="L30" s="21">
        <f t="shared" si="10"/>
        <v>282835</v>
      </c>
      <c r="M30" s="20">
        <f t="shared" si="10"/>
        <v>282835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387</v>
      </c>
      <c r="Q30" s="43">
        <f t="shared" si="11"/>
        <v>189</v>
      </c>
      <c r="R30" s="23">
        <f t="shared" si="11"/>
        <v>0</v>
      </c>
      <c r="S30" s="24">
        <f t="shared" si="11"/>
        <v>29</v>
      </c>
      <c r="T30" s="24">
        <f t="shared" si="11"/>
        <v>2</v>
      </c>
      <c r="U30" s="24">
        <f t="shared" si="11"/>
        <v>0</v>
      </c>
      <c r="V30" s="25">
        <f t="shared" si="11"/>
        <v>48</v>
      </c>
      <c r="W30" s="26">
        <f t="shared" si="11"/>
        <v>58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52</v>
      </c>
      <c r="AB30" s="28">
        <f>AVERAGE(AB6:AB29)</f>
        <v>0.78260869565217395</v>
      </c>
      <c r="AC30" s="4">
        <f>AVERAGE(AC6:AC29)</f>
        <v>0.671875</v>
      </c>
      <c r="AD30" s="4">
        <f>AVERAGE(AD6:AD29)</f>
        <v>0.671875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363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379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196" t="s">
        <v>46</v>
      </c>
      <c r="D59" s="196" t="s">
        <v>47</v>
      </c>
      <c r="E59" s="196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196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243</v>
      </c>
      <c r="B60" s="447"/>
      <c r="C60" s="197" t="s">
        <v>247</v>
      </c>
      <c r="D60" s="197" t="s">
        <v>115</v>
      </c>
      <c r="E60" s="198" t="s">
        <v>358</v>
      </c>
      <c r="F60" s="448" t="s">
        <v>201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03" t="s">
        <v>234</v>
      </c>
      <c r="P60" s="451" t="s">
        <v>161</v>
      </c>
      <c r="Q60" s="452"/>
      <c r="R60" s="451" t="s">
        <v>280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365</v>
      </c>
      <c r="B61" s="447"/>
      <c r="C61" s="197" t="s">
        <v>366</v>
      </c>
      <c r="D61" s="197" t="s">
        <v>367</v>
      </c>
      <c r="E61" s="198" t="s">
        <v>359</v>
      </c>
      <c r="F61" s="448" t="s">
        <v>364</v>
      </c>
      <c r="G61" s="449"/>
      <c r="H61" s="449"/>
      <c r="I61" s="449"/>
      <c r="J61" s="449"/>
      <c r="K61" s="449"/>
      <c r="L61" s="449"/>
      <c r="M61" s="450"/>
      <c r="N61" s="116" t="s">
        <v>369</v>
      </c>
      <c r="O61" s="203" t="s">
        <v>366</v>
      </c>
      <c r="P61" s="451" t="s">
        <v>380</v>
      </c>
      <c r="Q61" s="452"/>
      <c r="R61" s="451" t="s">
        <v>381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369</v>
      </c>
      <c r="B62" s="447"/>
      <c r="C62" s="197" t="s">
        <v>370</v>
      </c>
      <c r="D62" s="197" t="s">
        <v>371</v>
      </c>
      <c r="E62" s="198" t="s">
        <v>368</v>
      </c>
      <c r="F62" s="448" t="s">
        <v>364</v>
      </c>
      <c r="G62" s="449"/>
      <c r="H62" s="449"/>
      <c r="I62" s="449"/>
      <c r="J62" s="449"/>
      <c r="K62" s="449"/>
      <c r="L62" s="449"/>
      <c r="M62" s="450"/>
      <c r="N62" s="116" t="s">
        <v>383</v>
      </c>
      <c r="O62" s="203" t="s">
        <v>384</v>
      </c>
      <c r="P62" s="451"/>
      <c r="Q62" s="452"/>
      <c r="R62" s="451" t="s">
        <v>382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373</v>
      </c>
      <c r="B63" s="447"/>
      <c r="C63" s="197" t="s">
        <v>374</v>
      </c>
      <c r="D63" s="197"/>
      <c r="E63" s="198" t="s">
        <v>372</v>
      </c>
      <c r="F63" s="448" t="s">
        <v>364</v>
      </c>
      <c r="G63" s="449"/>
      <c r="H63" s="449"/>
      <c r="I63" s="449"/>
      <c r="J63" s="449"/>
      <c r="K63" s="449"/>
      <c r="L63" s="449"/>
      <c r="M63" s="450"/>
      <c r="N63" s="116"/>
      <c r="O63" s="203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375</v>
      </c>
      <c r="B64" s="447"/>
      <c r="C64" s="197" t="s">
        <v>376</v>
      </c>
      <c r="D64" s="197" t="s">
        <v>377</v>
      </c>
      <c r="E64" s="198" t="s">
        <v>378</v>
      </c>
      <c r="F64" s="448" t="s">
        <v>201</v>
      </c>
      <c r="G64" s="449"/>
      <c r="H64" s="449"/>
      <c r="I64" s="449"/>
      <c r="J64" s="449"/>
      <c r="K64" s="449"/>
      <c r="L64" s="449"/>
      <c r="M64" s="450"/>
      <c r="N64" s="116"/>
      <c r="O64" s="203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197"/>
      <c r="D65" s="197"/>
      <c r="E65" s="198"/>
      <c r="F65" s="448"/>
      <c r="G65" s="449"/>
      <c r="H65" s="449"/>
      <c r="I65" s="449"/>
      <c r="J65" s="449"/>
      <c r="K65" s="449"/>
      <c r="L65" s="449"/>
      <c r="M65" s="450"/>
      <c r="N65" s="116"/>
      <c r="O65" s="203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197"/>
      <c r="D66" s="197"/>
      <c r="E66" s="198"/>
      <c r="F66" s="448"/>
      <c r="G66" s="449"/>
      <c r="H66" s="449"/>
      <c r="I66" s="449"/>
      <c r="J66" s="449"/>
      <c r="K66" s="449"/>
      <c r="L66" s="449"/>
      <c r="M66" s="450"/>
      <c r="N66" s="116"/>
      <c r="O66" s="203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197"/>
      <c r="D67" s="197"/>
      <c r="E67" s="198"/>
      <c r="F67" s="448"/>
      <c r="G67" s="449"/>
      <c r="H67" s="449"/>
      <c r="I67" s="449"/>
      <c r="J67" s="449"/>
      <c r="K67" s="449"/>
      <c r="L67" s="449"/>
      <c r="M67" s="450"/>
      <c r="N67" s="116"/>
      <c r="O67" s="203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197"/>
      <c r="D68" s="197"/>
      <c r="E68" s="198"/>
      <c r="F68" s="448"/>
      <c r="G68" s="449"/>
      <c r="H68" s="449"/>
      <c r="I68" s="449"/>
      <c r="J68" s="449"/>
      <c r="K68" s="449"/>
      <c r="L68" s="449"/>
      <c r="M68" s="450"/>
      <c r="N68" s="116"/>
      <c r="O68" s="203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199"/>
      <c r="D69" s="200"/>
      <c r="E69" s="199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385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01" t="s">
        <v>2</v>
      </c>
      <c r="D71" s="201" t="s">
        <v>37</v>
      </c>
      <c r="E71" s="201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01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365</v>
      </c>
      <c r="D72" s="205"/>
      <c r="E72" s="202" t="s">
        <v>387</v>
      </c>
      <c r="F72" s="475" t="s">
        <v>386</v>
      </c>
      <c r="G72" s="476"/>
      <c r="H72" s="476"/>
      <c r="I72" s="476"/>
      <c r="J72" s="476"/>
      <c r="K72" s="476" t="s">
        <v>388</v>
      </c>
      <c r="L72" s="476"/>
      <c r="M72" s="51" t="s">
        <v>389</v>
      </c>
      <c r="N72" s="477" t="s">
        <v>384</v>
      </c>
      <c r="O72" s="477"/>
      <c r="P72" s="478">
        <v>200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369</v>
      </c>
      <c r="D73" s="205"/>
      <c r="E73" s="202" t="s">
        <v>391</v>
      </c>
      <c r="F73" s="481" t="s">
        <v>390</v>
      </c>
      <c r="G73" s="482"/>
      <c r="H73" s="482"/>
      <c r="I73" s="482"/>
      <c r="J73" s="483"/>
      <c r="K73" s="476" t="s">
        <v>392</v>
      </c>
      <c r="L73" s="476"/>
      <c r="M73" s="51" t="s">
        <v>393</v>
      </c>
      <c r="N73" s="477" t="s">
        <v>366</v>
      </c>
      <c r="O73" s="477"/>
      <c r="P73" s="478">
        <v>50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205"/>
      <c r="E74" s="202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205"/>
      <c r="E75" s="202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05"/>
      <c r="E76" s="202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05"/>
      <c r="E77" s="202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05"/>
      <c r="E78" s="202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05"/>
      <c r="E79" s="202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05"/>
      <c r="E80" s="202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05"/>
      <c r="E81" s="202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433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04" t="s">
        <v>2</v>
      </c>
      <c r="D83" s="204" t="s">
        <v>37</v>
      </c>
      <c r="E83" s="204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06"/>
      <c r="D84" s="206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05"/>
      <c r="D85" s="205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05"/>
      <c r="D86" s="205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05"/>
      <c r="D87" s="205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05"/>
      <c r="D88" s="205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05"/>
      <c r="D89" s="205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05"/>
      <c r="D90" s="205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434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1508-82BE-4995-B6BA-A6DB56324A7B}">
  <sheetPr>
    <pageSetUpPr fitToPage="1"/>
  </sheetPr>
  <dimension ref="A1:AF95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394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18" t="s">
        <v>17</v>
      </c>
      <c r="L5" s="218" t="s">
        <v>18</v>
      </c>
      <c r="M5" s="218" t="s">
        <v>19</v>
      </c>
      <c r="N5" s="2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10284</v>
      </c>
      <c r="K6" s="15">
        <f>L6+10316+11230</f>
        <v>31830</v>
      </c>
      <c r="L6" s="15">
        <f>2836*2+2306*2</f>
        <v>10284</v>
      </c>
      <c r="M6" s="15">
        <f t="shared" ref="M6:M29" si="0">L6-N6</f>
        <v>10284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22</v>
      </c>
      <c r="Q6" s="40">
        <f t="shared" ref="Q6:Q29" si="3">SUM(R6:AA6)</f>
        <v>2</v>
      </c>
      <c r="R6" s="7"/>
      <c r="S6" s="6">
        <v>2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0.91666666666666663</v>
      </c>
      <c r="AD6" s="10">
        <f>AC6*AB6*(1-O6)</f>
        <v>0.91666666666666663</v>
      </c>
      <c r="AE6" s="36">
        <f t="shared" ref="AE6:AE29" si="6">$AD$30</f>
        <v>0.68576388888888884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383</v>
      </c>
      <c r="D7" s="52"/>
      <c r="E7" s="53" t="s">
        <v>395</v>
      </c>
      <c r="F7" s="30" t="s">
        <v>134</v>
      </c>
      <c r="G7" s="12">
        <v>1</v>
      </c>
      <c r="H7" s="13">
        <v>24</v>
      </c>
      <c r="I7" s="31">
        <v>1400</v>
      </c>
      <c r="J7" s="14">
        <v>2568</v>
      </c>
      <c r="K7" s="15">
        <f>L7</f>
        <v>2568</v>
      </c>
      <c r="L7" s="15">
        <f>1264+1304</f>
        <v>2568</v>
      </c>
      <c r="M7" s="15">
        <f t="shared" si="0"/>
        <v>2568</v>
      </c>
      <c r="N7" s="15">
        <v>0</v>
      </c>
      <c r="O7" s="58">
        <f t="shared" si="1"/>
        <v>0</v>
      </c>
      <c r="P7" s="39">
        <f t="shared" si="2"/>
        <v>11</v>
      </c>
      <c r="Q7" s="40">
        <f t="shared" si="3"/>
        <v>13</v>
      </c>
      <c r="R7" s="7"/>
      <c r="S7" s="6">
        <v>5</v>
      </c>
      <c r="T7" s="16"/>
      <c r="U7" s="16"/>
      <c r="V7" s="17"/>
      <c r="W7" s="5">
        <v>8</v>
      </c>
      <c r="X7" s="16"/>
      <c r="Y7" s="16"/>
      <c r="Z7" s="16"/>
      <c r="AA7" s="18"/>
      <c r="AB7" s="8">
        <f t="shared" si="4"/>
        <v>1</v>
      </c>
      <c r="AC7" s="9">
        <f t="shared" si="5"/>
        <v>0.45833333333333331</v>
      </c>
      <c r="AD7" s="10">
        <f t="shared" ref="AD7:AD29" si="8">AC7*AB7*(1-O7)</f>
        <v>0.45833333333333331</v>
      </c>
      <c r="AE7" s="36">
        <f t="shared" si="6"/>
        <v>0.68576388888888884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50000</v>
      </c>
      <c r="J8" s="14">
        <v>10884</v>
      </c>
      <c r="K8" s="15">
        <f>L8+8168+10878</f>
        <v>29930</v>
      </c>
      <c r="L8" s="15">
        <f>2684*2+2758*2</f>
        <v>10884</v>
      </c>
      <c r="M8" s="15">
        <f t="shared" si="0"/>
        <v>10884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0.68576388888888884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164</v>
      </c>
      <c r="D9" s="52"/>
      <c r="E9" s="53" t="s">
        <v>289</v>
      </c>
      <c r="F9" s="30" t="s">
        <v>306</v>
      </c>
      <c r="G9" s="12">
        <v>1</v>
      </c>
      <c r="H9" s="13">
        <v>24</v>
      </c>
      <c r="I9" s="7">
        <v>19000</v>
      </c>
      <c r="J9" s="14">
        <v>5784</v>
      </c>
      <c r="K9" s="15">
        <f>L9+4649+5831+4936</f>
        <v>21200</v>
      </c>
      <c r="L9" s="15">
        <f>2947+2837</f>
        <v>5784</v>
      </c>
      <c r="M9" s="15">
        <f t="shared" si="0"/>
        <v>5784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0.68576388888888884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164</v>
      </c>
      <c r="D10" s="52"/>
      <c r="E10" s="53" t="s">
        <v>240</v>
      </c>
      <c r="F10" s="30" t="s">
        <v>133</v>
      </c>
      <c r="G10" s="33">
        <v>1</v>
      </c>
      <c r="H10" s="35">
        <v>24</v>
      </c>
      <c r="I10" s="7">
        <v>19000</v>
      </c>
      <c r="J10" s="14">
        <v>5942</v>
      </c>
      <c r="K10" s="15">
        <f>L10+5282+4501+5601+3858+6127</f>
        <v>31311</v>
      </c>
      <c r="L10" s="15">
        <f>3014+2928</f>
        <v>5942</v>
      </c>
      <c r="M10" s="15">
        <f t="shared" si="0"/>
        <v>5942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0.68576388888888884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152</v>
      </c>
      <c r="E11" s="53" t="s">
        <v>191</v>
      </c>
      <c r="F11" s="30" t="s">
        <v>197</v>
      </c>
      <c r="G11" s="33">
        <v>1</v>
      </c>
      <c r="H11" s="35">
        <v>24</v>
      </c>
      <c r="I11" s="7">
        <v>7000</v>
      </c>
      <c r="J11" s="14">
        <v>7570</v>
      </c>
      <c r="K11" s="15">
        <f>L11</f>
        <v>7570</v>
      </c>
      <c r="L11" s="15">
        <f>3404+4166</f>
        <v>7570</v>
      </c>
      <c r="M11" s="15">
        <f t="shared" si="0"/>
        <v>7570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si="8"/>
        <v>0.95833333333333337</v>
      </c>
      <c r="AE11" s="36">
        <f t="shared" si="6"/>
        <v>0.68576388888888884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4814</v>
      </c>
      <c r="K12" s="15">
        <f>L12+4285+4023+4778</f>
        <v>17900</v>
      </c>
      <c r="L12" s="15">
        <f>2365+2449</f>
        <v>4814</v>
      </c>
      <c r="M12" s="15">
        <f t="shared" si="0"/>
        <v>4814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0.68576388888888884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142</v>
      </c>
      <c r="E13" s="53" t="s">
        <v>346</v>
      </c>
      <c r="F13" s="30" t="s">
        <v>360</v>
      </c>
      <c r="G13" s="33">
        <v>4</v>
      </c>
      <c r="H13" s="35">
        <v>22</v>
      </c>
      <c r="I13" s="7">
        <v>100000</v>
      </c>
      <c r="J13" s="14">
        <v>20228</v>
      </c>
      <c r="K13" s="15">
        <f>L13+23900</f>
        <v>44128</v>
      </c>
      <c r="L13" s="15">
        <f>3075*4+1982*4</f>
        <v>20228</v>
      </c>
      <c r="M13" s="15">
        <f t="shared" si="0"/>
        <v>20228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8"/>
        <v>0.875</v>
      </c>
      <c r="AE13" s="36">
        <f t="shared" si="6"/>
        <v>0.68576388888888884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0.68576388888888884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25256</v>
      </c>
      <c r="K15" s="15">
        <f>L15+15076+24324+23616+24984+24984+26012+21116+23796+25180</f>
        <v>234344</v>
      </c>
      <c r="L15" s="15">
        <f>3468*4+2846*4</f>
        <v>25256</v>
      </c>
      <c r="M15" s="15">
        <f t="shared" si="0"/>
        <v>25256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0.68576388888888884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12810</v>
      </c>
      <c r="K16" s="15">
        <f>L16+9350+9873+10572+11420+9694+7670+11372+10884+8431+5890+10900+11458+11552+11940+10862+11588+10714+11420+11054+11778+10788+11600+11484</f>
        <v>255104</v>
      </c>
      <c r="L16" s="15">
        <f>2934*2+3471*2</f>
        <v>12810</v>
      </c>
      <c r="M16" s="15">
        <f t="shared" si="0"/>
        <v>12810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0.68576388888888884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</f>
        <v>23984</v>
      </c>
      <c r="L17" s="15">
        <f>3461*2+2670*2</f>
        <v>12262</v>
      </c>
      <c r="M17" s="15">
        <f t="shared" si="0"/>
        <v>12262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0.68576388888888884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11124</v>
      </c>
      <c r="K18" s="15">
        <f>L18+10480+11444+11648+11082+10368+10658+11130+11168+12108+9740+10720+10498+11286+11772+11032+11242+10656+11244+5352+8064+11508+10790</f>
        <v>245114</v>
      </c>
      <c r="L18" s="15">
        <f>2771*2+2791*2</f>
        <v>11124</v>
      </c>
      <c r="M18" s="15">
        <f t="shared" si="0"/>
        <v>11124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0.68576388888888884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50000</v>
      </c>
      <c r="J19" s="14">
        <v>11400</v>
      </c>
      <c r="K19" s="15">
        <f>L19+9720+11486+11352</f>
        <v>43958</v>
      </c>
      <c r="L19" s="15">
        <f>2900*2+2800*2</f>
        <v>11400</v>
      </c>
      <c r="M19" s="15">
        <f t="shared" si="0"/>
        <v>11400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0.68576388888888884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161</v>
      </c>
      <c r="E20" s="53" t="s">
        <v>280</v>
      </c>
      <c r="F20" s="30" t="s">
        <v>143</v>
      </c>
      <c r="G20" s="33">
        <v>1</v>
      </c>
      <c r="H20" s="35">
        <v>24</v>
      </c>
      <c r="I20" s="7">
        <v>1000</v>
      </c>
      <c r="J20" s="14">
        <v>500</v>
      </c>
      <c r="K20" s="15">
        <f>L20+1085</f>
        <v>1585</v>
      </c>
      <c r="L20" s="15">
        <v>500</v>
      </c>
      <c r="M20" s="15">
        <f t="shared" si="0"/>
        <v>500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>
        <v>18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 t="shared" si="8"/>
        <v>0.25</v>
      </c>
      <c r="AE20" s="36">
        <f t="shared" si="6"/>
        <v>0.68576388888888884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64864</v>
      </c>
      <c r="K21" s="15">
        <f>L21+64424+64620+22548+54104+64632+65016+67504+61284+57732+64780+64192+63920+55712+65444+64496</f>
        <v>965272</v>
      </c>
      <c r="L21" s="15">
        <f>7950*4+8266*4</f>
        <v>64864</v>
      </c>
      <c r="M21" s="15">
        <f t="shared" si="0"/>
        <v>64864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0.68576388888888884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0.68576388888888884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0.68576388888888884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0.68576388888888884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0.68576388888888884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23940</v>
      </c>
      <c r="K26" s="15">
        <f>L26+20480+24108+23840</f>
        <v>92368</v>
      </c>
      <c r="L26" s="15">
        <f>2790*4+3195*4</f>
        <v>23940</v>
      </c>
      <c r="M26" s="15">
        <f t="shared" si="0"/>
        <v>23940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0.68576388888888884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27540</v>
      </c>
      <c r="K27" s="15">
        <f>L27+22128+27588+27392</f>
        <v>104648</v>
      </c>
      <c r="L27" s="15">
        <f>3217*4+3668*4</f>
        <v>27540</v>
      </c>
      <c r="M27" s="15">
        <f t="shared" si="0"/>
        <v>27540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0.68576388888888884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29672</v>
      </c>
      <c r="K28" s="15">
        <f>L28+18992+29436+29448</f>
        <v>107548</v>
      </c>
      <c r="L28" s="15">
        <f>3470*4+3948*4</f>
        <v>29672</v>
      </c>
      <c r="M28" s="15">
        <f t="shared" si="0"/>
        <v>29672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0.68576388888888884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0.68576388888888884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7104900</v>
      </c>
      <c r="J30" s="19">
        <f t="shared" si="10"/>
        <v>603201</v>
      </c>
      <c r="K30" s="20">
        <f t="shared" si="10"/>
        <v>5004361</v>
      </c>
      <c r="L30" s="21">
        <f t="shared" si="10"/>
        <v>287442</v>
      </c>
      <c r="M30" s="20">
        <f t="shared" si="10"/>
        <v>287442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395</v>
      </c>
      <c r="Q30" s="43">
        <f t="shared" si="11"/>
        <v>181</v>
      </c>
      <c r="R30" s="23">
        <f t="shared" si="11"/>
        <v>0</v>
      </c>
      <c r="S30" s="24">
        <f t="shared" si="11"/>
        <v>28</v>
      </c>
      <c r="T30" s="24">
        <f t="shared" si="11"/>
        <v>1</v>
      </c>
      <c r="U30" s="24">
        <f t="shared" si="11"/>
        <v>0</v>
      </c>
      <c r="V30" s="25">
        <f t="shared" si="11"/>
        <v>48</v>
      </c>
      <c r="W30" s="26">
        <f t="shared" si="11"/>
        <v>56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48</v>
      </c>
      <c r="AB30" s="28">
        <f>AVERAGE(AB6:AB29)</f>
        <v>0.78260869565217395</v>
      </c>
      <c r="AC30" s="4">
        <f>AVERAGE(AC6:AC29)</f>
        <v>0.68576388888888884</v>
      </c>
      <c r="AD30" s="4">
        <f>AVERAGE(AD6:AD29)</f>
        <v>0.68576388888888884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396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405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17" t="s">
        <v>46</v>
      </c>
      <c r="D59" s="217" t="s">
        <v>47</v>
      </c>
      <c r="E59" s="217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17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383</v>
      </c>
      <c r="B60" s="447"/>
      <c r="C60" s="213" t="s">
        <v>247</v>
      </c>
      <c r="D60" s="213"/>
      <c r="E60" s="214" t="s">
        <v>395</v>
      </c>
      <c r="F60" s="448" t="s">
        <v>397</v>
      </c>
      <c r="G60" s="449"/>
      <c r="H60" s="449"/>
      <c r="I60" s="449"/>
      <c r="J60" s="449"/>
      <c r="K60" s="449"/>
      <c r="L60" s="449"/>
      <c r="M60" s="450"/>
      <c r="N60" s="116" t="s">
        <v>408</v>
      </c>
      <c r="O60" s="211" t="s">
        <v>409</v>
      </c>
      <c r="P60" s="451" t="s">
        <v>410</v>
      </c>
      <c r="Q60" s="452"/>
      <c r="R60" s="451" t="s">
        <v>406</v>
      </c>
      <c r="S60" s="453"/>
      <c r="T60" s="453"/>
      <c r="U60" s="452"/>
      <c r="V60" s="454" t="s">
        <v>407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112</v>
      </c>
      <c r="B61" s="447"/>
      <c r="C61" s="213" t="s">
        <v>366</v>
      </c>
      <c r="D61" s="213" t="s">
        <v>380</v>
      </c>
      <c r="E61" s="214" t="s">
        <v>398</v>
      </c>
      <c r="F61" s="448" t="s">
        <v>364</v>
      </c>
      <c r="G61" s="449"/>
      <c r="H61" s="449"/>
      <c r="I61" s="449"/>
      <c r="J61" s="449"/>
      <c r="K61" s="449"/>
      <c r="L61" s="449"/>
      <c r="M61" s="450"/>
      <c r="N61" s="116" t="s">
        <v>412</v>
      </c>
      <c r="O61" s="211" t="s">
        <v>413</v>
      </c>
      <c r="P61" s="451" t="s">
        <v>414</v>
      </c>
      <c r="Q61" s="452"/>
      <c r="R61" s="451" t="s">
        <v>411</v>
      </c>
      <c r="S61" s="453"/>
      <c r="T61" s="453"/>
      <c r="U61" s="452"/>
      <c r="V61" s="454" t="s">
        <v>415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369</v>
      </c>
      <c r="B62" s="447"/>
      <c r="C62" s="213" t="s">
        <v>370</v>
      </c>
      <c r="D62" s="213" t="s">
        <v>371</v>
      </c>
      <c r="E62" s="214" t="s">
        <v>368</v>
      </c>
      <c r="F62" s="448" t="s">
        <v>399</v>
      </c>
      <c r="G62" s="449"/>
      <c r="H62" s="449"/>
      <c r="I62" s="449"/>
      <c r="J62" s="449"/>
      <c r="K62" s="449"/>
      <c r="L62" s="449"/>
      <c r="M62" s="450"/>
      <c r="N62" s="116"/>
      <c r="O62" s="211"/>
      <c r="P62" s="451"/>
      <c r="Q62" s="452"/>
      <c r="R62" s="451"/>
      <c r="S62" s="453"/>
      <c r="T62" s="453"/>
      <c r="U62" s="452"/>
      <c r="V62" s="454"/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221" t="s">
        <v>234</v>
      </c>
      <c r="D63" s="221" t="s">
        <v>161</v>
      </c>
      <c r="E63" s="222" t="s">
        <v>280</v>
      </c>
      <c r="F63" s="448" t="s">
        <v>201</v>
      </c>
      <c r="G63" s="449"/>
      <c r="H63" s="449"/>
      <c r="I63" s="449"/>
      <c r="J63" s="449"/>
      <c r="K63" s="449"/>
      <c r="L63" s="449"/>
      <c r="M63" s="450"/>
      <c r="N63" s="116"/>
      <c r="O63" s="211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402</v>
      </c>
      <c r="B64" s="447"/>
      <c r="C64" s="213" t="s">
        <v>403</v>
      </c>
      <c r="D64" s="213" t="s">
        <v>404</v>
      </c>
      <c r="E64" s="214" t="s">
        <v>400</v>
      </c>
      <c r="F64" s="448" t="s">
        <v>401</v>
      </c>
      <c r="G64" s="449"/>
      <c r="H64" s="449"/>
      <c r="I64" s="449"/>
      <c r="J64" s="449"/>
      <c r="K64" s="449"/>
      <c r="L64" s="449"/>
      <c r="M64" s="450"/>
      <c r="N64" s="116"/>
      <c r="O64" s="211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213"/>
      <c r="D65" s="213"/>
      <c r="E65" s="214"/>
      <c r="F65" s="448"/>
      <c r="G65" s="449"/>
      <c r="H65" s="449"/>
      <c r="I65" s="449"/>
      <c r="J65" s="449"/>
      <c r="K65" s="449"/>
      <c r="L65" s="449"/>
      <c r="M65" s="450"/>
      <c r="N65" s="116"/>
      <c r="O65" s="211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213"/>
      <c r="D66" s="213"/>
      <c r="E66" s="214"/>
      <c r="F66" s="448"/>
      <c r="G66" s="449"/>
      <c r="H66" s="449"/>
      <c r="I66" s="449"/>
      <c r="J66" s="449"/>
      <c r="K66" s="449"/>
      <c r="L66" s="449"/>
      <c r="M66" s="450"/>
      <c r="N66" s="116"/>
      <c r="O66" s="211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13"/>
      <c r="D67" s="213"/>
      <c r="E67" s="214"/>
      <c r="F67" s="448"/>
      <c r="G67" s="449"/>
      <c r="H67" s="449"/>
      <c r="I67" s="449"/>
      <c r="J67" s="449"/>
      <c r="K67" s="449"/>
      <c r="L67" s="449"/>
      <c r="M67" s="450"/>
      <c r="N67" s="116"/>
      <c r="O67" s="211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13"/>
      <c r="D68" s="213"/>
      <c r="E68" s="214"/>
      <c r="F68" s="448"/>
      <c r="G68" s="449"/>
      <c r="H68" s="449"/>
      <c r="I68" s="449"/>
      <c r="J68" s="449"/>
      <c r="K68" s="449"/>
      <c r="L68" s="449"/>
      <c r="M68" s="450"/>
      <c r="N68" s="116"/>
      <c r="O68" s="211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15"/>
      <c r="D69" s="216"/>
      <c r="E69" s="215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416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12" t="s">
        <v>2</v>
      </c>
      <c r="D71" s="212" t="s">
        <v>37</v>
      </c>
      <c r="E71" s="212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12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421</v>
      </c>
      <c r="D72" s="207"/>
      <c r="E72" s="210"/>
      <c r="F72" s="475" t="s">
        <v>417</v>
      </c>
      <c r="G72" s="476"/>
      <c r="H72" s="476"/>
      <c r="I72" s="476"/>
      <c r="J72" s="476"/>
      <c r="K72" s="476" t="s">
        <v>423</v>
      </c>
      <c r="L72" s="476"/>
      <c r="M72" s="51" t="s">
        <v>427</v>
      </c>
      <c r="N72" s="477" t="s">
        <v>428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421</v>
      </c>
      <c r="D73" s="207"/>
      <c r="E73" s="210"/>
      <c r="F73" s="481" t="s">
        <v>418</v>
      </c>
      <c r="G73" s="482"/>
      <c r="H73" s="482"/>
      <c r="I73" s="482"/>
      <c r="J73" s="483"/>
      <c r="K73" s="476" t="s">
        <v>424</v>
      </c>
      <c r="L73" s="476"/>
      <c r="M73" s="51" t="s">
        <v>427</v>
      </c>
      <c r="N73" s="477" t="s">
        <v>428</v>
      </c>
      <c r="O73" s="477"/>
      <c r="P73" s="478">
        <v>50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 t="s">
        <v>421</v>
      </c>
      <c r="D74" s="207"/>
      <c r="E74" s="210"/>
      <c r="F74" s="475" t="s">
        <v>419</v>
      </c>
      <c r="G74" s="476"/>
      <c r="H74" s="476"/>
      <c r="I74" s="476"/>
      <c r="J74" s="476"/>
      <c r="K74" s="476" t="s">
        <v>425</v>
      </c>
      <c r="L74" s="476"/>
      <c r="M74" s="51" t="s">
        <v>427</v>
      </c>
      <c r="N74" s="477" t="s">
        <v>428</v>
      </c>
      <c r="O74" s="477"/>
      <c r="P74" s="478"/>
      <c r="Q74" s="478"/>
      <c r="R74" s="479" t="s">
        <v>430</v>
      </c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 t="s">
        <v>422</v>
      </c>
      <c r="D75" s="207"/>
      <c r="E75" s="210"/>
      <c r="F75" s="481" t="s">
        <v>420</v>
      </c>
      <c r="G75" s="482"/>
      <c r="H75" s="482"/>
      <c r="I75" s="482"/>
      <c r="J75" s="483"/>
      <c r="K75" s="476" t="s">
        <v>426</v>
      </c>
      <c r="L75" s="476"/>
      <c r="M75" s="51" t="s">
        <v>427</v>
      </c>
      <c r="N75" s="477" t="s">
        <v>429</v>
      </c>
      <c r="O75" s="477"/>
      <c r="P75" s="478">
        <v>3000</v>
      </c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07"/>
      <c r="E76" s="210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07"/>
      <c r="E77" s="210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07"/>
      <c r="E78" s="210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07"/>
      <c r="E79" s="210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07"/>
      <c r="E80" s="210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07"/>
      <c r="E81" s="210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431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09" t="s">
        <v>2</v>
      </c>
      <c r="D83" s="209" t="s">
        <v>37</v>
      </c>
      <c r="E83" s="209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08"/>
      <c r="D84" s="208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07"/>
      <c r="D85" s="207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07"/>
      <c r="D86" s="207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07"/>
      <c r="D87" s="207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07"/>
      <c r="D88" s="207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07"/>
      <c r="D89" s="207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07"/>
      <c r="D90" s="207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432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8F2C-3712-484F-89FC-17B94873DA59}">
  <sheetPr>
    <pageSetUpPr fitToPage="1"/>
  </sheetPr>
  <dimension ref="A1:AF95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435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19" t="s">
        <v>17</v>
      </c>
      <c r="L5" s="219" t="s">
        <v>18</v>
      </c>
      <c r="M5" s="219" t="s">
        <v>19</v>
      </c>
      <c r="N5" s="2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50000</v>
      </c>
      <c r="J6" s="14">
        <v>10670</v>
      </c>
      <c r="K6" s="15">
        <f>L6+10316+11230+10284</f>
        <v>42500</v>
      </c>
      <c r="L6" s="15">
        <f>2601*2+2734*2</f>
        <v>10670</v>
      </c>
      <c r="M6" s="15">
        <f t="shared" ref="M6:M29" si="0">L6-N6</f>
        <v>10670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0.63715277777777779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436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</f>
        <v>1053</v>
      </c>
      <c r="L7" s="15">
        <v>1053</v>
      </c>
      <c r="M7" s="15">
        <f t="shared" si="0"/>
        <v>1053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>
        <v>18</v>
      </c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ref="AD7:AD29" si="8">AC7*AB7*(1-O7)</f>
        <v>0.25</v>
      </c>
      <c r="AE7" s="36">
        <f t="shared" si="6"/>
        <v>0.63715277777777779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50000</v>
      </c>
      <c r="J8" s="14">
        <v>10350</v>
      </c>
      <c r="K8" s="15">
        <f>L8+8168+10878+10884</f>
        <v>40280</v>
      </c>
      <c r="L8" s="15">
        <f>2639*2+2536*2</f>
        <v>10350</v>
      </c>
      <c r="M8" s="15">
        <f t="shared" si="0"/>
        <v>10350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0.63715277777777779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164</v>
      </c>
      <c r="D9" s="52"/>
      <c r="E9" s="53" t="s">
        <v>289</v>
      </c>
      <c r="F9" s="30" t="s">
        <v>306</v>
      </c>
      <c r="G9" s="12">
        <v>1</v>
      </c>
      <c r="H9" s="13">
        <v>24</v>
      </c>
      <c r="I9" s="7">
        <v>19000</v>
      </c>
      <c r="J9" s="14">
        <v>5200</v>
      </c>
      <c r="K9" s="15">
        <f>L9+4649+5831+4936+5784</f>
        <v>26400</v>
      </c>
      <c r="L9" s="15">
        <f>2379+2821</f>
        <v>5200</v>
      </c>
      <c r="M9" s="15">
        <f t="shared" si="0"/>
        <v>5200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0.63715277777777779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121</v>
      </c>
      <c r="E10" s="53" t="s">
        <v>406</v>
      </c>
      <c r="F10" s="30" t="s">
        <v>437</v>
      </c>
      <c r="G10" s="33">
        <v>2</v>
      </c>
      <c r="H10" s="35">
        <v>24</v>
      </c>
      <c r="I10" s="7">
        <v>30000</v>
      </c>
      <c r="J10" s="14">
        <v>9568</v>
      </c>
      <c r="K10" s="15">
        <f>L10</f>
        <v>9568</v>
      </c>
      <c r="L10" s="15">
        <f>2008*2+2776*2</f>
        <v>9568</v>
      </c>
      <c r="M10" s="15">
        <f t="shared" si="0"/>
        <v>9568</v>
      </c>
      <c r="N10" s="15">
        <v>0</v>
      </c>
      <c r="O10" s="58">
        <f t="shared" si="1"/>
        <v>0</v>
      </c>
      <c r="P10" s="39">
        <f t="shared" si="2"/>
        <v>21</v>
      </c>
      <c r="Q10" s="40">
        <f t="shared" si="3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0.875</v>
      </c>
      <c r="AD10" s="10">
        <f t="shared" si="8"/>
        <v>0.875</v>
      </c>
      <c r="AE10" s="36">
        <f t="shared" si="6"/>
        <v>0.63715277777777779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152</v>
      </c>
      <c r="E11" s="53" t="s">
        <v>191</v>
      </c>
      <c r="F11" s="30" t="s">
        <v>197</v>
      </c>
      <c r="G11" s="33">
        <v>1</v>
      </c>
      <c r="H11" s="35">
        <v>24</v>
      </c>
      <c r="I11" s="7">
        <v>7000</v>
      </c>
      <c r="J11" s="14">
        <v>7037</v>
      </c>
      <c r="K11" s="15">
        <f>L11+7570</f>
        <v>14607</v>
      </c>
      <c r="L11" s="15">
        <f>3045+3992</f>
        <v>7037</v>
      </c>
      <c r="M11" s="15">
        <f t="shared" si="0"/>
        <v>7037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0.63715277777777779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4613</v>
      </c>
      <c r="K12" s="15">
        <f>L12+4285+4023+4778+4814</f>
        <v>22513</v>
      </c>
      <c r="L12" s="15">
        <f>2269+2344</f>
        <v>4613</v>
      </c>
      <c r="M12" s="15">
        <f t="shared" si="0"/>
        <v>4613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0.63715277777777779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142</v>
      </c>
      <c r="E13" s="53" t="s">
        <v>346</v>
      </c>
      <c r="F13" s="30" t="s">
        <v>360</v>
      </c>
      <c r="G13" s="33">
        <v>4</v>
      </c>
      <c r="H13" s="35">
        <v>22</v>
      </c>
      <c r="I13" s="7">
        <v>100000</v>
      </c>
      <c r="J13" s="14">
        <v>19588</v>
      </c>
      <c r="K13" s="15">
        <f>L13+23900+20228</f>
        <v>63716</v>
      </c>
      <c r="L13" s="15">
        <f>2846*4+2051*4</f>
        <v>19588</v>
      </c>
      <c r="M13" s="15">
        <f t="shared" si="0"/>
        <v>19588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8"/>
        <v>0.875</v>
      </c>
      <c r="AE13" s="36">
        <f t="shared" si="6"/>
        <v>0.63715277777777779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0.63715277777777779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178</v>
      </c>
      <c r="E15" s="53" t="s">
        <v>179</v>
      </c>
      <c r="F15" s="30" t="s">
        <v>180</v>
      </c>
      <c r="G15" s="12">
        <v>4</v>
      </c>
      <c r="H15" s="13">
        <v>24</v>
      </c>
      <c r="I15" s="31">
        <v>157200</v>
      </c>
      <c r="J15" s="14">
        <v>20812</v>
      </c>
      <c r="K15" s="15">
        <f>L15+15076+24324+23616+24984+24984+26012+21116+23796+25180+25256</f>
        <v>255156</v>
      </c>
      <c r="L15" s="15">
        <f>2103*4+3100*4</f>
        <v>20812</v>
      </c>
      <c r="M15" s="15">
        <f t="shared" si="0"/>
        <v>20812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0.63715277777777779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7446</v>
      </c>
      <c r="K16" s="15">
        <f>L16+9350+9873+10572+11420+9694+7670+11372+10884+8431+5890+10900+11458+11552+11940+10862+11588+10714+11420+11054+11778+10788+11600+11484+12810</f>
        <v>262550</v>
      </c>
      <c r="L16" s="15">
        <f>2352*2+1371*2</f>
        <v>7446</v>
      </c>
      <c r="M16" s="15">
        <f t="shared" si="0"/>
        <v>7446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8"/>
        <v>0.79166666666666663</v>
      </c>
      <c r="AE16" s="36">
        <f t="shared" si="6"/>
        <v>0.63715277777777779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0.63715277777777779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10528</v>
      </c>
      <c r="K18" s="15">
        <f>L18+10480+11444+11648+11082+10368+10658+11130+11168+12108+9740+10720+10498+11286+11772+11032+11242+10656+11244+5352+8064+11508+10790+11124</f>
        <v>255642</v>
      </c>
      <c r="L18" s="15">
        <f>2605*2+2659*2</f>
        <v>10528</v>
      </c>
      <c r="M18" s="15">
        <f t="shared" si="0"/>
        <v>10528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0.63715277777777779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50000</v>
      </c>
      <c r="J19" s="14">
        <v>10842</v>
      </c>
      <c r="K19" s="15">
        <f>L19+9720+11486+11352+11400</f>
        <v>54800</v>
      </c>
      <c r="L19" s="15">
        <f>2654*2+2767*2</f>
        <v>10842</v>
      </c>
      <c r="M19" s="15">
        <f t="shared" si="0"/>
        <v>10842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0.63715277777777779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124</v>
      </c>
      <c r="D20" s="52" t="s">
        <v>160</v>
      </c>
      <c r="E20" s="53" t="s">
        <v>438</v>
      </c>
      <c r="F20" s="30" t="s">
        <v>143</v>
      </c>
      <c r="G20" s="33">
        <v>1</v>
      </c>
      <c r="H20" s="35">
        <v>24</v>
      </c>
      <c r="I20" s="7">
        <v>1500</v>
      </c>
      <c r="J20" s="14">
        <v>2159</v>
      </c>
      <c r="K20" s="15">
        <f>L20</f>
        <v>2159</v>
      </c>
      <c r="L20" s="15">
        <f>2159</f>
        <v>2159</v>
      </c>
      <c r="M20" s="15">
        <f t="shared" si="0"/>
        <v>2159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/>
      <c r="T20" s="16">
        <v>12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8"/>
        <v>0.5</v>
      </c>
      <c r="AE20" s="36">
        <f t="shared" si="6"/>
        <v>0.63715277777777779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62952</v>
      </c>
      <c r="K21" s="15">
        <f>L21+64424+64620+22548+54104+64632+65016+67504+61284+57732+64780+64192+63920+55712+65444+64496+64864</f>
        <v>1028224</v>
      </c>
      <c r="L21" s="15">
        <f>7916*4+7822*4</f>
        <v>62952</v>
      </c>
      <c r="M21" s="15">
        <f t="shared" si="0"/>
        <v>62952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0.63715277777777779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0.63715277777777779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0.63715277777777779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0.63715277777777779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0.63715277777777779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22144</v>
      </c>
      <c r="K26" s="15">
        <f>L26+20480+24108+23840+23940</f>
        <v>114512</v>
      </c>
      <c r="L26" s="15">
        <f>2960*4+2576*4</f>
        <v>22144</v>
      </c>
      <c r="M26" s="15">
        <f t="shared" si="0"/>
        <v>22144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0.63715277777777779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25512</v>
      </c>
      <c r="K27" s="15">
        <f>L27+22128+27588+27392+27540</f>
        <v>130160</v>
      </c>
      <c r="L27" s="15">
        <f>3437*4+2941*4</f>
        <v>25512</v>
      </c>
      <c r="M27" s="15">
        <f t="shared" si="0"/>
        <v>25512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0.63715277777777779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26652</v>
      </c>
      <c r="K28" s="15">
        <f>L28+18992+29436+29448+29672</f>
        <v>134200</v>
      </c>
      <c r="L28" s="15">
        <f>3695*4+2968*4</f>
        <v>26652</v>
      </c>
      <c r="M28" s="15">
        <f t="shared" si="0"/>
        <v>26652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0.63715277777777779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0.63715277777777779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7115500</v>
      </c>
      <c r="J30" s="19">
        <f t="shared" si="10"/>
        <v>585147</v>
      </c>
      <c r="K30" s="20">
        <f t="shared" si="10"/>
        <v>5226023</v>
      </c>
      <c r="L30" s="21">
        <f t="shared" si="10"/>
        <v>257126</v>
      </c>
      <c r="M30" s="20">
        <f t="shared" si="10"/>
        <v>257126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367</v>
      </c>
      <c r="Q30" s="43">
        <f t="shared" si="11"/>
        <v>209</v>
      </c>
      <c r="R30" s="23">
        <f t="shared" si="11"/>
        <v>0</v>
      </c>
      <c r="S30" s="24">
        <f t="shared" si="11"/>
        <v>11</v>
      </c>
      <c r="T30" s="24">
        <f t="shared" si="11"/>
        <v>12</v>
      </c>
      <c r="U30" s="24">
        <f t="shared" si="11"/>
        <v>0</v>
      </c>
      <c r="V30" s="25">
        <f t="shared" si="11"/>
        <v>48</v>
      </c>
      <c r="W30" s="26">
        <f t="shared" si="11"/>
        <v>90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48</v>
      </c>
      <c r="AB30" s="28">
        <f>AVERAGE(AB6:AB29)</f>
        <v>0.73913043478260865</v>
      </c>
      <c r="AC30" s="4">
        <f>AVERAGE(AC6:AC29)</f>
        <v>0.63715277777777779</v>
      </c>
      <c r="AD30" s="4">
        <f>AVERAGE(AD6:AD29)</f>
        <v>0.63715277777777779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439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446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20" t="s">
        <v>46</v>
      </c>
      <c r="D59" s="220" t="s">
        <v>47</v>
      </c>
      <c r="E59" s="220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20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221" t="s">
        <v>247</v>
      </c>
      <c r="D60" s="221" t="s">
        <v>436</v>
      </c>
      <c r="E60" s="222" t="s">
        <v>411</v>
      </c>
      <c r="F60" s="448" t="s">
        <v>270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27" t="s">
        <v>138</v>
      </c>
      <c r="P60" s="451" t="s">
        <v>157</v>
      </c>
      <c r="Q60" s="452"/>
      <c r="R60" s="451" t="s">
        <v>447</v>
      </c>
      <c r="S60" s="453"/>
      <c r="T60" s="453"/>
      <c r="U60" s="452"/>
      <c r="V60" s="454" t="s">
        <v>407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112</v>
      </c>
      <c r="B61" s="447"/>
      <c r="C61" s="221" t="s">
        <v>205</v>
      </c>
      <c r="D61" s="221" t="s">
        <v>121</v>
      </c>
      <c r="E61" s="222" t="s">
        <v>440</v>
      </c>
      <c r="F61" s="448" t="s">
        <v>441</v>
      </c>
      <c r="G61" s="449"/>
      <c r="H61" s="449"/>
      <c r="I61" s="449"/>
      <c r="J61" s="449"/>
      <c r="K61" s="449"/>
      <c r="L61" s="449"/>
      <c r="M61" s="450"/>
      <c r="N61" s="116" t="s">
        <v>112</v>
      </c>
      <c r="O61" s="227" t="s">
        <v>449</v>
      </c>
      <c r="P61" s="451" t="s">
        <v>414</v>
      </c>
      <c r="Q61" s="452"/>
      <c r="R61" s="451" t="s">
        <v>448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112</v>
      </c>
      <c r="B62" s="447"/>
      <c r="C62" s="221" t="s">
        <v>295</v>
      </c>
      <c r="D62" s="221" t="s">
        <v>142</v>
      </c>
      <c r="E62" s="222" t="s">
        <v>346</v>
      </c>
      <c r="F62" s="448" t="s">
        <v>137</v>
      </c>
      <c r="G62" s="449"/>
      <c r="H62" s="449"/>
      <c r="I62" s="449"/>
      <c r="J62" s="449"/>
      <c r="K62" s="449"/>
      <c r="L62" s="449"/>
      <c r="M62" s="450"/>
      <c r="N62" s="116" t="s">
        <v>451</v>
      </c>
      <c r="O62" s="227" t="s">
        <v>452</v>
      </c>
      <c r="P62" s="451" t="s">
        <v>453</v>
      </c>
      <c r="Q62" s="452"/>
      <c r="R62" s="451" t="s">
        <v>450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124</v>
      </c>
      <c r="B63" s="447"/>
      <c r="C63" s="221" t="s">
        <v>234</v>
      </c>
      <c r="D63" s="221" t="s">
        <v>160</v>
      </c>
      <c r="E63" s="222" t="s">
        <v>438</v>
      </c>
      <c r="F63" s="448" t="s">
        <v>442</v>
      </c>
      <c r="G63" s="449"/>
      <c r="H63" s="449"/>
      <c r="I63" s="449"/>
      <c r="J63" s="449"/>
      <c r="K63" s="449"/>
      <c r="L63" s="449"/>
      <c r="M63" s="450"/>
      <c r="N63" s="116" t="s">
        <v>112</v>
      </c>
      <c r="O63" s="227" t="s">
        <v>456</v>
      </c>
      <c r="P63" s="451" t="s">
        <v>457</v>
      </c>
      <c r="Q63" s="452"/>
      <c r="R63" s="451" t="s">
        <v>454</v>
      </c>
      <c r="S63" s="453"/>
      <c r="T63" s="453"/>
      <c r="U63" s="452"/>
      <c r="V63" s="454" t="s">
        <v>455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221" t="s">
        <v>443</v>
      </c>
      <c r="D64" s="221" t="s">
        <v>404</v>
      </c>
      <c r="E64" s="222" t="s">
        <v>444</v>
      </c>
      <c r="F64" s="448" t="s">
        <v>445</v>
      </c>
      <c r="G64" s="449"/>
      <c r="H64" s="449"/>
      <c r="I64" s="449"/>
      <c r="J64" s="449"/>
      <c r="K64" s="449"/>
      <c r="L64" s="449"/>
      <c r="M64" s="450"/>
      <c r="N64" s="116"/>
      <c r="O64" s="227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221"/>
      <c r="D65" s="221"/>
      <c r="E65" s="222"/>
      <c r="F65" s="448"/>
      <c r="G65" s="449"/>
      <c r="H65" s="449"/>
      <c r="I65" s="449"/>
      <c r="J65" s="449"/>
      <c r="K65" s="449"/>
      <c r="L65" s="449"/>
      <c r="M65" s="450"/>
      <c r="N65" s="116"/>
      <c r="O65" s="227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221"/>
      <c r="D66" s="221"/>
      <c r="E66" s="222"/>
      <c r="F66" s="448"/>
      <c r="G66" s="449"/>
      <c r="H66" s="449"/>
      <c r="I66" s="449"/>
      <c r="J66" s="449"/>
      <c r="K66" s="449"/>
      <c r="L66" s="449"/>
      <c r="M66" s="450"/>
      <c r="N66" s="116"/>
      <c r="O66" s="227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21"/>
      <c r="D67" s="221"/>
      <c r="E67" s="222"/>
      <c r="F67" s="448"/>
      <c r="G67" s="449"/>
      <c r="H67" s="449"/>
      <c r="I67" s="449"/>
      <c r="J67" s="449"/>
      <c r="K67" s="449"/>
      <c r="L67" s="449"/>
      <c r="M67" s="450"/>
      <c r="N67" s="116"/>
      <c r="O67" s="227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21"/>
      <c r="D68" s="221"/>
      <c r="E68" s="222"/>
      <c r="F68" s="448"/>
      <c r="G68" s="449"/>
      <c r="H68" s="449"/>
      <c r="I68" s="449"/>
      <c r="J68" s="449"/>
      <c r="K68" s="449"/>
      <c r="L68" s="449"/>
      <c r="M68" s="450"/>
      <c r="N68" s="116"/>
      <c r="O68" s="227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23"/>
      <c r="D69" s="224"/>
      <c r="E69" s="223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458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25" t="s">
        <v>2</v>
      </c>
      <c r="D71" s="225" t="s">
        <v>37</v>
      </c>
      <c r="E71" s="225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25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164</v>
      </c>
      <c r="D72" s="231"/>
      <c r="E72" s="232"/>
      <c r="F72" s="475" t="s">
        <v>249</v>
      </c>
      <c r="G72" s="476"/>
      <c r="H72" s="476"/>
      <c r="I72" s="476"/>
      <c r="J72" s="476"/>
      <c r="K72" s="476" t="s">
        <v>198</v>
      </c>
      <c r="L72" s="476"/>
      <c r="M72" s="51" t="s">
        <v>246</v>
      </c>
      <c r="N72" s="477" t="s">
        <v>234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451</v>
      </c>
      <c r="D73" s="229"/>
      <c r="E73" s="226" t="s">
        <v>460</v>
      </c>
      <c r="F73" s="481" t="s">
        <v>459</v>
      </c>
      <c r="G73" s="482"/>
      <c r="H73" s="482"/>
      <c r="I73" s="482"/>
      <c r="J73" s="483"/>
      <c r="K73" s="476" t="s">
        <v>461</v>
      </c>
      <c r="L73" s="476"/>
      <c r="M73" s="51" t="s">
        <v>462</v>
      </c>
      <c r="N73" s="477" t="s">
        <v>463</v>
      </c>
      <c r="O73" s="477"/>
      <c r="P73" s="478">
        <v>200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229"/>
      <c r="E74" s="226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229"/>
      <c r="E75" s="226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29"/>
      <c r="E76" s="226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29"/>
      <c r="E77" s="226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29"/>
      <c r="E78" s="226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29"/>
      <c r="E79" s="226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29"/>
      <c r="E80" s="226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29"/>
      <c r="E81" s="226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464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28" t="s">
        <v>2</v>
      </c>
      <c r="D83" s="228" t="s">
        <v>37</v>
      </c>
      <c r="E83" s="228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30"/>
      <c r="D84" s="230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29"/>
      <c r="D85" s="229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29"/>
      <c r="D86" s="229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29"/>
      <c r="D87" s="229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29"/>
      <c r="D88" s="229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29"/>
      <c r="D89" s="229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29"/>
      <c r="D90" s="229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465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EC39-EA3A-459E-BBA2-7F143F37993C}">
  <sheetPr>
    <pageSetUpPr fitToPage="1"/>
  </sheetPr>
  <dimension ref="A1:AF95"/>
  <sheetViews>
    <sheetView view="pageBreakPreview" zoomScale="70" zoomScaleNormal="72" zoomScaleSheetLayoutView="70" workbookViewId="0">
      <selection activeCell="K9" sqref="K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466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33" t="s">
        <v>17</v>
      </c>
      <c r="L5" s="233" t="s">
        <v>18</v>
      </c>
      <c r="M5" s="233" t="s">
        <v>19</v>
      </c>
      <c r="N5" s="23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10340</v>
      </c>
      <c r="K6" s="15">
        <f>L6+10316+11230+10284+10670</f>
        <v>52840</v>
      </c>
      <c r="L6" s="15">
        <f>2801*2+2369*2</f>
        <v>10340</v>
      </c>
      <c r="M6" s="15">
        <f t="shared" ref="M6:M29" si="0">L6-N6</f>
        <v>10340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0.55555555555555547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L7+1053</f>
        <v>1053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0.55555555555555547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120000</v>
      </c>
      <c r="J8" s="14">
        <v>9202</v>
      </c>
      <c r="K8" s="15">
        <f>L8+8168+10878+10884+10350</f>
        <v>49482</v>
      </c>
      <c r="L8" s="15">
        <f>2741*2+1860*2</f>
        <v>9202</v>
      </c>
      <c r="M8" s="15">
        <f t="shared" si="0"/>
        <v>9202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0.55555555555555547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40000</v>
      </c>
      <c r="J9" s="14">
        <v>4502</v>
      </c>
      <c r="K9" s="15">
        <f>L9</f>
        <v>4502</v>
      </c>
      <c r="L9" s="15">
        <f>2254+2248</f>
        <v>4502</v>
      </c>
      <c r="M9" s="15">
        <f t="shared" si="0"/>
        <v>4502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8"/>
        <v>0.875</v>
      </c>
      <c r="AE9" s="36">
        <f t="shared" si="6"/>
        <v>0.55555555555555547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121</v>
      </c>
      <c r="E10" s="53" t="s">
        <v>406</v>
      </c>
      <c r="F10" s="30" t="s">
        <v>437</v>
      </c>
      <c r="G10" s="33">
        <v>2</v>
      </c>
      <c r="H10" s="35">
        <v>24</v>
      </c>
      <c r="I10" s="7">
        <v>30000</v>
      </c>
      <c r="J10" s="14">
        <v>10464</v>
      </c>
      <c r="K10" s="15">
        <f>L10+9568</f>
        <v>20032</v>
      </c>
      <c r="L10" s="15">
        <f>2908*2+2324*2</f>
        <v>10464</v>
      </c>
      <c r="M10" s="15">
        <f t="shared" si="0"/>
        <v>10464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0.55555555555555547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457</v>
      </c>
      <c r="E11" s="53" t="s">
        <v>454</v>
      </c>
      <c r="F11" s="30" t="s">
        <v>360</v>
      </c>
      <c r="G11" s="33">
        <v>1</v>
      </c>
      <c r="H11" s="35">
        <v>24</v>
      </c>
      <c r="I11" s="7">
        <v>150</v>
      </c>
      <c r="J11" s="14">
        <v>355</v>
      </c>
      <c r="K11" s="15">
        <f>L11</f>
        <v>355</v>
      </c>
      <c r="L11" s="15">
        <v>355</v>
      </c>
      <c r="M11" s="15">
        <f t="shared" si="0"/>
        <v>355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8"/>
        <v>0.16666666666666666</v>
      </c>
      <c r="AE11" s="36">
        <f t="shared" si="6"/>
        <v>0.55555555555555547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4574</v>
      </c>
      <c r="K12" s="15">
        <f>L12+4285+4023+4778+4814+4613</f>
        <v>27087</v>
      </c>
      <c r="L12" s="15">
        <f>2424+2150</f>
        <v>4574</v>
      </c>
      <c r="M12" s="15">
        <f t="shared" si="0"/>
        <v>4574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0.55555555555555547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142</v>
      </c>
      <c r="E13" s="53" t="s">
        <v>346</v>
      </c>
      <c r="F13" s="30" t="s">
        <v>360</v>
      </c>
      <c r="G13" s="33">
        <v>4</v>
      </c>
      <c r="H13" s="35">
        <v>22</v>
      </c>
      <c r="I13" s="7">
        <v>100000</v>
      </c>
      <c r="J13" s="14">
        <v>16652</v>
      </c>
      <c r="K13" s="15">
        <f>L13+23900+20228+19588</f>
        <v>80368</v>
      </c>
      <c r="L13" s="15">
        <f>3178*4+985*4</f>
        <v>16652</v>
      </c>
      <c r="M13" s="15">
        <f t="shared" si="0"/>
        <v>16652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8"/>
        <v>0.83333333333333337</v>
      </c>
      <c r="AE13" s="36">
        <f t="shared" si="6"/>
        <v>0.55555555555555547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0.55555555555555547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135</v>
      </c>
      <c r="E15" s="53" t="s">
        <v>448</v>
      </c>
      <c r="F15" s="30" t="s">
        <v>136</v>
      </c>
      <c r="G15" s="12">
        <v>2</v>
      </c>
      <c r="H15" s="13">
        <v>24</v>
      </c>
      <c r="I15" s="31">
        <v>30000</v>
      </c>
      <c r="J15" s="14">
        <v>10468</v>
      </c>
      <c r="K15" s="15">
        <f>L15</f>
        <v>10468</v>
      </c>
      <c r="L15" s="15">
        <f>2239*2+2995*2</f>
        <v>10468</v>
      </c>
      <c r="M15" s="15">
        <f t="shared" si="0"/>
        <v>10468</v>
      </c>
      <c r="N15" s="15">
        <v>0</v>
      </c>
      <c r="O15" s="58">
        <f t="shared" si="1"/>
        <v>0</v>
      </c>
      <c r="P15" s="39">
        <f t="shared" si="2"/>
        <v>23</v>
      </c>
      <c r="Q15" s="40">
        <f t="shared" si="3"/>
        <v>1</v>
      </c>
      <c r="R15" s="7"/>
      <c r="S15" s="6"/>
      <c r="T15" s="16">
        <v>1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0.95833333333333337</v>
      </c>
      <c r="AD15" s="10">
        <f t="shared" si="8"/>
        <v>0.95833333333333337</v>
      </c>
      <c r="AE15" s="36">
        <f t="shared" si="6"/>
        <v>0.55555555555555547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10628</v>
      </c>
      <c r="K16" s="15">
        <f>L16+9350+9873+10572+11420+9694+7670+11372+10884+8431+5890+10900+11458+11552+11940+10862+11588+10714+11420+11054+11778+10788+11600+11484+12810+7446</f>
        <v>273178</v>
      </c>
      <c r="L16" s="15">
        <f>2866*2+2448*2</f>
        <v>10628</v>
      </c>
      <c r="M16" s="15">
        <f t="shared" si="0"/>
        <v>10628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0.55555555555555547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0.55555555555555547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9522</v>
      </c>
      <c r="K18" s="15">
        <f>L18+10480+11444+11648+11082+10368+10658+11130+11168+12108+9740+10720+10498+11286+11772+11032+11242+10656+11244+5352+8064+11508+10790+11124+10528</f>
        <v>265164</v>
      </c>
      <c r="L18" s="15">
        <f>2747*2+2014*2</f>
        <v>9522</v>
      </c>
      <c r="M18" s="15">
        <f t="shared" si="0"/>
        <v>9522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8"/>
        <v>0.875</v>
      </c>
      <c r="AE18" s="36">
        <f t="shared" si="6"/>
        <v>0.55555555555555547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50000</v>
      </c>
      <c r="J19" s="14">
        <v>7716</v>
      </c>
      <c r="K19" s="15">
        <f>L19+9720+11486+11352+11400+10842</f>
        <v>62516</v>
      </c>
      <c r="L19" s="15">
        <f>2899*2+959*2</f>
        <v>7716</v>
      </c>
      <c r="M19" s="15">
        <f t="shared" si="0"/>
        <v>7716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8"/>
        <v>0.75</v>
      </c>
      <c r="AE19" s="36">
        <f t="shared" si="6"/>
        <v>0.55555555555555547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124</v>
      </c>
      <c r="D20" s="52" t="s">
        <v>115</v>
      </c>
      <c r="E20" s="53" t="s">
        <v>450</v>
      </c>
      <c r="F20" s="30" t="s">
        <v>143</v>
      </c>
      <c r="G20" s="33">
        <v>1</v>
      </c>
      <c r="H20" s="35">
        <v>24</v>
      </c>
      <c r="I20" s="7">
        <v>2500</v>
      </c>
      <c r="J20" s="14">
        <v>4068</v>
      </c>
      <c r="K20" s="15">
        <f>L20</f>
        <v>4068</v>
      </c>
      <c r="L20" s="15">
        <f>1616+2452</f>
        <v>4068</v>
      </c>
      <c r="M20" s="15">
        <f t="shared" si="0"/>
        <v>4068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8"/>
        <v>0.875</v>
      </c>
      <c r="AE20" s="36">
        <f t="shared" si="6"/>
        <v>0.55555555555555547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56316</v>
      </c>
      <c r="K21" s="15">
        <f>L21+64424+64620+22548+54104+64632+65016+67504+61284+57732+64780+64192+63920+55712+65444+64496+64864+62952</f>
        <v>1084540</v>
      </c>
      <c r="L21" s="15">
        <f>8168*4+5911*4</f>
        <v>56316</v>
      </c>
      <c r="M21" s="15">
        <f t="shared" si="0"/>
        <v>56316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0.55555555555555547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0.55555555555555547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0.55555555555555547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120000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0.55555555555555547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0.55555555555555547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22144</v>
      </c>
      <c r="K26" s="15">
        <f>L26+20480+24108+23840+23940+22144</f>
        <v>114512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>
        <v>24</v>
      </c>
      <c r="T26" s="16"/>
      <c r="U26" s="16"/>
      <c r="V26" s="114"/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0.55555555555555547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23844</v>
      </c>
      <c r="K27" s="15">
        <f>L27+22128+27588+27392+27540+25512</f>
        <v>154004</v>
      </c>
      <c r="L27" s="15">
        <f>3490*4+2471*4</f>
        <v>23844</v>
      </c>
      <c r="M27" s="15">
        <f t="shared" si="0"/>
        <v>23844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0.55555555555555547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25912</v>
      </c>
      <c r="K28" s="15">
        <f>L28+18992+29436+29448+29672+26652</f>
        <v>160112</v>
      </c>
      <c r="L28" s="15">
        <f>3829*4+2649*4</f>
        <v>25912</v>
      </c>
      <c r="M28" s="15">
        <f t="shared" si="0"/>
        <v>25912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0.55555555555555547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0.55555555555555547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7193450</v>
      </c>
      <c r="J30" s="19">
        <f t="shared" si="10"/>
        <v>555781</v>
      </c>
      <c r="K30" s="20">
        <f t="shared" si="10"/>
        <v>5132264</v>
      </c>
      <c r="L30" s="21">
        <f t="shared" si="10"/>
        <v>204563</v>
      </c>
      <c r="M30" s="20">
        <f t="shared" si="10"/>
        <v>204563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320</v>
      </c>
      <c r="Q30" s="43">
        <f t="shared" si="11"/>
        <v>256</v>
      </c>
      <c r="R30" s="23">
        <f t="shared" si="11"/>
        <v>0</v>
      </c>
      <c r="S30" s="24">
        <f t="shared" si="11"/>
        <v>43</v>
      </c>
      <c r="T30" s="24">
        <f t="shared" si="11"/>
        <v>1</v>
      </c>
      <c r="U30" s="24">
        <f t="shared" si="11"/>
        <v>0</v>
      </c>
      <c r="V30" s="25">
        <f t="shared" si="11"/>
        <v>48</v>
      </c>
      <c r="W30" s="26">
        <f t="shared" si="11"/>
        <v>116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48</v>
      </c>
      <c r="AB30" s="28">
        <f>AVERAGE(AB6:AB29)</f>
        <v>0.65217391304347827</v>
      </c>
      <c r="AC30" s="4">
        <f>AVERAGE(AC6:AC29)</f>
        <v>0.55555555555555547</v>
      </c>
      <c r="AD30" s="4">
        <f>AVERAGE(AD6:AD29)</f>
        <v>0.55555555555555547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467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476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34" t="s">
        <v>46</v>
      </c>
      <c r="D59" s="234" t="s">
        <v>47</v>
      </c>
      <c r="E59" s="234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34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124</v>
      </c>
      <c r="B60" s="447"/>
      <c r="C60" s="235" t="s">
        <v>158</v>
      </c>
      <c r="D60" s="235" t="s">
        <v>142</v>
      </c>
      <c r="E60" s="236" t="s">
        <v>297</v>
      </c>
      <c r="F60" s="448" t="s">
        <v>468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41" t="s">
        <v>234</v>
      </c>
      <c r="P60" s="451" t="s">
        <v>115</v>
      </c>
      <c r="Q60" s="452"/>
      <c r="R60" s="451" t="s">
        <v>477</v>
      </c>
      <c r="S60" s="453"/>
      <c r="T60" s="453"/>
      <c r="U60" s="452"/>
      <c r="V60" s="454" t="s">
        <v>146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235" t="s">
        <v>138</v>
      </c>
      <c r="D61" s="235" t="s">
        <v>157</v>
      </c>
      <c r="E61" s="236" t="s">
        <v>447</v>
      </c>
      <c r="F61" s="448" t="s">
        <v>203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241" t="s">
        <v>324</v>
      </c>
      <c r="P61" s="451" t="s">
        <v>115</v>
      </c>
      <c r="Q61" s="452"/>
      <c r="R61" s="451" t="s">
        <v>169</v>
      </c>
      <c r="S61" s="453"/>
      <c r="T61" s="453"/>
      <c r="U61" s="452"/>
      <c r="V61" s="454" t="s">
        <v>445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112</v>
      </c>
      <c r="B62" s="447"/>
      <c r="C62" s="235" t="s">
        <v>295</v>
      </c>
      <c r="D62" s="235" t="s">
        <v>142</v>
      </c>
      <c r="E62" s="236" t="s">
        <v>346</v>
      </c>
      <c r="F62" s="448" t="s">
        <v>445</v>
      </c>
      <c r="G62" s="449"/>
      <c r="H62" s="449"/>
      <c r="I62" s="449"/>
      <c r="J62" s="449"/>
      <c r="K62" s="449"/>
      <c r="L62" s="449"/>
      <c r="M62" s="450"/>
      <c r="N62" s="116"/>
      <c r="O62" s="241"/>
      <c r="P62" s="451"/>
      <c r="Q62" s="452"/>
      <c r="R62" s="451"/>
      <c r="S62" s="453"/>
      <c r="T62" s="453"/>
      <c r="U62" s="452"/>
      <c r="V62" s="454"/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124</v>
      </c>
      <c r="B63" s="447"/>
      <c r="C63" s="235" t="s">
        <v>234</v>
      </c>
      <c r="D63" s="235" t="s">
        <v>115</v>
      </c>
      <c r="E63" s="236" t="s">
        <v>450</v>
      </c>
      <c r="F63" s="448" t="s">
        <v>442</v>
      </c>
      <c r="G63" s="449"/>
      <c r="H63" s="449"/>
      <c r="I63" s="449"/>
      <c r="J63" s="449"/>
      <c r="K63" s="449"/>
      <c r="L63" s="449"/>
      <c r="M63" s="450"/>
      <c r="N63" s="116"/>
      <c r="O63" s="241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235" t="s">
        <v>231</v>
      </c>
      <c r="D64" s="235" t="s">
        <v>115</v>
      </c>
      <c r="E64" s="236" t="s">
        <v>168</v>
      </c>
      <c r="F64" s="448" t="s">
        <v>282</v>
      </c>
      <c r="G64" s="449"/>
      <c r="H64" s="449"/>
      <c r="I64" s="449"/>
      <c r="J64" s="449"/>
      <c r="K64" s="449"/>
      <c r="L64" s="449"/>
      <c r="M64" s="450"/>
      <c r="N64" s="116"/>
      <c r="O64" s="241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112</v>
      </c>
      <c r="B65" s="447"/>
      <c r="C65" s="235" t="s">
        <v>469</v>
      </c>
      <c r="D65" s="235" t="s">
        <v>470</v>
      </c>
      <c r="E65" s="236" t="s">
        <v>471</v>
      </c>
      <c r="F65" s="448" t="s">
        <v>472</v>
      </c>
      <c r="G65" s="449"/>
      <c r="H65" s="449"/>
      <c r="I65" s="449"/>
      <c r="J65" s="449"/>
      <c r="K65" s="449"/>
      <c r="L65" s="449"/>
      <c r="M65" s="450"/>
      <c r="N65" s="116"/>
      <c r="O65" s="241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112</v>
      </c>
      <c r="B66" s="447"/>
      <c r="C66" s="235" t="s">
        <v>474</v>
      </c>
      <c r="D66" s="235" t="s">
        <v>475</v>
      </c>
      <c r="E66" s="236" t="s">
        <v>473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/>
      <c r="O66" s="241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35"/>
      <c r="D67" s="235"/>
      <c r="E67" s="236"/>
      <c r="F67" s="448"/>
      <c r="G67" s="449"/>
      <c r="H67" s="449"/>
      <c r="I67" s="449"/>
      <c r="J67" s="449"/>
      <c r="K67" s="449"/>
      <c r="L67" s="449"/>
      <c r="M67" s="450"/>
      <c r="N67" s="116"/>
      <c r="O67" s="241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35"/>
      <c r="D68" s="235"/>
      <c r="E68" s="236"/>
      <c r="F68" s="448"/>
      <c r="G68" s="449"/>
      <c r="H68" s="449"/>
      <c r="I68" s="449"/>
      <c r="J68" s="449"/>
      <c r="K68" s="449"/>
      <c r="L68" s="449"/>
      <c r="M68" s="450"/>
      <c r="N68" s="116"/>
      <c r="O68" s="241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37"/>
      <c r="D69" s="238"/>
      <c r="E69" s="237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478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39" t="s">
        <v>2</v>
      </c>
      <c r="D71" s="239" t="s">
        <v>37</v>
      </c>
      <c r="E71" s="239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39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481</v>
      </c>
      <c r="D72" s="243"/>
      <c r="E72" s="240" t="s">
        <v>482</v>
      </c>
      <c r="F72" s="475" t="s">
        <v>479</v>
      </c>
      <c r="G72" s="476"/>
      <c r="H72" s="476"/>
      <c r="I72" s="476"/>
      <c r="J72" s="476"/>
      <c r="K72" s="476">
        <v>8301</v>
      </c>
      <c r="L72" s="476"/>
      <c r="M72" s="51" t="s">
        <v>483</v>
      </c>
      <c r="N72" s="477" t="s">
        <v>484</v>
      </c>
      <c r="O72" s="477"/>
      <c r="P72" s="478">
        <v>50</v>
      </c>
      <c r="Q72" s="478"/>
      <c r="R72" s="479" t="s">
        <v>485</v>
      </c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486</v>
      </c>
      <c r="D73" s="243"/>
      <c r="E73" s="240" t="s">
        <v>487</v>
      </c>
      <c r="F73" s="481" t="s">
        <v>480</v>
      </c>
      <c r="G73" s="482"/>
      <c r="H73" s="482"/>
      <c r="I73" s="482"/>
      <c r="J73" s="483"/>
      <c r="K73" s="476" t="s">
        <v>488</v>
      </c>
      <c r="L73" s="476"/>
      <c r="M73" s="51" t="s">
        <v>483</v>
      </c>
      <c r="N73" s="477" t="s">
        <v>469</v>
      </c>
      <c r="O73" s="477"/>
      <c r="P73" s="478"/>
      <c r="Q73" s="478"/>
      <c r="R73" s="479" t="s">
        <v>489</v>
      </c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243"/>
      <c r="E74" s="240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243"/>
      <c r="E75" s="240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43"/>
      <c r="E76" s="240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43"/>
      <c r="E77" s="240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43"/>
      <c r="E78" s="240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43"/>
      <c r="E79" s="240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43"/>
      <c r="E80" s="240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43"/>
      <c r="E81" s="240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490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42" t="s">
        <v>2</v>
      </c>
      <c r="D83" s="242" t="s">
        <v>37</v>
      </c>
      <c r="E83" s="242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44"/>
      <c r="D84" s="244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43"/>
      <c r="D85" s="243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43"/>
      <c r="D86" s="243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43"/>
      <c r="D87" s="243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43"/>
      <c r="D88" s="243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43"/>
      <c r="D89" s="243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43"/>
      <c r="D90" s="243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491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40DF-B0B8-4DD9-9216-684F3ABC8380}">
  <sheetPr>
    <pageSetUpPr fitToPage="1"/>
  </sheetPr>
  <dimension ref="A1:AF95"/>
  <sheetViews>
    <sheetView view="pageBreakPreview" zoomScale="70" zoomScaleNormal="72" zoomScaleSheetLayoutView="70" workbookViewId="0">
      <selection activeCell="F65" sqref="F65:M6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492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56" t="s">
        <v>17</v>
      </c>
      <c r="L5" s="256" t="s">
        <v>18</v>
      </c>
      <c r="M5" s="256" t="s">
        <v>19</v>
      </c>
      <c r="N5" s="2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11054</v>
      </c>
      <c r="K6" s="15">
        <f>L6+10316+11230+10284+10670+10340</f>
        <v>63894</v>
      </c>
      <c r="L6" s="15">
        <f>2784*2+2743*2</f>
        <v>11054</v>
      </c>
      <c r="M6" s="15">
        <f t="shared" ref="M6:M29" si="0">L6-N6</f>
        <v>11054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0.56423611111111105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L7+1053</f>
        <v>1053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0.56423611111111105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120000</v>
      </c>
      <c r="J8" s="14">
        <v>10794</v>
      </c>
      <c r="K8" s="15">
        <f>L8+8168+10878+10884+10350+9202</f>
        <v>60276</v>
      </c>
      <c r="L8" s="15">
        <f>2726*2+2671*2</f>
        <v>10794</v>
      </c>
      <c r="M8" s="15">
        <f t="shared" si="0"/>
        <v>10794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0.56423611111111105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2420</v>
      </c>
      <c r="K9" s="15">
        <f>L9</f>
        <v>2420</v>
      </c>
      <c r="L9" s="15">
        <f>1756+664</f>
        <v>2420</v>
      </c>
      <c r="M9" s="15">
        <f t="shared" si="0"/>
        <v>2420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8"/>
        <v>0.5</v>
      </c>
      <c r="AE9" s="36">
        <f t="shared" si="6"/>
        <v>0.56423611111111105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121</v>
      </c>
      <c r="E10" s="53" t="s">
        <v>406</v>
      </c>
      <c r="F10" s="30" t="s">
        <v>437</v>
      </c>
      <c r="G10" s="33">
        <v>2</v>
      </c>
      <c r="H10" s="35">
        <v>24</v>
      </c>
      <c r="I10" s="7">
        <v>30000</v>
      </c>
      <c r="J10" s="14">
        <v>11332</v>
      </c>
      <c r="K10" s="15">
        <f>L10+9568+10464</f>
        <v>31364</v>
      </c>
      <c r="L10" s="15">
        <f>2887*2+2779*2</f>
        <v>11332</v>
      </c>
      <c r="M10" s="15">
        <f t="shared" si="0"/>
        <v>11332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0.56423611111111105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457</v>
      </c>
      <c r="E11" s="53" t="s">
        <v>454</v>
      </c>
      <c r="F11" s="30" t="s">
        <v>360</v>
      </c>
      <c r="G11" s="33">
        <v>1</v>
      </c>
      <c r="H11" s="35">
        <v>24</v>
      </c>
      <c r="I11" s="7">
        <v>150</v>
      </c>
      <c r="J11" s="14">
        <v>355</v>
      </c>
      <c r="K11" s="15">
        <f>L11+355</f>
        <v>355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0.56423611111111105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307</v>
      </c>
      <c r="F12" s="30" t="s">
        <v>147</v>
      </c>
      <c r="G12" s="12">
        <v>1</v>
      </c>
      <c r="H12" s="13">
        <v>22</v>
      </c>
      <c r="I12" s="31">
        <v>20000</v>
      </c>
      <c r="J12" s="5">
        <v>4649</v>
      </c>
      <c r="K12" s="15">
        <f>L12+4285+4023+4778+4814+4613+4574</f>
        <v>31736</v>
      </c>
      <c r="L12" s="15">
        <f>2285+2364</f>
        <v>4649</v>
      </c>
      <c r="M12" s="15">
        <f t="shared" si="0"/>
        <v>4649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0.56423611111111105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142</v>
      </c>
      <c r="E13" s="53" t="s">
        <v>346</v>
      </c>
      <c r="F13" s="30" t="s">
        <v>360</v>
      </c>
      <c r="G13" s="33">
        <v>4</v>
      </c>
      <c r="H13" s="35">
        <v>22</v>
      </c>
      <c r="I13" s="7">
        <v>100000</v>
      </c>
      <c r="J13" s="14">
        <v>23272</v>
      </c>
      <c r="K13" s="15">
        <f>L13+23900+20228+19588+16652</f>
        <v>103640</v>
      </c>
      <c r="L13" s="15">
        <f>2716*4+3102*4</f>
        <v>23272</v>
      </c>
      <c r="M13" s="15">
        <f t="shared" si="0"/>
        <v>23272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0.56423611111111105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0.56423611111111105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135</v>
      </c>
      <c r="E15" s="53" t="s">
        <v>448</v>
      </c>
      <c r="F15" s="30" t="s">
        <v>136</v>
      </c>
      <c r="G15" s="12">
        <v>2</v>
      </c>
      <c r="H15" s="13">
        <v>24</v>
      </c>
      <c r="I15" s="31">
        <v>30000</v>
      </c>
      <c r="J15" s="14">
        <v>11782</v>
      </c>
      <c r="K15" s="15">
        <f>L15+10468</f>
        <v>22250</v>
      </c>
      <c r="L15" s="15">
        <f>2917*2+2974*2</f>
        <v>11782</v>
      </c>
      <c r="M15" s="15">
        <f t="shared" si="0"/>
        <v>11782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0.56423611111111105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11352</v>
      </c>
      <c r="K16" s="15">
        <f>L16+9350+9873+10572+11420+9694+7670+11372+10884+8431+5890+10900+11458+11552+11940+10862+11588+10714+11420+11054+11778+10788+11600+11484+12810+7446+10628</f>
        <v>284530</v>
      </c>
      <c r="L16" s="15">
        <f>2862*2+2814*2</f>
        <v>11352</v>
      </c>
      <c r="M16" s="15">
        <f t="shared" si="0"/>
        <v>11352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0.56423611111111105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0.56423611111111105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10822</v>
      </c>
      <c r="K18" s="15">
        <f>L18+10480+11444+11648+11082+10368+10658+11130+11168+12108+9740+10720+10498+11286+11772+11032+11242+10656+11244+5352+8064+11508+10790+11124+10528+9522</f>
        <v>275986</v>
      </c>
      <c r="L18" s="15">
        <f>2769*2+2642*2</f>
        <v>10822</v>
      </c>
      <c r="M18" s="15">
        <f t="shared" si="0"/>
        <v>10822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0.56423611111111105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11382</v>
      </c>
      <c r="K19" s="15">
        <f>L19+9720+11486+11352+11400+10842+7716</f>
        <v>73898</v>
      </c>
      <c r="L19" s="15">
        <f>2875*2+2816*2</f>
        <v>11382</v>
      </c>
      <c r="M19" s="15">
        <f t="shared" si="0"/>
        <v>11382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0.56423611111111105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135</v>
      </c>
      <c r="E20" s="53" t="s">
        <v>493</v>
      </c>
      <c r="F20" s="30" t="s">
        <v>143</v>
      </c>
      <c r="G20" s="33">
        <v>1</v>
      </c>
      <c r="H20" s="35">
        <v>24</v>
      </c>
      <c r="I20" s="7">
        <v>3000</v>
      </c>
      <c r="J20" s="14">
        <v>686</v>
      </c>
      <c r="K20" s="15">
        <f>L20</f>
        <v>686</v>
      </c>
      <c r="L20" s="15">
        <f>51+635</f>
        <v>686</v>
      </c>
      <c r="M20" s="15">
        <f t="shared" si="0"/>
        <v>686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20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8"/>
        <v>0.16666666666666666</v>
      </c>
      <c r="AE20" s="36">
        <f t="shared" si="6"/>
        <v>0.56423611111111105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64508</v>
      </c>
      <c r="K21" s="15">
        <f>L21+64424+64620+22548+54104+64632+65016+67504+61284+57732+64780+64192+63920+55712+65444+64496+64864+62952+56316</f>
        <v>1149048</v>
      </c>
      <c r="L21" s="15">
        <f>7976*4+8151*4</f>
        <v>64508</v>
      </c>
      <c r="M21" s="15">
        <f t="shared" si="0"/>
        <v>64508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0.56423611111111105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0.56423611111111105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0.56423611111111105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120000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0.56423611111111105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0.56423611111111105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3</v>
      </c>
      <c r="H26" s="35">
        <v>20</v>
      </c>
      <c r="I26" s="7">
        <f>180000+150000</f>
        <v>330000</v>
      </c>
      <c r="J26" s="14">
        <v>18434</v>
      </c>
      <c r="K26" s="15">
        <f>L26+20480+24108+23840+23940+22144</f>
        <v>132946</v>
      </c>
      <c r="L26" s="15">
        <f>2555*4+2738*3</f>
        <v>18434</v>
      </c>
      <c r="M26" s="15">
        <f t="shared" si="0"/>
        <v>18434</v>
      </c>
      <c r="N26" s="15">
        <v>0</v>
      </c>
      <c r="O26" s="58">
        <f t="shared" si="1"/>
        <v>0</v>
      </c>
      <c r="P26" s="39">
        <f t="shared" si="2"/>
        <v>21</v>
      </c>
      <c r="Q26" s="40">
        <f t="shared" si="3"/>
        <v>3</v>
      </c>
      <c r="R26" s="7"/>
      <c r="S26" s="6">
        <v>3</v>
      </c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0.875</v>
      </c>
      <c r="AD26" s="10">
        <f t="shared" si="8"/>
        <v>0.875</v>
      </c>
      <c r="AE26" s="36">
        <f t="shared" si="6"/>
        <v>0.56423611111111105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27296</v>
      </c>
      <c r="K27" s="15">
        <f>L27+22128+27588+27392+27540+25512+23844</f>
        <v>181300</v>
      </c>
      <c r="L27" s="15">
        <f>3271*4+3553*4</f>
        <v>27296</v>
      </c>
      <c r="M27" s="15">
        <f t="shared" si="0"/>
        <v>27296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0.56423611111111105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29256</v>
      </c>
      <c r="K28" s="15">
        <f>L28+18992+29436+29448+29672+26652+25912</f>
        <v>189368</v>
      </c>
      <c r="L28" s="15">
        <f>3498*4+3816*4</f>
        <v>29256</v>
      </c>
      <c r="M28" s="15">
        <f t="shared" si="0"/>
        <v>29256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0.56423611111111105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0.56423611111111105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7245950</v>
      </c>
      <c r="J30" s="19">
        <f t="shared" si="10"/>
        <v>578468</v>
      </c>
      <c r="K30" s="20">
        <f t="shared" si="10"/>
        <v>5372733</v>
      </c>
      <c r="L30" s="21">
        <f t="shared" si="10"/>
        <v>249039</v>
      </c>
      <c r="M30" s="20">
        <f t="shared" si="10"/>
        <v>249039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325</v>
      </c>
      <c r="Q30" s="43">
        <f t="shared" si="11"/>
        <v>251</v>
      </c>
      <c r="R30" s="23">
        <f t="shared" si="11"/>
        <v>0</v>
      </c>
      <c r="S30" s="24">
        <f t="shared" si="11"/>
        <v>35</v>
      </c>
      <c r="T30" s="24">
        <f t="shared" si="11"/>
        <v>0</v>
      </c>
      <c r="U30" s="24">
        <f t="shared" si="11"/>
        <v>0</v>
      </c>
      <c r="V30" s="25">
        <f t="shared" si="11"/>
        <v>48</v>
      </c>
      <c r="W30" s="26">
        <f t="shared" si="11"/>
        <v>96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72</v>
      </c>
      <c r="AB30" s="28">
        <f>AVERAGE(AB6:AB29)</f>
        <v>0.65217391304347827</v>
      </c>
      <c r="AC30" s="4">
        <f>AVERAGE(AC6:AC29)</f>
        <v>0.56423611111111105</v>
      </c>
      <c r="AD30" s="4">
        <f>AVERAGE(AD6:AD29)</f>
        <v>0.56423611111111105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494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502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55" t="s">
        <v>46</v>
      </c>
      <c r="D59" s="255" t="s">
        <v>47</v>
      </c>
      <c r="E59" s="255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55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259" t="s">
        <v>138</v>
      </c>
      <c r="D60" s="259" t="s">
        <v>157</v>
      </c>
      <c r="E60" s="260" t="s">
        <v>447</v>
      </c>
      <c r="F60" s="448" t="s">
        <v>495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49" t="s">
        <v>234</v>
      </c>
      <c r="P60" s="451" t="s">
        <v>135</v>
      </c>
      <c r="Q60" s="452"/>
      <c r="R60" s="451" t="s">
        <v>496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251" t="s">
        <v>234</v>
      </c>
      <c r="D61" s="251" t="s">
        <v>135</v>
      </c>
      <c r="E61" s="252" t="s">
        <v>496</v>
      </c>
      <c r="F61" s="448" t="s">
        <v>497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249" t="s">
        <v>324</v>
      </c>
      <c r="P61" s="451" t="s">
        <v>115</v>
      </c>
      <c r="Q61" s="452"/>
      <c r="R61" s="451" t="s">
        <v>169</v>
      </c>
      <c r="S61" s="453"/>
      <c r="T61" s="453"/>
      <c r="U61" s="452"/>
      <c r="V61" s="454" t="s">
        <v>137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251" t="s">
        <v>499</v>
      </c>
      <c r="D62" s="251" t="s">
        <v>500</v>
      </c>
      <c r="E62" s="252" t="s">
        <v>498</v>
      </c>
      <c r="F62" s="448" t="s">
        <v>501</v>
      </c>
      <c r="G62" s="449"/>
      <c r="H62" s="449"/>
      <c r="I62" s="449"/>
      <c r="J62" s="449"/>
      <c r="K62" s="449"/>
      <c r="L62" s="449"/>
      <c r="M62" s="450"/>
      <c r="N62" s="116" t="s">
        <v>116</v>
      </c>
      <c r="O62" s="249" t="s">
        <v>505</v>
      </c>
      <c r="P62" s="451" t="s">
        <v>115</v>
      </c>
      <c r="Q62" s="452"/>
      <c r="R62" s="451" t="s">
        <v>503</v>
      </c>
      <c r="S62" s="453"/>
      <c r="T62" s="453"/>
      <c r="U62" s="452"/>
      <c r="V62" s="454" t="s">
        <v>504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/>
      <c r="B63" s="447"/>
      <c r="C63" s="251"/>
      <c r="D63" s="251"/>
      <c r="E63" s="252"/>
      <c r="F63" s="448"/>
      <c r="G63" s="449"/>
      <c r="H63" s="449"/>
      <c r="I63" s="449"/>
      <c r="J63" s="449"/>
      <c r="K63" s="449"/>
      <c r="L63" s="449"/>
      <c r="M63" s="450"/>
      <c r="N63" s="116"/>
      <c r="O63" s="249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/>
      <c r="B64" s="447"/>
      <c r="C64" s="251"/>
      <c r="D64" s="251"/>
      <c r="E64" s="252"/>
      <c r="F64" s="448"/>
      <c r="G64" s="449"/>
      <c r="H64" s="449"/>
      <c r="I64" s="449"/>
      <c r="J64" s="449"/>
      <c r="K64" s="449"/>
      <c r="L64" s="449"/>
      <c r="M64" s="450"/>
      <c r="N64" s="116"/>
      <c r="O64" s="249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251"/>
      <c r="D65" s="251"/>
      <c r="E65" s="252"/>
      <c r="F65" s="448"/>
      <c r="G65" s="449"/>
      <c r="H65" s="449"/>
      <c r="I65" s="449"/>
      <c r="J65" s="449"/>
      <c r="K65" s="449"/>
      <c r="L65" s="449"/>
      <c r="M65" s="450"/>
      <c r="N65" s="116"/>
      <c r="O65" s="249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251"/>
      <c r="D66" s="251"/>
      <c r="E66" s="252"/>
      <c r="F66" s="448"/>
      <c r="G66" s="449"/>
      <c r="H66" s="449"/>
      <c r="I66" s="449"/>
      <c r="J66" s="449"/>
      <c r="K66" s="449"/>
      <c r="L66" s="449"/>
      <c r="M66" s="450"/>
      <c r="N66" s="116"/>
      <c r="O66" s="249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51"/>
      <c r="D67" s="251"/>
      <c r="E67" s="252"/>
      <c r="F67" s="448"/>
      <c r="G67" s="449"/>
      <c r="H67" s="449"/>
      <c r="I67" s="449"/>
      <c r="J67" s="449"/>
      <c r="K67" s="449"/>
      <c r="L67" s="449"/>
      <c r="M67" s="450"/>
      <c r="N67" s="116"/>
      <c r="O67" s="249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51"/>
      <c r="D68" s="251"/>
      <c r="E68" s="252"/>
      <c r="F68" s="448"/>
      <c r="G68" s="449"/>
      <c r="H68" s="449"/>
      <c r="I68" s="449"/>
      <c r="J68" s="449"/>
      <c r="K68" s="449"/>
      <c r="L68" s="449"/>
      <c r="M68" s="450"/>
      <c r="N68" s="116"/>
      <c r="O68" s="249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53"/>
      <c r="D69" s="254"/>
      <c r="E69" s="253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506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50" t="s">
        <v>2</v>
      </c>
      <c r="D71" s="250" t="s">
        <v>37</v>
      </c>
      <c r="E71" s="250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50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245"/>
      <c r="E72" s="248" t="s">
        <v>135</v>
      </c>
      <c r="F72" s="475" t="s">
        <v>508</v>
      </c>
      <c r="G72" s="476"/>
      <c r="H72" s="476"/>
      <c r="I72" s="476"/>
      <c r="J72" s="476"/>
      <c r="K72" s="476" t="s">
        <v>507</v>
      </c>
      <c r="L72" s="476"/>
      <c r="M72" s="51" t="s">
        <v>483</v>
      </c>
      <c r="N72" s="477" t="s">
        <v>484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486</v>
      </c>
      <c r="D73" s="245"/>
      <c r="E73" s="248" t="s">
        <v>487</v>
      </c>
      <c r="F73" s="481" t="s">
        <v>480</v>
      </c>
      <c r="G73" s="482"/>
      <c r="H73" s="482"/>
      <c r="I73" s="482"/>
      <c r="J73" s="483"/>
      <c r="K73" s="476" t="s">
        <v>488</v>
      </c>
      <c r="L73" s="476"/>
      <c r="M73" s="51" t="s">
        <v>483</v>
      </c>
      <c r="N73" s="477" t="s">
        <v>469</v>
      </c>
      <c r="O73" s="477"/>
      <c r="P73" s="478">
        <v>100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 t="s">
        <v>116</v>
      </c>
      <c r="D74" s="245"/>
      <c r="E74" s="248" t="s">
        <v>511</v>
      </c>
      <c r="F74" s="475" t="s">
        <v>509</v>
      </c>
      <c r="G74" s="476"/>
      <c r="H74" s="476"/>
      <c r="I74" s="476"/>
      <c r="J74" s="476"/>
      <c r="K74" s="476" t="s">
        <v>510</v>
      </c>
      <c r="L74" s="476"/>
      <c r="M74" s="51" t="s">
        <v>260</v>
      </c>
      <c r="N74" s="477" t="s">
        <v>148</v>
      </c>
      <c r="O74" s="477"/>
      <c r="P74" s="478">
        <v>300</v>
      </c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 t="s">
        <v>116</v>
      </c>
      <c r="D75" s="245"/>
      <c r="E75" s="248" t="s">
        <v>500</v>
      </c>
      <c r="F75" s="481" t="s">
        <v>514</v>
      </c>
      <c r="G75" s="482"/>
      <c r="H75" s="482"/>
      <c r="I75" s="482"/>
      <c r="J75" s="483"/>
      <c r="K75" s="476">
        <v>7301</v>
      </c>
      <c r="L75" s="476"/>
      <c r="M75" s="51" t="s">
        <v>515</v>
      </c>
      <c r="N75" s="477" t="s">
        <v>516</v>
      </c>
      <c r="O75" s="477"/>
      <c r="P75" s="478">
        <v>50</v>
      </c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45"/>
      <c r="E76" s="248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45"/>
      <c r="E77" s="248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45"/>
      <c r="E78" s="248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45"/>
      <c r="E79" s="248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45"/>
      <c r="E80" s="248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45"/>
      <c r="E81" s="248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512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47" t="s">
        <v>2</v>
      </c>
      <c r="D83" s="247" t="s">
        <v>37</v>
      </c>
      <c r="E83" s="247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46"/>
      <c r="D84" s="246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45"/>
      <c r="D85" s="245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45"/>
      <c r="D86" s="245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45"/>
      <c r="D87" s="245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45"/>
      <c r="D88" s="245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45"/>
      <c r="D89" s="245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45"/>
      <c r="D90" s="245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513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82D5-BE1A-4F0A-8591-74F001CF3F2F}">
  <sheetPr>
    <pageSetUpPr fitToPage="1"/>
  </sheetPr>
  <dimension ref="A1:AF95"/>
  <sheetViews>
    <sheetView view="pageBreakPreview" zoomScale="70" zoomScaleNormal="72" zoomScaleSheetLayoutView="70" workbookViewId="0">
      <selection activeCell="B12" sqref="B12:L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517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57" t="s">
        <v>17</v>
      </c>
      <c r="L5" s="257" t="s">
        <v>18</v>
      </c>
      <c r="M5" s="257" t="s">
        <v>19</v>
      </c>
      <c r="N5" s="25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11138</v>
      </c>
      <c r="K6" s="15">
        <f>L6+10316+11230+10284+10670+10340+11054</f>
        <v>75032</v>
      </c>
      <c r="L6" s="15">
        <f>2797*2+2772*2</f>
        <v>11138</v>
      </c>
      <c r="M6" s="15">
        <f t="shared" ref="M6:M29" si="0">L6-N6</f>
        <v>11138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0.578125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L7+1053</f>
        <v>1053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0.578125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120000</v>
      </c>
      <c r="J8" s="14">
        <v>10918</v>
      </c>
      <c r="K8" s="15">
        <f>L8+8168+10878+10884+10350+9202+10794</f>
        <v>71194</v>
      </c>
      <c r="L8" s="15">
        <f>2747*2+2712*2</f>
        <v>10918</v>
      </c>
      <c r="M8" s="15">
        <f t="shared" si="0"/>
        <v>10918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0.578125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3622</v>
      </c>
      <c r="K9" s="15">
        <f>L9+2420</f>
        <v>6042</v>
      </c>
      <c r="L9" s="15">
        <f>1482+2140</f>
        <v>3622</v>
      </c>
      <c r="M9" s="15">
        <f t="shared" si="0"/>
        <v>3622</v>
      </c>
      <c r="N9" s="15">
        <v>0</v>
      </c>
      <c r="O9" s="58">
        <f t="shared" si="1"/>
        <v>0</v>
      </c>
      <c r="P9" s="39">
        <f t="shared" si="2"/>
        <v>15</v>
      </c>
      <c r="Q9" s="40">
        <f t="shared" si="3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0.625</v>
      </c>
      <c r="AD9" s="10">
        <f t="shared" si="8"/>
        <v>0.625</v>
      </c>
      <c r="AE9" s="36">
        <f t="shared" si="6"/>
        <v>0.578125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121</v>
      </c>
      <c r="E10" s="53" t="s">
        <v>406</v>
      </c>
      <c r="F10" s="30" t="s">
        <v>437</v>
      </c>
      <c r="G10" s="33">
        <v>2</v>
      </c>
      <c r="H10" s="35">
        <v>24</v>
      </c>
      <c r="I10" s="7">
        <v>30000</v>
      </c>
      <c r="J10" s="14">
        <v>11472</v>
      </c>
      <c r="K10" s="15">
        <f>L10+9568+10464+11332</f>
        <v>42836</v>
      </c>
      <c r="L10" s="15">
        <f>2877*2+2859*2</f>
        <v>11472</v>
      </c>
      <c r="M10" s="15">
        <f t="shared" si="0"/>
        <v>11472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0.578125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457</v>
      </c>
      <c r="E11" s="53" t="s">
        <v>454</v>
      </c>
      <c r="F11" s="30" t="s">
        <v>360</v>
      </c>
      <c r="G11" s="33">
        <v>1</v>
      </c>
      <c r="H11" s="35">
        <v>24</v>
      </c>
      <c r="I11" s="7">
        <v>150</v>
      </c>
      <c r="J11" s="14">
        <v>355</v>
      </c>
      <c r="K11" s="15">
        <f>L11+355</f>
        <v>355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0.578125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518</v>
      </c>
      <c r="F12" s="30" t="s">
        <v>147</v>
      </c>
      <c r="G12" s="12">
        <v>2</v>
      </c>
      <c r="H12" s="13">
        <v>22</v>
      </c>
      <c r="I12" s="31">
        <v>230000</v>
      </c>
      <c r="J12" s="5">
        <v>9010</v>
      </c>
      <c r="K12" s="15">
        <f>L12</f>
        <v>9010</v>
      </c>
      <c r="L12" s="15">
        <f>2079*2+2426*2</f>
        <v>9010</v>
      </c>
      <c r="M12" s="15">
        <f t="shared" si="0"/>
        <v>9010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0.578125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142</v>
      </c>
      <c r="E13" s="53" t="s">
        <v>346</v>
      </c>
      <c r="F13" s="30" t="s">
        <v>360</v>
      </c>
      <c r="G13" s="33">
        <v>4</v>
      </c>
      <c r="H13" s="35">
        <v>22</v>
      </c>
      <c r="I13" s="7">
        <v>100000</v>
      </c>
      <c r="J13" s="14">
        <v>22808</v>
      </c>
      <c r="K13" s="15">
        <f>L13+23900+20228+19588+16652+23272</f>
        <v>126448</v>
      </c>
      <c r="L13" s="15">
        <f>2545*4+3157*4</f>
        <v>22808</v>
      </c>
      <c r="M13" s="15">
        <f t="shared" si="0"/>
        <v>22808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0.578125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0.578125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135</v>
      </c>
      <c r="E15" s="53" t="s">
        <v>448</v>
      </c>
      <c r="F15" s="30" t="s">
        <v>136</v>
      </c>
      <c r="G15" s="12">
        <v>2</v>
      </c>
      <c r="H15" s="13">
        <v>24</v>
      </c>
      <c r="I15" s="31">
        <v>30000</v>
      </c>
      <c r="J15" s="14">
        <v>12060</v>
      </c>
      <c r="K15" s="15">
        <f>L15+10468+11782</f>
        <v>34310</v>
      </c>
      <c r="L15" s="15">
        <f>3023*2+3007*2</f>
        <v>12060</v>
      </c>
      <c r="M15" s="15">
        <f t="shared" si="0"/>
        <v>12060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0.578125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8892</v>
      </c>
      <c r="K16" s="15">
        <f>L16+9350+9873+10572+11420+9694+7670+11372+10884+8431+5890+10900+11458+11552+11940+10862+11588+10714+11420+11054+11778+10788+11600+11484+12810+7446+10628+11352</f>
        <v>293422</v>
      </c>
      <c r="L16" s="15">
        <f>2550*2+1896*2</f>
        <v>8892</v>
      </c>
      <c r="M16" s="15">
        <f t="shared" si="0"/>
        <v>8892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8"/>
        <v>0.79166666666666663</v>
      </c>
      <c r="AE16" s="36">
        <f t="shared" si="6"/>
        <v>0.578125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0.578125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10878</v>
      </c>
      <c r="K18" s="15">
        <f>L18+10480+11444+11648+11082+10368+10658+11130+11168+12108+9740+10720+10498+11286+11772+11032+11242+10656+11244+5352+8064+11508+10790+11124+10528+9522+10822</f>
        <v>286864</v>
      </c>
      <c r="L18" s="15">
        <f>2743*2+2696*2</f>
        <v>10878</v>
      </c>
      <c r="M18" s="15">
        <f t="shared" si="0"/>
        <v>10878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0.578125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11408</v>
      </c>
      <c r="K19" s="15">
        <f>L19+9720+11486+11352+11400+10842+7716+11382</f>
        <v>85306</v>
      </c>
      <c r="L19" s="15">
        <f>2896*2+2808*2</f>
        <v>11408</v>
      </c>
      <c r="M19" s="15">
        <f t="shared" si="0"/>
        <v>11408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0.578125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135</v>
      </c>
      <c r="E20" s="53" t="s">
        <v>493</v>
      </c>
      <c r="F20" s="30" t="s">
        <v>143</v>
      </c>
      <c r="G20" s="33">
        <v>1</v>
      </c>
      <c r="H20" s="35">
        <v>24</v>
      </c>
      <c r="I20" s="7">
        <v>3000</v>
      </c>
      <c r="J20" s="14">
        <v>4570</v>
      </c>
      <c r="K20" s="15">
        <f>L20+686</f>
        <v>5256</v>
      </c>
      <c r="L20" s="15">
        <f>2320+2250</f>
        <v>4570</v>
      </c>
      <c r="M20" s="15">
        <f t="shared" si="0"/>
        <v>4570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0.578125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25968</v>
      </c>
      <c r="K21" s="15">
        <f>L21+64424+64620+22548+54104+64632+65016+67504+61284+57732+64780+64192+63920+55712+65444+64496+64864+62952+56316+64508</f>
        <v>1175016</v>
      </c>
      <c r="L21" s="15">
        <f>6492*4</f>
        <v>25968</v>
      </c>
      <c r="M21" s="15">
        <f t="shared" si="0"/>
        <v>25968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/>
      <c r="W21" s="5">
        <v>12</v>
      </c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8"/>
        <v>0.5</v>
      </c>
      <c r="AE21" s="36">
        <f t="shared" si="6"/>
        <v>0.578125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0.578125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0.578125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</f>
        <v>1872</v>
      </c>
      <c r="L24" s="15">
        <f>468*4</f>
        <v>1872</v>
      </c>
      <c r="M24" s="15">
        <f t="shared" si="0"/>
        <v>1872</v>
      </c>
      <c r="N24" s="15">
        <v>0</v>
      </c>
      <c r="O24" s="58">
        <f t="shared" si="1"/>
        <v>0</v>
      </c>
      <c r="P24" s="39">
        <f t="shared" si="2"/>
        <v>3</v>
      </c>
      <c r="Q24" s="40">
        <f t="shared" si="3"/>
        <v>21</v>
      </c>
      <c r="R24" s="7"/>
      <c r="S24" s="6"/>
      <c r="T24" s="16"/>
      <c r="U24" s="16"/>
      <c r="V24" s="17">
        <v>21</v>
      </c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0.125</v>
      </c>
      <c r="AD24" s="10">
        <f t="shared" si="8"/>
        <v>0.125</v>
      </c>
      <c r="AE24" s="36">
        <f t="shared" si="6"/>
        <v>0.578125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0.578125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21892</v>
      </c>
      <c r="K26" s="15">
        <f>L26+20480+24108+23840+23940+22144+18434</f>
        <v>154838</v>
      </c>
      <c r="L26" s="15">
        <f>2427*4+3046*4</f>
        <v>21892</v>
      </c>
      <c r="M26" s="15">
        <f t="shared" si="0"/>
        <v>21892</v>
      </c>
      <c r="N26" s="15">
        <v>0</v>
      </c>
      <c r="O26" s="58">
        <f t="shared" si="1"/>
        <v>0</v>
      </c>
      <c r="P26" s="39">
        <f t="shared" si="2"/>
        <v>22</v>
      </c>
      <c r="Q26" s="40">
        <f t="shared" si="3"/>
        <v>2</v>
      </c>
      <c r="R26" s="7"/>
      <c r="S26" s="6">
        <v>2</v>
      </c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0.91666666666666663</v>
      </c>
      <c r="AD26" s="10">
        <f t="shared" si="8"/>
        <v>0.91666666666666663</v>
      </c>
      <c r="AE26" s="36">
        <f t="shared" si="6"/>
        <v>0.578125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27604</v>
      </c>
      <c r="K27" s="15">
        <f>L27+22128+27588+27392+27540+25512+23844+27296</f>
        <v>208904</v>
      </c>
      <c r="L27" s="15">
        <f>3387*4+3514*4</f>
        <v>27604</v>
      </c>
      <c r="M27" s="15">
        <f t="shared" si="0"/>
        <v>27604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0.578125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29552</v>
      </c>
      <c r="K28" s="15">
        <f>L28+18992+29436+29448+29672+26652+25912+29256</f>
        <v>218920</v>
      </c>
      <c r="L28" s="15">
        <f>3763*4+3625*4</f>
        <v>29552</v>
      </c>
      <c r="M28" s="15">
        <f t="shared" si="0"/>
        <v>29552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0.578125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0.578125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7435950</v>
      </c>
      <c r="J30" s="19">
        <f t="shared" si="10"/>
        <v>530793</v>
      </c>
      <c r="K30" s="20">
        <f t="shared" si="10"/>
        <v>5542361</v>
      </c>
      <c r="L30" s="21">
        <f t="shared" si="10"/>
        <v>223664</v>
      </c>
      <c r="M30" s="20">
        <f t="shared" si="10"/>
        <v>223664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333</v>
      </c>
      <c r="Q30" s="43">
        <f t="shared" si="11"/>
        <v>243</v>
      </c>
      <c r="R30" s="23">
        <f t="shared" si="11"/>
        <v>0</v>
      </c>
      <c r="S30" s="24">
        <f t="shared" si="11"/>
        <v>18</v>
      </c>
      <c r="T30" s="24">
        <f t="shared" si="11"/>
        <v>0</v>
      </c>
      <c r="U30" s="24">
        <f t="shared" si="11"/>
        <v>0</v>
      </c>
      <c r="V30" s="25">
        <f t="shared" si="11"/>
        <v>45</v>
      </c>
      <c r="W30" s="26">
        <f t="shared" si="11"/>
        <v>108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72</v>
      </c>
      <c r="AB30" s="28">
        <f>AVERAGE(AB6:AB29)</f>
        <v>0.69565217391304346</v>
      </c>
      <c r="AC30" s="4">
        <f>AVERAGE(AC6:AC29)</f>
        <v>0.578125</v>
      </c>
      <c r="AD30" s="4">
        <f>AVERAGE(AD6:AD29)</f>
        <v>0.578125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519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529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58" t="s">
        <v>46</v>
      </c>
      <c r="D59" s="258" t="s">
        <v>47</v>
      </c>
      <c r="E59" s="258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58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259" t="s">
        <v>138</v>
      </c>
      <c r="D60" s="259" t="s">
        <v>157</v>
      </c>
      <c r="E60" s="260" t="s">
        <v>447</v>
      </c>
      <c r="F60" s="448" t="s">
        <v>520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65" t="s">
        <v>234</v>
      </c>
      <c r="P60" s="451" t="s">
        <v>135</v>
      </c>
      <c r="Q60" s="452"/>
      <c r="R60" s="451" t="s">
        <v>530</v>
      </c>
      <c r="S60" s="453"/>
      <c r="T60" s="453"/>
      <c r="U60" s="452"/>
      <c r="V60" s="454" t="s">
        <v>270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259" t="s">
        <v>234</v>
      </c>
      <c r="D61" s="259" t="s">
        <v>135</v>
      </c>
      <c r="E61" s="260" t="s">
        <v>496</v>
      </c>
      <c r="F61" s="448" t="s">
        <v>137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265" t="s">
        <v>295</v>
      </c>
      <c r="P61" s="451" t="s">
        <v>531</v>
      </c>
      <c r="Q61" s="452"/>
      <c r="R61" s="451" t="s">
        <v>532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259" t="s">
        <v>499</v>
      </c>
      <c r="D62" s="259" t="s">
        <v>500</v>
      </c>
      <c r="E62" s="260" t="s">
        <v>498</v>
      </c>
      <c r="F62" s="448" t="s">
        <v>137</v>
      </c>
      <c r="G62" s="449"/>
      <c r="H62" s="449"/>
      <c r="I62" s="449"/>
      <c r="J62" s="449"/>
      <c r="K62" s="449"/>
      <c r="L62" s="449"/>
      <c r="M62" s="450"/>
      <c r="N62" s="116" t="s">
        <v>116</v>
      </c>
      <c r="O62" s="265" t="s">
        <v>535</v>
      </c>
      <c r="P62" s="451" t="s">
        <v>536</v>
      </c>
      <c r="Q62" s="452"/>
      <c r="R62" s="451" t="s">
        <v>533</v>
      </c>
      <c r="S62" s="453"/>
      <c r="T62" s="453"/>
      <c r="U62" s="452"/>
      <c r="V62" s="454" t="s">
        <v>534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259" t="s">
        <v>521</v>
      </c>
      <c r="D63" s="259" t="s">
        <v>115</v>
      </c>
      <c r="E63" s="260" t="s">
        <v>522</v>
      </c>
      <c r="F63" s="448" t="s">
        <v>523</v>
      </c>
      <c r="G63" s="449"/>
      <c r="H63" s="449"/>
      <c r="I63" s="449"/>
      <c r="J63" s="449"/>
      <c r="K63" s="449"/>
      <c r="L63" s="449"/>
      <c r="M63" s="450"/>
      <c r="N63" s="116"/>
      <c r="O63" s="265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259" t="s">
        <v>525</v>
      </c>
      <c r="D64" s="259" t="s">
        <v>115</v>
      </c>
      <c r="E64" s="260" t="s">
        <v>518</v>
      </c>
      <c r="F64" s="448" t="s">
        <v>524</v>
      </c>
      <c r="G64" s="449"/>
      <c r="H64" s="449"/>
      <c r="I64" s="449"/>
      <c r="J64" s="449"/>
      <c r="K64" s="449"/>
      <c r="L64" s="449"/>
      <c r="M64" s="450"/>
      <c r="N64" s="116"/>
      <c r="O64" s="265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259" t="s">
        <v>526</v>
      </c>
      <c r="D65" s="259" t="s">
        <v>157</v>
      </c>
      <c r="E65" s="260" t="s">
        <v>527</v>
      </c>
      <c r="F65" s="448" t="s">
        <v>528</v>
      </c>
      <c r="G65" s="449"/>
      <c r="H65" s="449"/>
      <c r="I65" s="449"/>
      <c r="J65" s="449"/>
      <c r="K65" s="449"/>
      <c r="L65" s="449"/>
      <c r="M65" s="450"/>
      <c r="N65" s="116"/>
      <c r="O65" s="265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259"/>
      <c r="D66" s="259"/>
      <c r="E66" s="260"/>
      <c r="F66" s="448"/>
      <c r="G66" s="449"/>
      <c r="H66" s="449"/>
      <c r="I66" s="449"/>
      <c r="J66" s="449"/>
      <c r="K66" s="449"/>
      <c r="L66" s="449"/>
      <c r="M66" s="450"/>
      <c r="N66" s="116"/>
      <c r="O66" s="265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59"/>
      <c r="D67" s="259"/>
      <c r="E67" s="260"/>
      <c r="F67" s="448"/>
      <c r="G67" s="449"/>
      <c r="H67" s="449"/>
      <c r="I67" s="449"/>
      <c r="J67" s="449"/>
      <c r="K67" s="449"/>
      <c r="L67" s="449"/>
      <c r="M67" s="450"/>
      <c r="N67" s="116"/>
      <c r="O67" s="265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59"/>
      <c r="D68" s="259"/>
      <c r="E68" s="260"/>
      <c r="F68" s="448"/>
      <c r="G68" s="449"/>
      <c r="H68" s="449"/>
      <c r="I68" s="449"/>
      <c r="J68" s="449"/>
      <c r="K68" s="449"/>
      <c r="L68" s="449"/>
      <c r="M68" s="450"/>
      <c r="N68" s="116"/>
      <c r="O68" s="265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61"/>
      <c r="D69" s="262"/>
      <c r="E69" s="261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537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63" t="s">
        <v>2</v>
      </c>
      <c r="D71" s="263" t="s">
        <v>37</v>
      </c>
      <c r="E71" s="263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63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267"/>
      <c r="E72" s="264" t="s">
        <v>121</v>
      </c>
      <c r="F72" s="475" t="s">
        <v>538</v>
      </c>
      <c r="G72" s="476"/>
      <c r="H72" s="476"/>
      <c r="I72" s="476"/>
      <c r="J72" s="476"/>
      <c r="K72" s="476" t="s">
        <v>437</v>
      </c>
      <c r="L72" s="476"/>
      <c r="M72" s="51" t="s">
        <v>539</v>
      </c>
      <c r="N72" s="477" t="s">
        <v>148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267"/>
      <c r="E73" s="264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267"/>
      <c r="E74" s="264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267"/>
      <c r="E75" s="264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67"/>
      <c r="E76" s="264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67"/>
      <c r="E77" s="264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67"/>
      <c r="E78" s="264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67"/>
      <c r="E79" s="264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67"/>
      <c r="E80" s="264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67"/>
      <c r="E81" s="264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540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66" t="s">
        <v>2</v>
      </c>
      <c r="D83" s="266" t="s">
        <v>37</v>
      </c>
      <c r="E83" s="266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68"/>
      <c r="D84" s="268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67"/>
      <c r="D85" s="267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67"/>
      <c r="D86" s="267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67"/>
      <c r="D87" s="267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67"/>
      <c r="D88" s="267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67"/>
      <c r="D89" s="267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67"/>
      <c r="D90" s="267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541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313E-9E81-451A-A1FF-92D7AFCD5A79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542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80" t="s">
        <v>17</v>
      </c>
      <c r="L5" s="280" t="s">
        <v>18</v>
      </c>
      <c r="M5" s="280" t="s">
        <v>19</v>
      </c>
      <c r="N5" s="28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10532</v>
      </c>
      <c r="K6" s="15">
        <f>L6+10316+11230+10284+10670+10340+11054+11138</f>
        <v>85564</v>
      </c>
      <c r="L6" s="15">
        <f>2746*2+2520*2</f>
        <v>10532</v>
      </c>
      <c r="M6" s="15">
        <f t="shared" ref="M6:M29" si="0">L6-N6</f>
        <v>10532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0.59444741215574559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L7+1053</f>
        <v>1053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0.59444741215574559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120000</v>
      </c>
      <c r="J8" s="14">
        <v>10934</v>
      </c>
      <c r="K8" s="15">
        <f>L8+8168+10878+10884+10350+9202+10794+10918</f>
        <v>82128</v>
      </c>
      <c r="L8" s="15">
        <f>2779*2+2688*2</f>
        <v>10934</v>
      </c>
      <c r="M8" s="15">
        <f t="shared" si="0"/>
        <v>10934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0.59444741215574559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4243</v>
      </c>
      <c r="K9" s="15">
        <f>L9+4052+2420+3622</f>
        <v>14337</v>
      </c>
      <c r="L9" s="15">
        <f>2625+1618</f>
        <v>4243</v>
      </c>
      <c r="M9" s="15">
        <f t="shared" si="0"/>
        <v>4243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8"/>
        <v>0.83333333333333337</v>
      </c>
      <c r="AE9" s="36">
        <f t="shared" si="6"/>
        <v>0.59444741215574559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121</v>
      </c>
      <c r="E10" s="53" t="s">
        <v>406</v>
      </c>
      <c r="F10" s="30" t="s">
        <v>437</v>
      </c>
      <c r="G10" s="33">
        <v>2</v>
      </c>
      <c r="H10" s="35">
        <v>24</v>
      </c>
      <c r="I10" s="7">
        <v>39000</v>
      </c>
      <c r="J10" s="14">
        <v>7370</v>
      </c>
      <c r="K10" s="15">
        <f>L10+9568+10464+11332+11472</f>
        <v>50206</v>
      </c>
      <c r="L10" s="15">
        <f>2492+2214*2+225*2</f>
        <v>7370</v>
      </c>
      <c r="M10" s="15">
        <f t="shared" si="0"/>
        <v>7370</v>
      </c>
      <c r="N10" s="15">
        <v>0</v>
      </c>
      <c r="O10" s="58">
        <f t="shared" si="1"/>
        <v>0</v>
      </c>
      <c r="P10" s="39">
        <f t="shared" si="2"/>
        <v>23</v>
      </c>
      <c r="Q10" s="40">
        <f t="shared" si="3"/>
        <v>1</v>
      </c>
      <c r="R10" s="7"/>
      <c r="S10" s="6">
        <v>1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0.95833333333333337</v>
      </c>
      <c r="AD10" s="10">
        <f t="shared" si="8"/>
        <v>0.95833333333333337</v>
      </c>
      <c r="AE10" s="36">
        <f t="shared" si="6"/>
        <v>0.59444741215574559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457</v>
      </c>
      <c r="E11" s="53" t="s">
        <v>454</v>
      </c>
      <c r="F11" s="30" t="s">
        <v>360</v>
      </c>
      <c r="G11" s="33">
        <v>1</v>
      </c>
      <c r="H11" s="35">
        <v>24</v>
      </c>
      <c r="I11" s="7">
        <v>150</v>
      </c>
      <c r="J11" s="14">
        <v>355</v>
      </c>
      <c r="K11" s="15">
        <f>L11+355</f>
        <v>355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0.59444741215574559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9624</v>
      </c>
      <c r="K12" s="15">
        <f>L12+9010</f>
        <v>18634</v>
      </c>
      <c r="L12" s="15">
        <f>2450*2+2362*2</f>
        <v>9624</v>
      </c>
      <c r="M12" s="15">
        <f t="shared" si="0"/>
        <v>9624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0.59444741215574559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116</v>
      </c>
      <c r="D13" s="52" t="s">
        <v>531</v>
      </c>
      <c r="E13" s="53" t="s">
        <v>543</v>
      </c>
      <c r="F13" s="30" t="s">
        <v>437</v>
      </c>
      <c r="G13" s="12">
        <v>1</v>
      </c>
      <c r="H13" s="13">
        <v>22</v>
      </c>
      <c r="I13" s="31">
        <v>8000</v>
      </c>
      <c r="J13" s="5">
        <v>6477</v>
      </c>
      <c r="K13" s="15">
        <f>L13</f>
        <v>6477</v>
      </c>
      <c r="L13" s="15">
        <f>3075+3402</f>
        <v>6477</v>
      </c>
      <c r="M13" s="15">
        <f t="shared" si="0"/>
        <v>6477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0.59444741215574559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0.59444741215574559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135</v>
      </c>
      <c r="E15" s="53" t="s">
        <v>448</v>
      </c>
      <c r="F15" s="30" t="s">
        <v>136</v>
      </c>
      <c r="G15" s="12">
        <v>2</v>
      </c>
      <c r="H15" s="13">
        <v>24</v>
      </c>
      <c r="I15" s="31">
        <v>30000</v>
      </c>
      <c r="J15" s="14">
        <v>12004</v>
      </c>
      <c r="K15" s="15">
        <f>L15+10468+11782+12060</f>
        <v>46314</v>
      </c>
      <c r="L15" s="15">
        <f>3035*2+2967*2</f>
        <v>12004</v>
      </c>
      <c r="M15" s="15">
        <f t="shared" si="0"/>
        <v>12004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0.59444741215574559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11422</v>
      </c>
      <c r="K16" s="15">
        <f>L16+9350+9873+10572+11420+9694+7670+11372+10884+8431+5890+10900+11458+11552+11940+10862+11588+10714+11420+11054+11778+10788+11600+11484+12810+7446+10628+11352+8892</f>
        <v>304844</v>
      </c>
      <c r="L16" s="15">
        <f>2900*2+2811*2</f>
        <v>11422</v>
      </c>
      <c r="M16" s="15">
        <f t="shared" si="0"/>
        <v>11422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0.59444741215574559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0.59444741215574559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10884</v>
      </c>
      <c r="K18" s="15">
        <f>L18+10480+11444+11648+11082+10368+10658+11130+11168+12108+9740+10720+10498+11286+11772+11032+11242+10656+11244+5352+8064+11508+10790+11124+10528+9522+10822+10878</f>
        <v>297748</v>
      </c>
      <c r="L18" s="15">
        <f>2779*2+2663*2</f>
        <v>10884</v>
      </c>
      <c r="M18" s="15">
        <f t="shared" si="0"/>
        <v>10884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0.59444741215574559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11492</v>
      </c>
      <c r="K19" s="15">
        <f>L19+9720+11486+11352+11400+10842+7716+11382+11408</f>
        <v>96798</v>
      </c>
      <c r="L19" s="15">
        <f>2925*2+2821*2</f>
        <v>11492</v>
      </c>
      <c r="M19" s="15">
        <f t="shared" si="0"/>
        <v>11492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0.59444741215574559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135</v>
      </c>
      <c r="E20" s="53" t="s">
        <v>266</v>
      </c>
      <c r="F20" s="30" t="s">
        <v>143</v>
      </c>
      <c r="G20" s="33">
        <v>1</v>
      </c>
      <c r="H20" s="35">
        <v>24</v>
      </c>
      <c r="I20" s="7">
        <v>3000</v>
      </c>
      <c r="J20" s="14">
        <v>1020</v>
      </c>
      <c r="K20" s="15">
        <f>L20</f>
        <v>1020</v>
      </c>
      <c r="L20" s="15">
        <v>1020</v>
      </c>
      <c r="M20" s="15">
        <f t="shared" si="0"/>
        <v>1020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>
        <v>18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 t="shared" si="8"/>
        <v>0.25</v>
      </c>
      <c r="AE20" s="36">
        <f t="shared" si="6"/>
        <v>0.59444741215574559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25968</v>
      </c>
      <c r="K21" s="15">
        <f>L21+64424+64620+22548+54104+64632+65016+67504+61284+57732+64780+64192+63920+55712+65444+64496+64864+62952+56316+64508+25968</f>
        <v>1175016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0.59444741215574559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0.59444741215574559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0.59444741215574559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L24+1872</f>
        <v>8752</v>
      </c>
      <c r="L24" s="15">
        <f>1720*4</f>
        <v>6880</v>
      </c>
      <c r="M24" s="15">
        <f t="shared" si="0"/>
        <v>6880</v>
      </c>
      <c r="N24" s="15">
        <v>0</v>
      </c>
      <c r="O24" s="58">
        <f t="shared" si="1"/>
        <v>0</v>
      </c>
      <c r="P24" s="39">
        <f t="shared" si="2"/>
        <v>8</v>
      </c>
      <c r="Q24" s="40">
        <f t="shared" si="3"/>
        <v>16</v>
      </c>
      <c r="R24" s="7"/>
      <c r="S24" s="6"/>
      <c r="T24" s="16"/>
      <c r="U24" s="16"/>
      <c r="V24" s="17">
        <v>16</v>
      </c>
      <c r="W24" s="5"/>
      <c r="X24" s="16"/>
      <c r="Y24" s="16"/>
      <c r="Z24" s="16"/>
      <c r="AA24" s="18"/>
      <c r="AB24" s="8">
        <f t="shared" si="4"/>
        <v>3.675213675213675</v>
      </c>
      <c r="AC24" s="9">
        <f t="shared" si="5"/>
        <v>0.33333333333333331</v>
      </c>
      <c r="AD24" s="10">
        <f t="shared" si="8"/>
        <v>1.225071225071225</v>
      </c>
      <c r="AE24" s="36">
        <f t="shared" si="6"/>
        <v>0.59444741215574559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0.59444741215574559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23604</v>
      </c>
      <c r="K26" s="15">
        <f>L26+20480+24108+23840+23940+22144+18434+21892</f>
        <v>178442</v>
      </c>
      <c r="L26" s="15">
        <f>2880*4+3021*4</f>
        <v>23604</v>
      </c>
      <c r="M26" s="15">
        <f t="shared" si="0"/>
        <v>23604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0.59444741215574559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27180</v>
      </c>
      <c r="K27" s="15">
        <f>L27+22128+27588+27392+27540+25512+23844+27296+27604</f>
        <v>236084</v>
      </c>
      <c r="L27" s="15">
        <f>3310*4+3485*4</f>
        <v>27180</v>
      </c>
      <c r="M27" s="15">
        <f t="shared" si="0"/>
        <v>27180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0.59444741215574559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29404</v>
      </c>
      <c r="K28" s="15">
        <f>L28+18992+29436+29448+29672+26652+25912+29256+29552</f>
        <v>248324</v>
      </c>
      <c r="L28" s="15">
        <f>3615*4+3736*4</f>
        <v>29404</v>
      </c>
      <c r="M28" s="15">
        <f t="shared" si="0"/>
        <v>29404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0.59444741215574559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0.59444741215574559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7352950</v>
      </c>
      <c r="J30" s="19">
        <f t="shared" si="10"/>
        <v>511159</v>
      </c>
      <c r="K30" s="20">
        <f t="shared" si="10"/>
        <v>5597779</v>
      </c>
      <c r="L30" s="21">
        <f t="shared" si="10"/>
        <v>183070</v>
      </c>
      <c r="M30" s="20">
        <f t="shared" si="10"/>
        <v>183070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321</v>
      </c>
      <c r="Q30" s="43">
        <f t="shared" si="11"/>
        <v>255</v>
      </c>
      <c r="R30" s="23">
        <f t="shared" si="11"/>
        <v>0</v>
      </c>
      <c r="S30" s="24">
        <f t="shared" si="11"/>
        <v>23</v>
      </c>
      <c r="T30" s="24">
        <f t="shared" si="11"/>
        <v>0</v>
      </c>
      <c r="U30" s="24">
        <f t="shared" si="11"/>
        <v>0</v>
      </c>
      <c r="V30" s="25">
        <f t="shared" si="11"/>
        <v>40</v>
      </c>
      <c r="W30" s="26">
        <f t="shared" si="11"/>
        <v>120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72</v>
      </c>
      <c r="AB30" s="28">
        <f>AVERAGE(AB6:AB29)</f>
        <v>0.76848755109624678</v>
      </c>
      <c r="AC30" s="4">
        <f>AVERAGE(AC6:AC29)</f>
        <v>0.55729166666666674</v>
      </c>
      <c r="AD30" s="4">
        <f>AVERAGE(AD6:AD29)</f>
        <v>0.59444741215574559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544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554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79" t="s">
        <v>46</v>
      </c>
      <c r="D59" s="279" t="s">
        <v>47</v>
      </c>
      <c r="E59" s="279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79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275" t="s">
        <v>138</v>
      </c>
      <c r="D60" s="275" t="s">
        <v>157</v>
      </c>
      <c r="E60" s="276" t="s">
        <v>447</v>
      </c>
      <c r="F60" s="448" t="s">
        <v>137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73" t="s">
        <v>234</v>
      </c>
      <c r="P60" s="451" t="s">
        <v>135</v>
      </c>
      <c r="Q60" s="452"/>
      <c r="R60" s="451" t="s">
        <v>530</v>
      </c>
      <c r="S60" s="453"/>
      <c r="T60" s="453"/>
      <c r="U60" s="452"/>
      <c r="V60" s="454" t="s">
        <v>270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275" t="s">
        <v>295</v>
      </c>
      <c r="D61" s="275" t="s">
        <v>531</v>
      </c>
      <c r="E61" s="276" t="s">
        <v>543</v>
      </c>
      <c r="F61" s="448" t="s">
        <v>146</v>
      </c>
      <c r="G61" s="449"/>
      <c r="H61" s="449"/>
      <c r="I61" s="449"/>
      <c r="J61" s="449"/>
      <c r="K61" s="449"/>
      <c r="L61" s="449"/>
      <c r="M61" s="450"/>
      <c r="N61" s="116"/>
      <c r="O61" s="273"/>
      <c r="P61" s="451"/>
      <c r="Q61" s="452"/>
      <c r="R61" s="451"/>
      <c r="S61" s="453"/>
      <c r="T61" s="453"/>
      <c r="U61" s="452"/>
      <c r="V61" s="454"/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283" t="s">
        <v>521</v>
      </c>
      <c r="D62" s="283" t="s">
        <v>115</v>
      </c>
      <c r="E62" s="284" t="s">
        <v>139</v>
      </c>
      <c r="F62" s="448" t="s">
        <v>523</v>
      </c>
      <c r="G62" s="449"/>
      <c r="H62" s="449"/>
      <c r="I62" s="449"/>
      <c r="J62" s="449"/>
      <c r="K62" s="449"/>
      <c r="L62" s="449"/>
      <c r="M62" s="450"/>
      <c r="N62" s="116"/>
      <c r="O62" s="273"/>
      <c r="P62" s="451"/>
      <c r="Q62" s="452"/>
      <c r="R62" s="451"/>
      <c r="S62" s="453"/>
      <c r="T62" s="453"/>
      <c r="U62" s="452"/>
      <c r="V62" s="454"/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546</v>
      </c>
      <c r="B63" s="447"/>
      <c r="C63" s="275" t="s">
        <v>547</v>
      </c>
      <c r="D63" s="275" t="s">
        <v>548</v>
      </c>
      <c r="E63" s="276" t="s">
        <v>545</v>
      </c>
      <c r="F63" s="448" t="s">
        <v>549</v>
      </c>
      <c r="G63" s="449"/>
      <c r="H63" s="449"/>
      <c r="I63" s="449"/>
      <c r="J63" s="449"/>
      <c r="K63" s="449"/>
      <c r="L63" s="449"/>
      <c r="M63" s="450"/>
      <c r="N63" s="116"/>
      <c r="O63" s="273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275" t="s">
        <v>552</v>
      </c>
      <c r="D64" s="275" t="s">
        <v>553</v>
      </c>
      <c r="E64" s="276" t="s">
        <v>550</v>
      </c>
      <c r="F64" s="448" t="s">
        <v>551</v>
      </c>
      <c r="G64" s="449"/>
      <c r="H64" s="449"/>
      <c r="I64" s="449"/>
      <c r="J64" s="449"/>
      <c r="K64" s="449"/>
      <c r="L64" s="449"/>
      <c r="M64" s="450"/>
      <c r="N64" s="116"/>
      <c r="O64" s="273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275"/>
      <c r="D65" s="275"/>
      <c r="E65" s="276"/>
      <c r="F65" s="448"/>
      <c r="G65" s="449"/>
      <c r="H65" s="449"/>
      <c r="I65" s="449"/>
      <c r="J65" s="449"/>
      <c r="K65" s="449"/>
      <c r="L65" s="449"/>
      <c r="M65" s="450"/>
      <c r="N65" s="116"/>
      <c r="O65" s="273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275"/>
      <c r="D66" s="275"/>
      <c r="E66" s="276"/>
      <c r="F66" s="448"/>
      <c r="G66" s="449"/>
      <c r="H66" s="449"/>
      <c r="I66" s="449"/>
      <c r="J66" s="449"/>
      <c r="K66" s="449"/>
      <c r="L66" s="449"/>
      <c r="M66" s="450"/>
      <c r="N66" s="116"/>
      <c r="O66" s="273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75"/>
      <c r="D67" s="275"/>
      <c r="E67" s="276"/>
      <c r="F67" s="448"/>
      <c r="G67" s="449"/>
      <c r="H67" s="449"/>
      <c r="I67" s="449"/>
      <c r="J67" s="449"/>
      <c r="K67" s="449"/>
      <c r="L67" s="449"/>
      <c r="M67" s="450"/>
      <c r="N67" s="116"/>
      <c r="O67" s="273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75"/>
      <c r="D68" s="275"/>
      <c r="E68" s="276"/>
      <c r="F68" s="448"/>
      <c r="G68" s="449"/>
      <c r="H68" s="449"/>
      <c r="I68" s="449"/>
      <c r="J68" s="449"/>
      <c r="K68" s="449"/>
      <c r="L68" s="449"/>
      <c r="M68" s="450"/>
      <c r="N68" s="116"/>
      <c r="O68" s="273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77"/>
      <c r="D69" s="278"/>
      <c r="E69" s="277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555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74" t="s">
        <v>2</v>
      </c>
      <c r="D71" s="274" t="s">
        <v>37</v>
      </c>
      <c r="E71" s="274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74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269"/>
      <c r="E72" s="272" t="s">
        <v>135</v>
      </c>
      <c r="F72" s="475" t="s">
        <v>556</v>
      </c>
      <c r="G72" s="476"/>
      <c r="H72" s="476"/>
      <c r="I72" s="476"/>
      <c r="J72" s="476"/>
      <c r="K72" s="476" t="s">
        <v>557</v>
      </c>
      <c r="L72" s="476"/>
      <c r="M72" s="51" t="s">
        <v>393</v>
      </c>
      <c r="N72" s="477" t="s">
        <v>247</v>
      </c>
      <c r="O72" s="477"/>
      <c r="P72" s="478">
        <v>100</v>
      </c>
      <c r="Q72" s="478"/>
      <c r="R72" s="479" t="s">
        <v>559</v>
      </c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116</v>
      </c>
      <c r="D73" s="269"/>
      <c r="E73" s="272" t="s">
        <v>135</v>
      </c>
      <c r="F73" s="481" t="s">
        <v>556</v>
      </c>
      <c r="G73" s="482"/>
      <c r="H73" s="482"/>
      <c r="I73" s="482"/>
      <c r="J73" s="483"/>
      <c r="K73" s="476" t="s">
        <v>558</v>
      </c>
      <c r="L73" s="476"/>
      <c r="M73" s="51" t="s">
        <v>393</v>
      </c>
      <c r="N73" s="477" t="s">
        <v>247</v>
      </c>
      <c r="O73" s="477"/>
      <c r="P73" s="478">
        <v>100</v>
      </c>
      <c r="Q73" s="478"/>
      <c r="R73" s="479" t="s">
        <v>560</v>
      </c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 t="s">
        <v>116</v>
      </c>
      <c r="D74" s="269"/>
      <c r="E74" s="272" t="s">
        <v>566</v>
      </c>
      <c r="F74" s="475" t="s">
        <v>561</v>
      </c>
      <c r="G74" s="476"/>
      <c r="H74" s="476"/>
      <c r="I74" s="476"/>
      <c r="J74" s="476"/>
      <c r="K74" s="476" t="s">
        <v>567</v>
      </c>
      <c r="L74" s="476"/>
      <c r="M74" s="51" t="s">
        <v>571</v>
      </c>
      <c r="N74" s="477" t="s">
        <v>573</v>
      </c>
      <c r="O74" s="477"/>
      <c r="P74" s="478">
        <v>300</v>
      </c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 t="s">
        <v>565</v>
      </c>
      <c r="D75" s="269"/>
      <c r="E75" s="272"/>
      <c r="F75" s="481" t="s">
        <v>562</v>
      </c>
      <c r="G75" s="482"/>
      <c r="H75" s="482"/>
      <c r="I75" s="482"/>
      <c r="J75" s="483"/>
      <c r="K75" s="476" t="s">
        <v>568</v>
      </c>
      <c r="L75" s="476"/>
      <c r="M75" s="51" t="s">
        <v>572</v>
      </c>
      <c r="N75" s="477" t="s">
        <v>573</v>
      </c>
      <c r="O75" s="477"/>
      <c r="P75" s="478">
        <v>320</v>
      </c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 t="s">
        <v>565</v>
      </c>
      <c r="D76" s="269"/>
      <c r="E76" s="272"/>
      <c r="F76" s="481" t="s">
        <v>563</v>
      </c>
      <c r="G76" s="482"/>
      <c r="H76" s="482"/>
      <c r="I76" s="482"/>
      <c r="J76" s="483"/>
      <c r="K76" s="476" t="s">
        <v>569</v>
      </c>
      <c r="L76" s="476"/>
      <c r="M76" s="51" t="s">
        <v>572</v>
      </c>
      <c r="N76" s="477" t="s">
        <v>573</v>
      </c>
      <c r="O76" s="477"/>
      <c r="P76" s="478">
        <v>320</v>
      </c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 t="s">
        <v>565</v>
      </c>
      <c r="D77" s="269"/>
      <c r="E77" s="272"/>
      <c r="F77" s="481" t="s">
        <v>564</v>
      </c>
      <c r="G77" s="482"/>
      <c r="H77" s="482"/>
      <c r="I77" s="482"/>
      <c r="J77" s="483"/>
      <c r="K77" s="476" t="s">
        <v>570</v>
      </c>
      <c r="L77" s="476"/>
      <c r="M77" s="51" t="s">
        <v>572</v>
      </c>
      <c r="N77" s="477" t="s">
        <v>573</v>
      </c>
      <c r="O77" s="477"/>
      <c r="P77" s="478">
        <v>320</v>
      </c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 t="s">
        <v>116</v>
      </c>
      <c r="D78" s="269"/>
      <c r="E78" s="272" t="s">
        <v>135</v>
      </c>
      <c r="F78" s="481" t="s">
        <v>550</v>
      </c>
      <c r="G78" s="482"/>
      <c r="H78" s="482"/>
      <c r="I78" s="482"/>
      <c r="J78" s="483"/>
      <c r="K78" s="476">
        <v>7301</v>
      </c>
      <c r="L78" s="476"/>
      <c r="M78" s="51" t="s">
        <v>572</v>
      </c>
      <c r="N78" s="477" t="s">
        <v>552</v>
      </c>
      <c r="O78" s="477"/>
      <c r="P78" s="478"/>
      <c r="Q78" s="478"/>
      <c r="R78" s="479" t="s">
        <v>574</v>
      </c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69"/>
      <c r="E79" s="272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69"/>
      <c r="E80" s="272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69"/>
      <c r="E81" s="272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575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71" t="s">
        <v>2</v>
      </c>
      <c r="D83" s="271" t="s">
        <v>37</v>
      </c>
      <c r="E83" s="271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70"/>
      <c r="D84" s="270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69"/>
      <c r="D85" s="269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69"/>
      <c r="D86" s="269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69"/>
      <c r="D87" s="269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69"/>
      <c r="D88" s="269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69"/>
      <c r="D89" s="269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69"/>
      <c r="D90" s="269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576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594-6BF7-44D2-9F49-63160A8C3576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577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81" t="s">
        <v>17</v>
      </c>
      <c r="L5" s="281" t="s">
        <v>18</v>
      </c>
      <c r="M5" s="281" t="s">
        <v>19</v>
      </c>
      <c r="N5" s="2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10088</v>
      </c>
      <c r="K6" s="15">
        <f>L6+10316+11230+10284+10670+10340+11054+11138+10532</f>
        <v>95652</v>
      </c>
      <c r="L6" s="15">
        <f>2484*2+2560*2</f>
        <v>10088</v>
      </c>
      <c r="M6" s="15">
        <f t="shared" ref="M6:M29" si="0">L6-N6</f>
        <v>10088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0.54861111111111116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L7+1053</f>
        <v>1053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0.54861111111111116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120000</v>
      </c>
      <c r="J8" s="14">
        <v>10410</v>
      </c>
      <c r="K8" s="15">
        <f>L8+8168+10878+10884+10350+9202+10794+10918+10934</f>
        <v>92538</v>
      </c>
      <c r="L8" s="15">
        <f>2536*2+2669*2</f>
        <v>10410</v>
      </c>
      <c r="M8" s="15">
        <f t="shared" si="0"/>
        <v>10410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0.54861111111111116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4946</v>
      </c>
      <c r="K9" s="15">
        <f>L9+4052+2420+3622+4243</f>
        <v>19283</v>
      </c>
      <c r="L9" s="15">
        <f>2428+2518</f>
        <v>4946</v>
      </c>
      <c r="M9" s="15">
        <f t="shared" si="0"/>
        <v>4946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0.54861111111111116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121</v>
      </c>
      <c r="E10" s="53" t="s">
        <v>406</v>
      </c>
      <c r="F10" s="30" t="s">
        <v>437</v>
      </c>
      <c r="G10" s="33">
        <v>2</v>
      </c>
      <c r="H10" s="35">
        <v>24</v>
      </c>
      <c r="I10" s="7">
        <v>39000</v>
      </c>
      <c r="J10" s="14">
        <v>5067</v>
      </c>
      <c r="K10" s="15">
        <f>L10+9568+10464+11332+11472+7370</f>
        <v>55273</v>
      </c>
      <c r="L10" s="15">
        <f>2300+2767</f>
        <v>5067</v>
      </c>
      <c r="M10" s="15">
        <f t="shared" si="0"/>
        <v>5067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0.54861111111111116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457</v>
      </c>
      <c r="E11" s="53" t="s">
        <v>454</v>
      </c>
      <c r="F11" s="30" t="s">
        <v>360</v>
      </c>
      <c r="G11" s="33">
        <v>1</v>
      </c>
      <c r="H11" s="35">
        <v>24</v>
      </c>
      <c r="I11" s="7">
        <v>150</v>
      </c>
      <c r="J11" s="14">
        <v>355</v>
      </c>
      <c r="K11" s="15">
        <f>L11+355</f>
        <v>355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0.54861111111111116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9178</v>
      </c>
      <c r="K12" s="15">
        <f>L12+9010+9624</f>
        <v>27812</v>
      </c>
      <c r="L12" s="15">
        <f>2249*2+2340*2</f>
        <v>9178</v>
      </c>
      <c r="M12" s="15">
        <f t="shared" si="0"/>
        <v>9178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0.54861111111111116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116</v>
      </c>
      <c r="D13" s="52" t="s">
        <v>531</v>
      </c>
      <c r="E13" s="53" t="s">
        <v>543</v>
      </c>
      <c r="F13" s="30" t="s">
        <v>437</v>
      </c>
      <c r="G13" s="12">
        <v>1</v>
      </c>
      <c r="H13" s="13">
        <v>22</v>
      </c>
      <c r="I13" s="31">
        <v>8000</v>
      </c>
      <c r="J13" s="5">
        <v>6200</v>
      </c>
      <c r="K13" s="15">
        <f>L13+6477</f>
        <v>12677</v>
      </c>
      <c r="L13" s="15">
        <f>2847+3353</f>
        <v>6200</v>
      </c>
      <c r="M13" s="15">
        <f t="shared" si="0"/>
        <v>6200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0.54861111111111116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190</v>
      </c>
      <c r="F14" s="30" t="s">
        <v>143</v>
      </c>
      <c r="G14" s="33">
        <v>1</v>
      </c>
      <c r="H14" s="35">
        <v>50</v>
      </c>
      <c r="I14" s="7">
        <v>300</v>
      </c>
      <c r="J14" s="5">
        <v>631</v>
      </c>
      <c r="K14" s="15">
        <f>L14+631</f>
        <v>631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0.54861111111111116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135</v>
      </c>
      <c r="E15" s="53" t="s">
        <v>448</v>
      </c>
      <c r="F15" s="30" t="s">
        <v>136</v>
      </c>
      <c r="G15" s="12">
        <v>2</v>
      </c>
      <c r="H15" s="13">
        <v>24</v>
      </c>
      <c r="I15" s="31">
        <v>30000</v>
      </c>
      <c r="J15" s="14">
        <v>10080</v>
      </c>
      <c r="K15" s="15">
        <f>L15+10468+11782+12060+12004</f>
        <v>56394</v>
      </c>
      <c r="L15" s="15">
        <f>2099*2+2941*2</f>
        <v>10080</v>
      </c>
      <c r="M15" s="15">
        <f t="shared" si="0"/>
        <v>10080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0.54861111111111116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157</v>
      </c>
      <c r="E16" s="53" t="s">
        <v>167</v>
      </c>
      <c r="F16" s="30" t="s">
        <v>122</v>
      </c>
      <c r="G16" s="12">
        <v>2</v>
      </c>
      <c r="H16" s="13">
        <v>22</v>
      </c>
      <c r="I16" s="31">
        <v>260000</v>
      </c>
      <c r="J16" s="5">
        <v>10680</v>
      </c>
      <c r="K16" s="15">
        <f>L16+9350+9873+10572+11420+9694+7670+11372+10884+8431+5890+10900+11458+11552+11940+10862+11588+10714+11420+11054+11778+10788+11600+11484+12810+7446+10628+11352+8892+11422</f>
        <v>315524</v>
      </c>
      <c r="L16" s="15">
        <f>2539*2+2801*2</f>
        <v>10680</v>
      </c>
      <c r="M16" s="15">
        <f t="shared" si="0"/>
        <v>10680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0.54861111111111116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0.54861111111111116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168</v>
      </c>
      <c r="F18" s="30" t="s">
        <v>133</v>
      </c>
      <c r="G18" s="12">
        <v>2</v>
      </c>
      <c r="H18" s="13">
        <v>22</v>
      </c>
      <c r="I18" s="31">
        <v>260000</v>
      </c>
      <c r="J18" s="5">
        <v>5888</v>
      </c>
      <c r="K18" s="15">
        <f>L18+10480+11444+11648+11082+10368+10658+11130+11168+12108+9740+10720+10498+11286+11772+11032+11242+10656+11244+5352+8064+11508+10790+11124+10528+9522+10822+10878+10884</f>
        <v>303636</v>
      </c>
      <c r="L18" s="15">
        <f>2622*2+322*2</f>
        <v>5888</v>
      </c>
      <c r="M18" s="15">
        <f t="shared" si="0"/>
        <v>5888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8"/>
        <v>0.58333333333333337</v>
      </c>
      <c r="AE18" s="36">
        <f t="shared" si="6"/>
        <v>0.54861111111111116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10720</v>
      </c>
      <c r="K19" s="15">
        <f>L19+9720+11486+11352+11400+10842+7716+11382+11408+11492</f>
        <v>107518</v>
      </c>
      <c r="L19" s="15">
        <f>2571*2+2789*2</f>
        <v>10720</v>
      </c>
      <c r="M19" s="15">
        <f t="shared" si="0"/>
        <v>10720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0.54861111111111116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124</v>
      </c>
      <c r="D20" s="52" t="s">
        <v>160</v>
      </c>
      <c r="E20" s="53" t="s">
        <v>438</v>
      </c>
      <c r="F20" s="30" t="s">
        <v>143</v>
      </c>
      <c r="G20" s="33">
        <v>1</v>
      </c>
      <c r="H20" s="35">
        <v>24</v>
      </c>
      <c r="I20" s="7">
        <v>1500</v>
      </c>
      <c r="J20" s="14">
        <v>2484</v>
      </c>
      <c r="K20" s="15">
        <f>L20</f>
        <v>2484</v>
      </c>
      <c r="L20" s="15">
        <f>189+2295</f>
        <v>2484</v>
      </c>
      <c r="M20" s="15">
        <f t="shared" si="0"/>
        <v>2484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8"/>
        <v>0.58333333333333337</v>
      </c>
      <c r="AE20" s="36">
        <f t="shared" si="6"/>
        <v>0.54861111111111116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25968</v>
      </c>
      <c r="K21" s="15">
        <f>L21+64424+64620+22548+54104+64632+65016+67504+61284+57732+64780+64192+63920+55712+65444+64496+64864+62952+56316+64508+25968</f>
        <v>1175016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0.54861111111111116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0.54861111111111116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0.54861111111111116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L24+1872+6880</f>
        <v>8752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0.54861111111111116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0.54861111111111116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20052</v>
      </c>
      <c r="K26" s="15">
        <f>L26+20480+24108+23840+23940+22144+18434+21892+23604</f>
        <v>198494</v>
      </c>
      <c r="L26" s="15">
        <f>2800*4+2213*4</f>
        <v>20052</v>
      </c>
      <c r="M26" s="15">
        <f t="shared" si="0"/>
        <v>20052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0.54861111111111116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23324</v>
      </c>
      <c r="K27" s="15">
        <f>L27+22128+27588+27392+27540+25512+23844+27296+27604+27180</f>
        <v>259408</v>
      </c>
      <c r="L27" s="15">
        <f>3300*4+2531*4</f>
        <v>23324</v>
      </c>
      <c r="M27" s="15">
        <f t="shared" si="0"/>
        <v>23324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0.54861111111111116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25000</v>
      </c>
      <c r="K28" s="15">
        <f>L28+18992+29436+29448+29672+26652+25912+29256+29552+29404</f>
        <v>273324</v>
      </c>
      <c r="L28" s="15">
        <f>3600*4+2650*4</f>
        <v>25000</v>
      </c>
      <c r="M28" s="15">
        <f t="shared" si="0"/>
        <v>25000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6"/>
        <v>0.54861111111111116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0.54861111111111116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7351450</v>
      </c>
      <c r="J30" s="19">
        <f t="shared" si="10"/>
        <v>489086</v>
      </c>
      <c r="K30" s="20">
        <f t="shared" si="10"/>
        <v>5750876</v>
      </c>
      <c r="L30" s="21">
        <f t="shared" si="10"/>
        <v>154117</v>
      </c>
      <c r="M30" s="20">
        <f t="shared" si="10"/>
        <v>154117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316</v>
      </c>
      <c r="Q30" s="43">
        <f t="shared" si="11"/>
        <v>260</v>
      </c>
      <c r="R30" s="23">
        <f t="shared" si="11"/>
        <v>0</v>
      </c>
      <c r="S30" s="24">
        <f t="shared" si="11"/>
        <v>20</v>
      </c>
      <c r="T30" s="24">
        <f t="shared" si="11"/>
        <v>0</v>
      </c>
      <c r="U30" s="24">
        <f t="shared" si="11"/>
        <v>0</v>
      </c>
      <c r="V30" s="25">
        <f t="shared" si="11"/>
        <v>48</v>
      </c>
      <c r="W30" s="26">
        <f t="shared" si="11"/>
        <v>120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72</v>
      </c>
      <c r="AB30" s="28">
        <f>AVERAGE(AB6:AB29)</f>
        <v>0.60869565217391308</v>
      </c>
      <c r="AC30" s="4">
        <f>AVERAGE(AC6:AC29)</f>
        <v>0.54861111111111116</v>
      </c>
      <c r="AD30" s="4">
        <f>AVERAGE(AD6:AD29)</f>
        <v>0.54861111111111116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578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589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82" t="s">
        <v>46</v>
      </c>
      <c r="D59" s="282" t="s">
        <v>47</v>
      </c>
      <c r="E59" s="282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82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293" t="s">
        <v>234</v>
      </c>
      <c r="D60" s="293" t="s">
        <v>135</v>
      </c>
      <c r="E60" s="294" t="s">
        <v>266</v>
      </c>
      <c r="F60" s="448" t="s">
        <v>579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289" t="s">
        <v>148</v>
      </c>
      <c r="P60" s="451" t="s">
        <v>135</v>
      </c>
      <c r="Q60" s="452"/>
      <c r="R60" s="451" t="s">
        <v>266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580</v>
      </c>
      <c r="B61" s="447"/>
      <c r="C61" s="283" t="s">
        <v>581</v>
      </c>
      <c r="D61" s="283" t="s">
        <v>582</v>
      </c>
      <c r="E61" s="284" t="s">
        <v>583</v>
      </c>
      <c r="F61" s="448" t="s">
        <v>584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289" t="s">
        <v>591</v>
      </c>
      <c r="P61" s="451" t="s">
        <v>592</v>
      </c>
      <c r="Q61" s="452"/>
      <c r="R61" s="451" t="s">
        <v>590</v>
      </c>
      <c r="S61" s="453"/>
      <c r="T61" s="453"/>
      <c r="U61" s="452"/>
      <c r="V61" s="454" t="s">
        <v>584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283" t="s">
        <v>585</v>
      </c>
      <c r="D62" s="283" t="s">
        <v>586</v>
      </c>
      <c r="E62" s="284" t="s">
        <v>587</v>
      </c>
      <c r="F62" s="448" t="s">
        <v>588</v>
      </c>
      <c r="G62" s="449"/>
      <c r="H62" s="449"/>
      <c r="I62" s="449"/>
      <c r="J62" s="449"/>
      <c r="K62" s="449"/>
      <c r="L62" s="449"/>
      <c r="M62" s="450"/>
      <c r="N62" s="116" t="s">
        <v>594</v>
      </c>
      <c r="O62" s="289" t="s">
        <v>595</v>
      </c>
      <c r="P62" s="451" t="s">
        <v>586</v>
      </c>
      <c r="Q62" s="452"/>
      <c r="R62" s="451" t="s">
        <v>593</v>
      </c>
      <c r="S62" s="453"/>
      <c r="T62" s="453"/>
      <c r="U62" s="452"/>
      <c r="V62" s="454" t="s">
        <v>584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/>
      <c r="B63" s="447"/>
      <c r="C63" s="283"/>
      <c r="D63" s="283"/>
      <c r="E63" s="284"/>
      <c r="F63" s="448"/>
      <c r="G63" s="449"/>
      <c r="H63" s="449"/>
      <c r="I63" s="449"/>
      <c r="J63" s="449"/>
      <c r="K63" s="449"/>
      <c r="L63" s="449"/>
      <c r="M63" s="450"/>
      <c r="N63" s="116" t="s">
        <v>594</v>
      </c>
      <c r="O63" s="289" t="s">
        <v>597</v>
      </c>
      <c r="P63" s="451" t="s">
        <v>586</v>
      </c>
      <c r="Q63" s="452"/>
      <c r="R63" s="451" t="s">
        <v>596</v>
      </c>
      <c r="S63" s="453"/>
      <c r="T63" s="453"/>
      <c r="U63" s="452"/>
      <c r="V63" s="454" t="s">
        <v>584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/>
      <c r="B64" s="447"/>
      <c r="C64" s="283"/>
      <c r="D64" s="283"/>
      <c r="E64" s="284"/>
      <c r="F64" s="448"/>
      <c r="G64" s="449"/>
      <c r="H64" s="449"/>
      <c r="I64" s="449"/>
      <c r="J64" s="449"/>
      <c r="K64" s="449"/>
      <c r="L64" s="449"/>
      <c r="M64" s="450"/>
      <c r="N64" s="116" t="s">
        <v>600</v>
      </c>
      <c r="O64" s="289" t="s">
        <v>601</v>
      </c>
      <c r="P64" s="451" t="s">
        <v>599</v>
      </c>
      <c r="Q64" s="452"/>
      <c r="R64" s="451" t="s">
        <v>598</v>
      </c>
      <c r="S64" s="453"/>
      <c r="T64" s="453"/>
      <c r="U64" s="452"/>
      <c r="V64" s="454" t="s">
        <v>584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/>
      <c r="B65" s="447"/>
      <c r="C65" s="283"/>
      <c r="D65" s="283"/>
      <c r="E65" s="284"/>
      <c r="F65" s="448"/>
      <c r="G65" s="449"/>
      <c r="H65" s="449"/>
      <c r="I65" s="449"/>
      <c r="J65" s="449"/>
      <c r="K65" s="449"/>
      <c r="L65" s="449"/>
      <c r="M65" s="450"/>
      <c r="N65" s="116" t="s">
        <v>594</v>
      </c>
      <c r="O65" s="289" t="s">
        <v>603</v>
      </c>
      <c r="P65" s="451" t="s">
        <v>604</v>
      </c>
      <c r="Q65" s="452"/>
      <c r="R65" s="451" t="s">
        <v>602</v>
      </c>
      <c r="S65" s="453"/>
      <c r="T65" s="453"/>
      <c r="U65" s="452"/>
      <c r="V65" s="454" t="s">
        <v>584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/>
      <c r="B66" s="447"/>
      <c r="C66" s="283"/>
      <c r="D66" s="283"/>
      <c r="E66" s="284"/>
      <c r="F66" s="448"/>
      <c r="G66" s="449"/>
      <c r="H66" s="449"/>
      <c r="I66" s="449"/>
      <c r="J66" s="449"/>
      <c r="K66" s="449"/>
      <c r="L66" s="449"/>
      <c r="M66" s="450"/>
      <c r="N66" s="116" t="s">
        <v>116</v>
      </c>
      <c r="O66" s="289" t="s">
        <v>585</v>
      </c>
      <c r="P66" s="451" t="s">
        <v>586</v>
      </c>
      <c r="Q66" s="452"/>
      <c r="R66" s="451" t="s">
        <v>605</v>
      </c>
      <c r="S66" s="453"/>
      <c r="T66" s="453"/>
      <c r="U66" s="452"/>
      <c r="V66" s="454" t="s">
        <v>584</v>
      </c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283"/>
      <c r="D67" s="283"/>
      <c r="E67" s="284"/>
      <c r="F67" s="448"/>
      <c r="G67" s="449"/>
      <c r="H67" s="449"/>
      <c r="I67" s="449"/>
      <c r="J67" s="449"/>
      <c r="K67" s="449"/>
      <c r="L67" s="449"/>
      <c r="M67" s="450"/>
      <c r="N67" s="116" t="s">
        <v>116</v>
      </c>
      <c r="O67" s="289" t="s">
        <v>581</v>
      </c>
      <c r="P67" s="451" t="s">
        <v>592</v>
      </c>
      <c r="Q67" s="452"/>
      <c r="R67" s="451" t="s">
        <v>606</v>
      </c>
      <c r="S67" s="453"/>
      <c r="T67" s="453"/>
      <c r="U67" s="452"/>
      <c r="V67" s="454" t="s">
        <v>584</v>
      </c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83"/>
      <c r="D68" s="283"/>
      <c r="E68" s="284"/>
      <c r="F68" s="448"/>
      <c r="G68" s="449"/>
      <c r="H68" s="449"/>
      <c r="I68" s="449"/>
      <c r="J68" s="449"/>
      <c r="K68" s="449"/>
      <c r="L68" s="449"/>
      <c r="M68" s="450"/>
      <c r="N68" s="116"/>
      <c r="O68" s="289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85"/>
      <c r="D69" s="286"/>
      <c r="E69" s="285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607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287" t="s">
        <v>2</v>
      </c>
      <c r="D71" s="287" t="s">
        <v>37</v>
      </c>
      <c r="E71" s="287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287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291"/>
      <c r="E72" s="288" t="s">
        <v>142</v>
      </c>
      <c r="F72" s="475" t="s">
        <v>608</v>
      </c>
      <c r="G72" s="476"/>
      <c r="H72" s="476"/>
      <c r="I72" s="476"/>
      <c r="J72" s="476"/>
      <c r="K72" s="476" t="s">
        <v>133</v>
      </c>
      <c r="L72" s="476"/>
      <c r="M72" s="51" t="s">
        <v>260</v>
      </c>
      <c r="N72" s="477" t="s">
        <v>148</v>
      </c>
      <c r="O72" s="477"/>
      <c r="P72" s="478">
        <v>300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116</v>
      </c>
      <c r="D73" s="291"/>
      <c r="E73" s="288" t="s">
        <v>115</v>
      </c>
      <c r="F73" s="481" t="s">
        <v>609</v>
      </c>
      <c r="G73" s="482"/>
      <c r="H73" s="482"/>
      <c r="I73" s="482"/>
      <c r="J73" s="483"/>
      <c r="K73" s="476">
        <v>7301</v>
      </c>
      <c r="L73" s="476"/>
      <c r="M73" s="51" t="s">
        <v>260</v>
      </c>
      <c r="N73" s="477" t="s">
        <v>148</v>
      </c>
      <c r="O73" s="477"/>
      <c r="P73" s="478">
        <v>50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 t="s">
        <v>116</v>
      </c>
      <c r="D74" s="291"/>
      <c r="E74" s="288" t="s">
        <v>161</v>
      </c>
      <c r="F74" s="475" t="s">
        <v>610</v>
      </c>
      <c r="G74" s="476"/>
      <c r="H74" s="476"/>
      <c r="I74" s="476"/>
      <c r="J74" s="476"/>
      <c r="K74" s="476" t="s">
        <v>122</v>
      </c>
      <c r="L74" s="476"/>
      <c r="M74" s="51" t="s">
        <v>260</v>
      </c>
      <c r="N74" s="477" t="s">
        <v>148</v>
      </c>
      <c r="O74" s="477"/>
      <c r="P74" s="478">
        <v>50</v>
      </c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291"/>
      <c r="E75" s="288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291"/>
      <c r="E76" s="288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291"/>
      <c r="E77" s="288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291"/>
      <c r="E78" s="288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291"/>
      <c r="E79" s="288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291"/>
      <c r="E80" s="288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291"/>
      <c r="E81" s="288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611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290" t="s">
        <v>2</v>
      </c>
      <c r="D83" s="290" t="s">
        <v>37</v>
      </c>
      <c r="E83" s="290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292"/>
      <c r="D84" s="292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291"/>
      <c r="D85" s="291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291"/>
      <c r="D86" s="291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291"/>
      <c r="D87" s="291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291"/>
      <c r="D88" s="291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291"/>
      <c r="D89" s="291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291"/>
      <c r="D90" s="291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612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40C9-727C-4E31-95F3-773DF94E0E21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613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295" t="s">
        <v>17</v>
      </c>
      <c r="L5" s="295" t="s">
        <v>18</v>
      </c>
      <c r="M5" s="295" t="s">
        <v>19</v>
      </c>
      <c r="N5" s="29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9986</v>
      </c>
      <c r="K6" s="15">
        <f>L6+10316+11230+10284+10670+10340+11054+11138+10532+10088</f>
        <v>105638</v>
      </c>
      <c r="L6" s="15">
        <f>2726*2+2267*2</f>
        <v>9986</v>
      </c>
      <c r="M6" s="15">
        <f t="shared" ref="M6:M29" si="0">L6-N6</f>
        <v>9986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0.40450055839939331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411</v>
      </c>
      <c r="F7" s="30" t="s">
        <v>136</v>
      </c>
      <c r="G7" s="12">
        <v>1</v>
      </c>
      <c r="H7" s="13">
        <v>24</v>
      </c>
      <c r="I7" s="31">
        <v>500</v>
      </c>
      <c r="J7" s="14">
        <v>1053</v>
      </c>
      <c r="K7" s="15">
        <f>L7+1053</f>
        <v>1053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0.40450055839939331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2</v>
      </c>
      <c r="H8" s="13">
        <v>24</v>
      </c>
      <c r="I8" s="7">
        <v>120000</v>
      </c>
      <c r="J8" s="14">
        <v>5576</v>
      </c>
      <c r="K8" s="15">
        <f>L8+8168+10878+10884+10350+9202+10794+10918+10934+10410</f>
        <v>98114</v>
      </c>
      <c r="L8" s="15">
        <f>2788*2</f>
        <v>5576</v>
      </c>
      <c r="M8" s="15">
        <f t="shared" si="0"/>
        <v>5576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8"/>
        <v>0.54166666666666663</v>
      </c>
      <c r="AE8" s="36">
        <f t="shared" si="6"/>
        <v>0.40450055839939331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4800</v>
      </c>
      <c r="K9" s="15">
        <f>L9+4052+2420+3622+4243+4946</f>
        <v>24083</v>
      </c>
      <c r="L9" s="15">
        <f>2587+2213</f>
        <v>4800</v>
      </c>
      <c r="M9" s="15">
        <f t="shared" si="0"/>
        <v>4800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0.40450055839939331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614</v>
      </c>
      <c r="F10" s="30" t="s">
        <v>175</v>
      </c>
      <c r="G10" s="33">
        <v>2</v>
      </c>
      <c r="H10" s="35">
        <v>24</v>
      </c>
      <c r="I10" s="7">
        <v>230000</v>
      </c>
      <c r="J10" s="14">
        <v>12038</v>
      </c>
      <c r="K10" s="15">
        <f>L10</f>
        <v>12038</v>
      </c>
      <c r="L10" s="15">
        <f>2854*2+3165*2</f>
        <v>12038</v>
      </c>
      <c r="M10" s="15">
        <f t="shared" si="0"/>
        <v>12038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0.40450055839939331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135</v>
      </c>
      <c r="E11" s="53" t="s">
        <v>266</v>
      </c>
      <c r="F11" s="30" t="s">
        <v>615</v>
      </c>
      <c r="G11" s="33">
        <v>1</v>
      </c>
      <c r="H11" s="35">
        <v>24</v>
      </c>
      <c r="I11" s="7">
        <v>2500</v>
      </c>
      <c r="J11" s="14">
        <v>2949</v>
      </c>
      <c r="K11" s="15">
        <f>L11</f>
        <v>2949</v>
      </c>
      <c r="L11" s="15">
        <f>250+2699</f>
        <v>2949</v>
      </c>
      <c r="M11" s="15">
        <f t="shared" si="0"/>
        <v>2949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0.58333333333333337</v>
      </c>
      <c r="AD11" s="10">
        <f t="shared" si="8"/>
        <v>0.58333333333333337</v>
      </c>
      <c r="AE11" s="36">
        <f t="shared" si="6"/>
        <v>0.40450055839939331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9377</v>
      </c>
      <c r="K12" s="15">
        <f>L12+9010+9624+9178</f>
        <v>37186</v>
      </c>
      <c r="L12" s="15">
        <f>2452*2+2235*2</f>
        <v>9374</v>
      </c>
      <c r="M12" s="15">
        <f t="shared" si="0"/>
        <v>9374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0.9996800682521062</v>
      </c>
      <c r="AC12" s="9">
        <f t="shared" si="5"/>
        <v>1</v>
      </c>
      <c r="AD12" s="10">
        <f t="shared" si="8"/>
        <v>0.9996800682521062</v>
      </c>
      <c r="AE12" s="36">
        <f t="shared" si="6"/>
        <v>0.40450055839939331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112</v>
      </c>
      <c r="D13" s="52" t="s">
        <v>115</v>
      </c>
      <c r="E13" s="53" t="s">
        <v>616</v>
      </c>
      <c r="F13" s="30" t="s">
        <v>360</v>
      </c>
      <c r="G13" s="12">
        <v>3</v>
      </c>
      <c r="H13" s="13">
        <v>22</v>
      </c>
      <c r="I13" s="31">
        <v>61000</v>
      </c>
      <c r="J13" s="5">
        <v>6200</v>
      </c>
      <c r="K13" s="15">
        <f>L13</f>
        <v>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8"/>
        <v>0</v>
      </c>
      <c r="AE13" s="36">
        <f t="shared" si="6"/>
        <v>0.40450055839939331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596</v>
      </c>
      <c r="F14" s="30" t="s">
        <v>143</v>
      </c>
      <c r="G14" s="33">
        <v>1</v>
      </c>
      <c r="H14" s="35">
        <v>50</v>
      </c>
      <c r="I14" s="7">
        <v>100</v>
      </c>
      <c r="J14" s="5">
        <v>83</v>
      </c>
      <c r="K14" s="15">
        <f>L14</f>
        <v>83</v>
      </c>
      <c r="L14" s="15">
        <v>83</v>
      </c>
      <c r="M14" s="15">
        <f t="shared" si="0"/>
        <v>83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8"/>
        <v>0.16666666666666666</v>
      </c>
      <c r="AE14" s="36">
        <f t="shared" si="6"/>
        <v>0.40450055839939331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599</v>
      </c>
      <c r="E15" s="53" t="s">
        <v>617</v>
      </c>
      <c r="F15" s="30" t="s">
        <v>180</v>
      </c>
      <c r="G15" s="12">
        <v>4</v>
      </c>
      <c r="H15" s="13">
        <v>24</v>
      </c>
      <c r="I15" s="31">
        <v>41000</v>
      </c>
      <c r="J15" s="14">
        <v>24228</v>
      </c>
      <c r="K15" s="15">
        <f>L15</f>
        <v>24228</v>
      </c>
      <c r="L15" s="15">
        <f>2552*4+3278*4+227*4</f>
        <v>24228</v>
      </c>
      <c r="M15" s="15">
        <f t="shared" si="0"/>
        <v>24228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0.40450055839939331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144</v>
      </c>
      <c r="E16" s="53" t="s">
        <v>602</v>
      </c>
      <c r="F16" s="30" t="s">
        <v>437</v>
      </c>
      <c r="G16" s="12">
        <v>2</v>
      </c>
      <c r="H16" s="13">
        <v>22</v>
      </c>
      <c r="I16" s="31">
        <v>60000</v>
      </c>
      <c r="J16" s="5">
        <v>5172</v>
      </c>
      <c r="K16" s="15">
        <f>L16</f>
        <v>5172</v>
      </c>
      <c r="L16" s="15">
        <f>2586*2</f>
        <v>5172</v>
      </c>
      <c r="M16" s="15">
        <f t="shared" si="0"/>
        <v>5172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8"/>
        <v>0.58333333333333337</v>
      </c>
      <c r="AE16" s="36">
        <f t="shared" si="6"/>
        <v>0.40450055839939331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345</v>
      </c>
      <c r="D17" s="52"/>
      <c r="E17" s="53" t="s">
        <v>361</v>
      </c>
      <c r="F17" s="30" t="s">
        <v>362</v>
      </c>
      <c r="G17" s="12">
        <v>2</v>
      </c>
      <c r="H17" s="13">
        <v>24</v>
      </c>
      <c r="I17" s="7">
        <v>30000</v>
      </c>
      <c r="J17" s="14">
        <v>12262</v>
      </c>
      <c r="K17" s="15">
        <f>L17+11722+12262</f>
        <v>23984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0.40450055839939331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605</v>
      </c>
      <c r="F18" s="30" t="s">
        <v>133</v>
      </c>
      <c r="G18" s="12">
        <v>1</v>
      </c>
      <c r="H18" s="13">
        <v>22</v>
      </c>
      <c r="I18" s="31">
        <v>14000</v>
      </c>
      <c r="J18" s="5">
        <v>4826</v>
      </c>
      <c r="K18" s="15">
        <f>L18</f>
        <v>4826</v>
      </c>
      <c r="L18" s="15">
        <f>1940+2886</f>
        <v>4826</v>
      </c>
      <c r="M18" s="15">
        <f t="shared" si="0"/>
        <v>4826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8"/>
        <v>0.83333333333333337</v>
      </c>
      <c r="AE18" s="36">
        <f t="shared" si="6"/>
        <v>0.40450055839939331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6878</v>
      </c>
      <c r="K19" s="15">
        <f>L19+9720+11486+11352+11400+10842+7716+11382+11408+11492+10720</f>
        <v>114396</v>
      </c>
      <c r="L19" s="15">
        <f>2875*2+564*2</f>
        <v>6878</v>
      </c>
      <c r="M19" s="15">
        <f t="shared" si="0"/>
        <v>6878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 t="shared" si="8"/>
        <v>0.66666666666666663</v>
      </c>
      <c r="AE19" s="36">
        <f t="shared" si="6"/>
        <v>0.40450055839939331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121</v>
      </c>
      <c r="E20" s="53" t="s">
        <v>618</v>
      </c>
      <c r="F20" s="30" t="s">
        <v>437</v>
      </c>
      <c r="G20" s="33">
        <v>2</v>
      </c>
      <c r="H20" s="35">
        <v>24</v>
      </c>
      <c r="I20" s="7">
        <v>9000</v>
      </c>
      <c r="J20" s="14">
        <v>3688</v>
      </c>
      <c r="K20" s="15">
        <f>L20</f>
        <v>3688</v>
      </c>
      <c r="L20" s="15">
        <f>1844*2</f>
        <v>3688</v>
      </c>
      <c r="M20" s="15">
        <f t="shared" si="0"/>
        <v>3688</v>
      </c>
      <c r="N20" s="15">
        <v>0</v>
      </c>
      <c r="O20" s="58">
        <f t="shared" si="1"/>
        <v>0</v>
      </c>
      <c r="P20" s="39">
        <f t="shared" si="2"/>
        <v>8</v>
      </c>
      <c r="Q20" s="40">
        <f t="shared" si="3"/>
        <v>16</v>
      </c>
      <c r="R20" s="7"/>
      <c r="S20" s="6">
        <v>16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0.33333333333333331</v>
      </c>
      <c r="AD20" s="10">
        <f t="shared" si="8"/>
        <v>0.33333333333333331</v>
      </c>
      <c r="AE20" s="36">
        <f t="shared" si="6"/>
        <v>0.40450055839939331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25968</v>
      </c>
      <c r="K21" s="15">
        <f>L21+64424+64620+22548+54104+64632+65016+67504+61284+57732+64780+64192+63920+55712+65444+64496+64864+62952+56316+64508+25968</f>
        <v>1175016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0.40450055839939331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0.40450055839939331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0.40450055839939331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L24+1872+6880</f>
        <v>8752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0.40450055839939331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0.40450055839939331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19824</v>
      </c>
      <c r="K26" s="15">
        <f>L26+20480+24108+23840+23940+22144+18434+21892+23604+20052</f>
        <v>218318</v>
      </c>
      <c r="L26" s="15">
        <f>1800*4+3156*4</f>
        <v>19824</v>
      </c>
      <c r="M26" s="15">
        <f t="shared" si="0"/>
        <v>19824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0.40450055839939331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23324</v>
      </c>
      <c r="K27" s="15">
        <f>L27+22128+27588+27392+27540+25512+23844+27296+27604+27180+23324</f>
        <v>259408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0.40450055839939331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25000</v>
      </c>
      <c r="K28" s="15">
        <f>L28+18992+29436+29448+29672+26652+25912+29256+29552+29404+25000</f>
        <v>273324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0.40450055839939331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0.40450055839939331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7170100</v>
      </c>
      <c r="J30" s="19">
        <f t="shared" si="10"/>
        <v>497932</v>
      </c>
      <c r="K30" s="20">
        <f t="shared" si="10"/>
        <v>5113324</v>
      </c>
      <c r="L30" s="21">
        <f t="shared" si="10"/>
        <v>109422</v>
      </c>
      <c r="M30" s="20">
        <f t="shared" si="10"/>
        <v>109422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233</v>
      </c>
      <c r="Q30" s="43">
        <f t="shared" si="11"/>
        <v>343</v>
      </c>
      <c r="R30" s="23">
        <f t="shared" si="11"/>
        <v>0</v>
      </c>
      <c r="S30" s="24">
        <f t="shared" si="11"/>
        <v>103</v>
      </c>
      <c r="T30" s="24">
        <f t="shared" si="11"/>
        <v>0</v>
      </c>
      <c r="U30" s="24">
        <f t="shared" si="11"/>
        <v>0</v>
      </c>
      <c r="V30" s="25">
        <f t="shared" si="11"/>
        <v>48</v>
      </c>
      <c r="W30" s="26">
        <f t="shared" si="11"/>
        <v>168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24</v>
      </c>
      <c r="AB30" s="28">
        <f>AVERAGE(AB6:AB29)</f>
        <v>0.5652034812283524</v>
      </c>
      <c r="AC30" s="4">
        <f>AVERAGE(AC6:AC29)</f>
        <v>0.4045138888888889</v>
      </c>
      <c r="AD30" s="4">
        <f>AVERAGE(AD6:AD29)</f>
        <v>0.40450055839939331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619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639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296" t="s">
        <v>46</v>
      </c>
      <c r="D59" s="296" t="s">
        <v>47</v>
      </c>
      <c r="E59" s="296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296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297" t="s">
        <v>148</v>
      </c>
      <c r="D60" s="297" t="s">
        <v>135</v>
      </c>
      <c r="E60" s="298" t="s">
        <v>266</v>
      </c>
      <c r="F60" s="448" t="s">
        <v>270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303" t="s">
        <v>148</v>
      </c>
      <c r="P60" s="451" t="s">
        <v>115</v>
      </c>
      <c r="Q60" s="452"/>
      <c r="R60" s="451" t="s">
        <v>272</v>
      </c>
      <c r="S60" s="453"/>
      <c r="T60" s="453"/>
      <c r="U60" s="452"/>
      <c r="V60" s="454" t="s">
        <v>146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297" t="s">
        <v>234</v>
      </c>
      <c r="D61" s="297" t="s">
        <v>121</v>
      </c>
      <c r="E61" s="298" t="s">
        <v>618</v>
      </c>
      <c r="F61" s="448" t="s">
        <v>620</v>
      </c>
      <c r="G61" s="449"/>
      <c r="H61" s="449"/>
      <c r="I61" s="449"/>
      <c r="J61" s="449"/>
      <c r="K61" s="449"/>
      <c r="L61" s="449"/>
      <c r="M61" s="450"/>
      <c r="N61" s="116" t="s">
        <v>112</v>
      </c>
      <c r="O61" s="311" t="s">
        <v>295</v>
      </c>
      <c r="P61" s="451" t="s">
        <v>115</v>
      </c>
      <c r="Q61" s="452"/>
      <c r="R61" s="451" t="s">
        <v>593</v>
      </c>
      <c r="S61" s="453"/>
      <c r="T61" s="453"/>
      <c r="U61" s="452"/>
      <c r="V61" s="454" t="s">
        <v>137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297" t="s">
        <v>231</v>
      </c>
      <c r="D62" s="297" t="s">
        <v>115</v>
      </c>
      <c r="E62" s="298" t="s">
        <v>621</v>
      </c>
      <c r="F62" s="448" t="s">
        <v>622</v>
      </c>
      <c r="G62" s="449"/>
      <c r="H62" s="449"/>
      <c r="I62" s="449"/>
      <c r="J62" s="449"/>
      <c r="K62" s="449"/>
      <c r="L62" s="449"/>
      <c r="M62" s="450"/>
      <c r="N62" s="116" t="s">
        <v>112</v>
      </c>
      <c r="O62" s="311" t="s">
        <v>159</v>
      </c>
      <c r="P62" s="451" t="s">
        <v>115</v>
      </c>
      <c r="Q62" s="452"/>
      <c r="R62" s="451" t="s">
        <v>640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623</v>
      </c>
      <c r="B63" s="447"/>
      <c r="C63" s="297" t="s">
        <v>624</v>
      </c>
      <c r="D63" s="297" t="s">
        <v>115</v>
      </c>
      <c r="E63" s="298" t="s">
        <v>625</v>
      </c>
      <c r="F63" s="448" t="s">
        <v>626</v>
      </c>
      <c r="G63" s="449"/>
      <c r="H63" s="449"/>
      <c r="I63" s="449"/>
      <c r="J63" s="449"/>
      <c r="K63" s="449"/>
      <c r="L63" s="449"/>
      <c r="M63" s="450"/>
      <c r="N63" s="116" t="s">
        <v>116</v>
      </c>
      <c r="O63" s="303" t="s">
        <v>234</v>
      </c>
      <c r="P63" s="451" t="s">
        <v>121</v>
      </c>
      <c r="Q63" s="452"/>
      <c r="R63" s="451" t="s">
        <v>641</v>
      </c>
      <c r="S63" s="453"/>
      <c r="T63" s="453"/>
      <c r="U63" s="452"/>
      <c r="V63" s="454" t="s">
        <v>146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297" t="s">
        <v>627</v>
      </c>
      <c r="D64" s="297" t="s">
        <v>628</v>
      </c>
      <c r="E64" s="298" t="s">
        <v>629</v>
      </c>
      <c r="F64" s="448" t="s">
        <v>626</v>
      </c>
      <c r="G64" s="449"/>
      <c r="H64" s="449"/>
      <c r="I64" s="449"/>
      <c r="J64" s="449"/>
      <c r="K64" s="449"/>
      <c r="L64" s="449"/>
      <c r="M64" s="450"/>
      <c r="N64" s="116" t="s">
        <v>642</v>
      </c>
      <c r="O64" s="303" t="s">
        <v>643</v>
      </c>
      <c r="P64" s="451"/>
      <c r="Q64" s="452"/>
      <c r="R64" s="451" t="s">
        <v>644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623</v>
      </c>
      <c r="B65" s="447"/>
      <c r="C65" s="297" t="s">
        <v>630</v>
      </c>
      <c r="D65" s="297" t="s">
        <v>115</v>
      </c>
      <c r="E65" s="298" t="s">
        <v>616</v>
      </c>
      <c r="F65" s="448" t="s">
        <v>631</v>
      </c>
      <c r="G65" s="449"/>
      <c r="H65" s="449"/>
      <c r="I65" s="449"/>
      <c r="J65" s="449"/>
      <c r="K65" s="449"/>
      <c r="L65" s="449"/>
      <c r="M65" s="450"/>
      <c r="N65" s="116"/>
      <c r="O65" s="303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632</v>
      </c>
      <c r="B66" s="447"/>
      <c r="C66" s="297" t="s">
        <v>633</v>
      </c>
      <c r="D66" s="297" t="s">
        <v>634</v>
      </c>
      <c r="E66" s="298" t="s">
        <v>617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/>
      <c r="O66" s="303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623</v>
      </c>
      <c r="B67" s="447"/>
      <c r="C67" s="297" t="s">
        <v>635</v>
      </c>
      <c r="D67" s="297" t="s">
        <v>636</v>
      </c>
      <c r="E67" s="298" t="s">
        <v>637</v>
      </c>
      <c r="F67" s="448" t="s">
        <v>638</v>
      </c>
      <c r="G67" s="449"/>
      <c r="H67" s="449"/>
      <c r="I67" s="449"/>
      <c r="J67" s="449"/>
      <c r="K67" s="449"/>
      <c r="L67" s="449"/>
      <c r="M67" s="450"/>
      <c r="N67" s="116"/>
      <c r="O67" s="303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297"/>
      <c r="D68" s="297"/>
      <c r="E68" s="298"/>
      <c r="F68" s="448"/>
      <c r="G68" s="449"/>
      <c r="H68" s="449"/>
      <c r="I68" s="449"/>
      <c r="J68" s="449"/>
      <c r="K68" s="449"/>
      <c r="L68" s="449"/>
      <c r="M68" s="450"/>
      <c r="N68" s="116"/>
      <c r="O68" s="303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299"/>
      <c r="D69" s="300"/>
      <c r="E69" s="299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645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301" t="s">
        <v>2</v>
      </c>
      <c r="D71" s="301" t="s">
        <v>37</v>
      </c>
      <c r="E71" s="301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301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305"/>
      <c r="E72" s="302" t="s">
        <v>135</v>
      </c>
      <c r="F72" s="475" t="s">
        <v>266</v>
      </c>
      <c r="G72" s="476"/>
      <c r="H72" s="476"/>
      <c r="I72" s="476"/>
      <c r="J72" s="476"/>
      <c r="K72" s="476">
        <v>7301</v>
      </c>
      <c r="L72" s="476"/>
      <c r="M72" s="51" t="s">
        <v>246</v>
      </c>
      <c r="N72" s="477" t="s">
        <v>148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305"/>
      <c r="E73" s="302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305"/>
      <c r="E74" s="302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305"/>
      <c r="E75" s="302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305"/>
      <c r="E76" s="302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305"/>
      <c r="E77" s="302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305"/>
      <c r="E78" s="302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305"/>
      <c r="E79" s="302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305"/>
      <c r="E80" s="302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305"/>
      <c r="E81" s="302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646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304" t="s">
        <v>2</v>
      </c>
      <c r="D83" s="304" t="s">
        <v>37</v>
      </c>
      <c r="E83" s="304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306"/>
      <c r="D84" s="306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305"/>
      <c r="D85" s="305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305"/>
      <c r="D86" s="305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305"/>
      <c r="D87" s="305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305"/>
      <c r="D88" s="305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305"/>
      <c r="D89" s="305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305"/>
      <c r="D90" s="305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647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947-9828-4079-A0F7-1B1CAD17B2E7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648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10806</v>
      </c>
      <c r="K6" s="15">
        <f>L6+10316+11230+10284+10670+10340+11054+11138+10532+10088+9986</f>
        <v>116444</v>
      </c>
      <c r="L6" s="15">
        <f>2734*2+2669*2</f>
        <v>10806</v>
      </c>
      <c r="M6" s="15">
        <f t="shared" ref="M6:M29" si="0">L6-N6</f>
        <v>10806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0.49826388888888884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4743</v>
      </c>
      <c r="K7" s="15">
        <f>L7</f>
        <v>4743</v>
      </c>
      <c r="L7" s="15">
        <f>1487+3256</f>
        <v>4743</v>
      </c>
      <c r="M7" s="15">
        <f t="shared" si="0"/>
        <v>4743</v>
      </c>
      <c r="N7" s="15">
        <v>0</v>
      </c>
      <c r="O7" s="58">
        <f t="shared" si="1"/>
        <v>0</v>
      </c>
      <c r="P7" s="39">
        <f t="shared" si="2"/>
        <v>20</v>
      </c>
      <c r="Q7" s="40">
        <f t="shared" si="3"/>
        <v>4</v>
      </c>
      <c r="R7" s="7"/>
      <c r="S7" s="6"/>
      <c r="T7" s="16">
        <v>4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0.83333333333333337</v>
      </c>
      <c r="AD7" s="10">
        <f t="shared" ref="AD7:AD29" si="8">AC7*AB7*(1-O7)</f>
        <v>0.83333333333333337</v>
      </c>
      <c r="AE7" s="36">
        <f t="shared" si="6"/>
        <v>0.49826388888888884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1</v>
      </c>
      <c r="H8" s="13">
        <v>24</v>
      </c>
      <c r="I8" s="7">
        <v>120000</v>
      </c>
      <c r="J8" s="14">
        <v>3863</v>
      </c>
      <c r="K8" s="15">
        <f>L8+8168+10878+10884+10350+9202+10794+10918+10934+10410+5576</f>
        <v>101977</v>
      </c>
      <c r="L8" s="15">
        <f>2453+705*2</f>
        <v>3863</v>
      </c>
      <c r="M8" s="15">
        <f t="shared" si="0"/>
        <v>3863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8"/>
        <v>0.58333333333333337</v>
      </c>
      <c r="AE8" s="36">
        <f t="shared" si="6"/>
        <v>0.49826388888888884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4548</v>
      </c>
      <c r="K9" s="15">
        <f>L9+4052+2420+3622+4243+4946+4800</f>
        <v>28631</v>
      </c>
      <c r="L9" s="15">
        <f>2564+1984</f>
        <v>4548</v>
      </c>
      <c r="M9" s="15">
        <f t="shared" si="0"/>
        <v>4548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8"/>
        <v>0.83333333333333337</v>
      </c>
      <c r="AE9" s="36">
        <f t="shared" si="6"/>
        <v>0.49826388888888884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614</v>
      </c>
      <c r="F10" s="30" t="s">
        <v>175</v>
      </c>
      <c r="G10" s="33">
        <v>2</v>
      </c>
      <c r="H10" s="35">
        <v>24</v>
      </c>
      <c r="I10" s="7">
        <v>230000</v>
      </c>
      <c r="J10" s="14">
        <v>12846</v>
      </c>
      <c r="K10" s="15">
        <f>L10+12038</f>
        <v>24884</v>
      </c>
      <c r="L10" s="15">
        <f>3233*2+3190*2</f>
        <v>12846</v>
      </c>
      <c r="M10" s="15">
        <f t="shared" si="0"/>
        <v>12846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0.49826388888888884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135</v>
      </c>
      <c r="E11" s="53" t="s">
        <v>272</v>
      </c>
      <c r="F11" s="30" t="s">
        <v>615</v>
      </c>
      <c r="G11" s="33">
        <v>1</v>
      </c>
      <c r="H11" s="35">
        <v>24</v>
      </c>
      <c r="I11" s="7">
        <v>600</v>
      </c>
      <c r="J11" s="14">
        <v>2039</v>
      </c>
      <c r="K11" s="15">
        <f>L11</f>
        <v>2039</v>
      </c>
      <c r="L11" s="15">
        <f>898+1141</f>
        <v>2039</v>
      </c>
      <c r="M11" s="15">
        <f t="shared" si="0"/>
        <v>2039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>
        <v>14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8"/>
        <v>0.41666666666666669</v>
      </c>
      <c r="AE11" s="36">
        <f t="shared" si="6"/>
        <v>0.49826388888888884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9224</v>
      </c>
      <c r="K12" s="15">
        <f>L12+9010+9624+9178+9374</f>
        <v>46410</v>
      </c>
      <c r="L12" s="15">
        <f>2460*2+2152*2</f>
        <v>9224</v>
      </c>
      <c r="M12" s="15">
        <f t="shared" si="0"/>
        <v>9224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0.49826388888888884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112</v>
      </c>
      <c r="D13" s="52" t="s">
        <v>115</v>
      </c>
      <c r="E13" s="53" t="s">
        <v>616</v>
      </c>
      <c r="F13" s="30" t="s">
        <v>360</v>
      </c>
      <c r="G13" s="12">
        <v>2</v>
      </c>
      <c r="H13" s="13">
        <v>22</v>
      </c>
      <c r="I13" s="31">
        <v>61000</v>
      </c>
      <c r="J13" s="5">
        <v>4420</v>
      </c>
      <c r="K13" s="15">
        <f>L13</f>
        <v>4420</v>
      </c>
      <c r="L13" s="15">
        <f>2210*2</f>
        <v>4420</v>
      </c>
      <c r="M13" s="15">
        <f t="shared" si="0"/>
        <v>4420</v>
      </c>
      <c r="N13" s="15">
        <v>0</v>
      </c>
      <c r="O13" s="58">
        <f t="shared" si="1"/>
        <v>0</v>
      </c>
      <c r="P13" s="39">
        <f t="shared" si="2"/>
        <v>11</v>
      </c>
      <c r="Q13" s="40">
        <f t="shared" si="3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0.45833333333333331</v>
      </c>
      <c r="AD13" s="10">
        <f t="shared" si="8"/>
        <v>0.45833333333333331</v>
      </c>
      <c r="AE13" s="36">
        <f t="shared" si="6"/>
        <v>0.49826388888888884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640</v>
      </c>
      <c r="F14" s="30" t="s">
        <v>650</v>
      </c>
      <c r="G14" s="33">
        <v>1</v>
      </c>
      <c r="H14" s="35">
        <v>50</v>
      </c>
      <c r="I14" s="7">
        <v>300</v>
      </c>
      <c r="J14" s="5">
        <v>83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0.49826388888888884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599</v>
      </c>
      <c r="E15" s="53" t="s">
        <v>617</v>
      </c>
      <c r="F15" s="30" t="s">
        <v>180</v>
      </c>
      <c r="G15" s="12">
        <v>3</v>
      </c>
      <c r="H15" s="13">
        <v>24</v>
      </c>
      <c r="I15" s="31">
        <v>41000</v>
      </c>
      <c r="J15" s="14">
        <v>19092</v>
      </c>
      <c r="K15" s="15">
        <f>L15+24228</f>
        <v>43320</v>
      </c>
      <c r="L15" s="15">
        <f>2974*3+3390*3</f>
        <v>19092</v>
      </c>
      <c r="M15" s="15">
        <f t="shared" si="0"/>
        <v>19092</v>
      </c>
      <c r="N15" s="15">
        <v>0</v>
      </c>
      <c r="O15" s="58">
        <f t="shared" si="1"/>
        <v>0</v>
      </c>
      <c r="P15" s="39">
        <f t="shared" si="2"/>
        <v>23</v>
      </c>
      <c r="Q15" s="40">
        <f t="shared" si="3"/>
        <v>1</v>
      </c>
      <c r="R15" s="7"/>
      <c r="S15" s="6">
        <v>1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0.95833333333333337</v>
      </c>
      <c r="AD15" s="10">
        <f t="shared" si="8"/>
        <v>0.95833333333333337</v>
      </c>
      <c r="AE15" s="36">
        <f t="shared" si="6"/>
        <v>0.49826388888888884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144</v>
      </c>
      <c r="E16" s="53" t="s">
        <v>602</v>
      </c>
      <c r="F16" s="30" t="s">
        <v>437</v>
      </c>
      <c r="G16" s="12">
        <v>2</v>
      </c>
      <c r="H16" s="13">
        <v>22</v>
      </c>
      <c r="I16" s="31">
        <v>60000</v>
      </c>
      <c r="J16" s="5">
        <v>6526</v>
      </c>
      <c r="K16" s="15">
        <f>L16+5172</f>
        <v>11698</v>
      </c>
      <c r="L16" s="15">
        <f>2157*2+1106*2</f>
        <v>6526</v>
      </c>
      <c r="M16" s="15">
        <f t="shared" si="0"/>
        <v>6526</v>
      </c>
      <c r="N16" s="15">
        <v>0</v>
      </c>
      <c r="O16" s="58">
        <f t="shared" si="1"/>
        <v>0</v>
      </c>
      <c r="P16" s="39">
        <f t="shared" si="2"/>
        <v>15</v>
      </c>
      <c r="Q16" s="40">
        <f t="shared" si="3"/>
        <v>9</v>
      </c>
      <c r="R16" s="7"/>
      <c r="S16" s="6">
        <v>9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0.625</v>
      </c>
      <c r="AD16" s="10">
        <f t="shared" si="8"/>
        <v>0.625</v>
      </c>
      <c r="AE16" s="36">
        <f t="shared" si="6"/>
        <v>0.49826388888888884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651</v>
      </c>
      <c r="F17" s="30" t="s">
        <v>156</v>
      </c>
      <c r="G17" s="12">
        <v>1</v>
      </c>
      <c r="H17" s="13">
        <v>24</v>
      </c>
      <c r="I17" s="7">
        <v>5800</v>
      </c>
      <c r="J17" s="14">
        <v>4507</v>
      </c>
      <c r="K17" s="15">
        <f>L17</f>
        <v>4507</v>
      </c>
      <c r="L17" s="15">
        <f>1889+2618</f>
        <v>4507</v>
      </c>
      <c r="M17" s="15">
        <f t="shared" si="0"/>
        <v>4507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>
        <v>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8"/>
        <v>0.83333333333333337</v>
      </c>
      <c r="AE17" s="36">
        <f t="shared" si="6"/>
        <v>0.49826388888888884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605</v>
      </c>
      <c r="F18" s="30" t="s">
        <v>133</v>
      </c>
      <c r="G18" s="12">
        <v>1</v>
      </c>
      <c r="H18" s="13">
        <v>22</v>
      </c>
      <c r="I18" s="31">
        <v>14000</v>
      </c>
      <c r="J18" s="5">
        <v>5812</v>
      </c>
      <c r="K18" s="15">
        <f>L18+4826</f>
        <v>10638</v>
      </c>
      <c r="L18" s="15">
        <f>2939+2873</f>
        <v>5812</v>
      </c>
      <c r="M18" s="15">
        <f t="shared" si="0"/>
        <v>5812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0.49826388888888884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11418</v>
      </c>
      <c r="K19" s="15">
        <f>L19+9720+11486+11352+11400+10842+7716+11382+11408+11492+10720+6878</f>
        <v>125814</v>
      </c>
      <c r="L19" s="15">
        <f>2908*2+2801*2</f>
        <v>11418</v>
      </c>
      <c r="M19" s="15">
        <f t="shared" si="0"/>
        <v>11418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0.49826388888888884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652</v>
      </c>
      <c r="E20" s="53" t="s">
        <v>653</v>
      </c>
      <c r="F20" s="30" t="s">
        <v>360</v>
      </c>
      <c r="G20" s="33" t="s">
        <v>654</v>
      </c>
      <c r="H20" s="35">
        <v>24</v>
      </c>
      <c r="I20" s="7">
        <v>500</v>
      </c>
      <c r="J20" s="14">
        <v>2105</v>
      </c>
      <c r="K20" s="15">
        <f>L20</f>
        <v>2105</v>
      </c>
      <c r="L20" s="15">
        <f>1335+770</f>
        <v>2105</v>
      </c>
      <c r="M20" s="15">
        <f t="shared" si="0"/>
        <v>2105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/>
      <c r="W20" s="5">
        <v>14</v>
      </c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8"/>
        <v>0.41666666666666669</v>
      </c>
      <c r="AE20" s="36">
        <f t="shared" si="6"/>
        <v>0.49826388888888884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25968</v>
      </c>
      <c r="K21" s="15">
        <f>L21+64424+64620+22548+54104+64632+65016+67504+61284+57732+64780+64192+63920+55712+65444+64496+64864+62952+56316+64508+25968</f>
        <v>1175016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0.49826388888888884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0.49826388888888884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0.49826388888888884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L24+1872+6880</f>
        <v>8752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0.49826388888888884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0.49826388888888884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24080</v>
      </c>
      <c r="K26" s="15">
        <f>L26+20480+24108+23840+23940+22144+18434+21892+23604+20052+19824</f>
        <v>242398</v>
      </c>
      <c r="L26" s="15">
        <f>2800*4+3220*4</f>
        <v>24080</v>
      </c>
      <c r="M26" s="15">
        <f t="shared" si="0"/>
        <v>24080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0.49826388888888884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23324</v>
      </c>
      <c r="K27" s="15">
        <f>L27+22128+27588+27392+27540+25512+23844+27296+27604+27180+23324</f>
        <v>259408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0.49826388888888884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25000</v>
      </c>
      <c r="K28" s="15">
        <f>L28+18992+29436+29448+29672+26652+25912+29256+29552+29404+25000</f>
        <v>273324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0.49826388888888884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0.49826388888888884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7175200</v>
      </c>
      <c r="J30" s="19">
        <f t="shared" si="10"/>
        <v>495104</v>
      </c>
      <c r="K30" s="20">
        <f t="shared" si="10"/>
        <v>5207596</v>
      </c>
      <c r="L30" s="21">
        <f t="shared" si="10"/>
        <v>126029</v>
      </c>
      <c r="M30" s="20">
        <f t="shared" si="10"/>
        <v>126029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287</v>
      </c>
      <c r="Q30" s="43">
        <f t="shared" si="11"/>
        <v>289</v>
      </c>
      <c r="R30" s="23">
        <f t="shared" si="11"/>
        <v>0</v>
      </c>
      <c r="S30" s="24">
        <f t="shared" si="11"/>
        <v>65</v>
      </c>
      <c r="T30" s="24">
        <f t="shared" si="11"/>
        <v>18</v>
      </c>
      <c r="U30" s="24">
        <f t="shared" si="11"/>
        <v>0</v>
      </c>
      <c r="V30" s="25">
        <f t="shared" si="11"/>
        <v>48</v>
      </c>
      <c r="W30" s="26">
        <f t="shared" si="11"/>
        <v>134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24</v>
      </c>
      <c r="AB30" s="28">
        <f>AVERAGE(AB6:AB29)</f>
        <v>0.65217391304347827</v>
      </c>
      <c r="AC30" s="4">
        <f>AVERAGE(AC6:AC29)</f>
        <v>0.49826388888888884</v>
      </c>
      <c r="AD30" s="4">
        <f>AVERAGE(AD6:AD29)</f>
        <v>0.49826388888888884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655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666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317" t="s">
        <v>46</v>
      </c>
      <c r="D59" s="317" t="s">
        <v>47</v>
      </c>
      <c r="E59" s="317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317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313" t="s">
        <v>148</v>
      </c>
      <c r="D60" s="313" t="s">
        <v>115</v>
      </c>
      <c r="E60" s="314" t="s">
        <v>272</v>
      </c>
      <c r="F60" s="448" t="s">
        <v>146</v>
      </c>
      <c r="G60" s="449"/>
      <c r="H60" s="449"/>
      <c r="I60" s="449"/>
      <c r="J60" s="449"/>
      <c r="K60" s="449"/>
      <c r="L60" s="449"/>
      <c r="M60" s="450"/>
      <c r="N60" s="116" t="s">
        <v>116</v>
      </c>
      <c r="O60" s="311" t="s">
        <v>148</v>
      </c>
      <c r="P60" s="451" t="s">
        <v>142</v>
      </c>
      <c r="Q60" s="452"/>
      <c r="R60" s="451" t="s">
        <v>667</v>
      </c>
      <c r="S60" s="453"/>
      <c r="T60" s="453"/>
      <c r="U60" s="452"/>
      <c r="V60" s="454" t="s">
        <v>146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116</v>
      </c>
      <c r="B61" s="447"/>
      <c r="C61" s="313" t="s">
        <v>138</v>
      </c>
      <c r="D61" s="313" t="s">
        <v>157</v>
      </c>
      <c r="E61" s="314" t="s">
        <v>657</v>
      </c>
      <c r="F61" s="448" t="s">
        <v>658</v>
      </c>
      <c r="G61" s="449"/>
      <c r="H61" s="449"/>
      <c r="I61" s="449"/>
      <c r="J61" s="449"/>
      <c r="K61" s="449"/>
      <c r="L61" s="449"/>
      <c r="M61" s="450"/>
      <c r="N61" s="116" t="s">
        <v>112</v>
      </c>
      <c r="O61" s="311" t="s">
        <v>443</v>
      </c>
      <c r="P61" s="451" t="s">
        <v>144</v>
      </c>
      <c r="Q61" s="452"/>
      <c r="R61" s="451" t="s">
        <v>668</v>
      </c>
      <c r="S61" s="453"/>
      <c r="T61" s="453"/>
      <c r="U61" s="452"/>
      <c r="V61" s="454" t="s">
        <v>137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124</v>
      </c>
      <c r="B62" s="447"/>
      <c r="C62" s="313" t="s">
        <v>141</v>
      </c>
      <c r="D62" s="313" t="s">
        <v>115</v>
      </c>
      <c r="E62" s="314" t="s">
        <v>330</v>
      </c>
      <c r="F62" s="448" t="s">
        <v>659</v>
      </c>
      <c r="G62" s="449"/>
      <c r="H62" s="449"/>
      <c r="I62" s="449"/>
      <c r="J62" s="449"/>
      <c r="K62" s="449"/>
      <c r="L62" s="449"/>
      <c r="M62" s="450"/>
      <c r="N62" s="116" t="s">
        <v>112</v>
      </c>
      <c r="O62" s="311" t="s">
        <v>159</v>
      </c>
      <c r="P62" s="451" t="s">
        <v>115</v>
      </c>
      <c r="Q62" s="452"/>
      <c r="R62" s="451" t="s">
        <v>640</v>
      </c>
      <c r="S62" s="453"/>
      <c r="T62" s="453"/>
      <c r="U62" s="452"/>
      <c r="V62" s="454" t="s">
        <v>137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623</v>
      </c>
      <c r="B63" s="447"/>
      <c r="C63" s="313" t="s">
        <v>624</v>
      </c>
      <c r="D63" s="313" t="s">
        <v>115</v>
      </c>
      <c r="E63" s="314" t="s">
        <v>640</v>
      </c>
      <c r="F63" s="448" t="s">
        <v>660</v>
      </c>
      <c r="G63" s="449"/>
      <c r="H63" s="449"/>
      <c r="I63" s="449"/>
      <c r="J63" s="449"/>
      <c r="K63" s="449"/>
      <c r="L63" s="449"/>
      <c r="M63" s="450"/>
      <c r="N63" s="116" t="s">
        <v>116</v>
      </c>
      <c r="O63" s="311" t="s">
        <v>234</v>
      </c>
      <c r="P63" s="451" t="s">
        <v>142</v>
      </c>
      <c r="Q63" s="452"/>
      <c r="R63" s="451" t="s">
        <v>232</v>
      </c>
      <c r="S63" s="453"/>
      <c r="T63" s="453"/>
      <c r="U63" s="452"/>
      <c r="V63" s="454" t="s">
        <v>137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112</v>
      </c>
      <c r="B64" s="447"/>
      <c r="C64" s="313" t="s">
        <v>627</v>
      </c>
      <c r="D64" s="313" t="s">
        <v>628</v>
      </c>
      <c r="E64" s="314" t="s">
        <v>661</v>
      </c>
      <c r="F64" s="448" t="s">
        <v>146</v>
      </c>
      <c r="G64" s="449"/>
      <c r="H64" s="449"/>
      <c r="I64" s="449"/>
      <c r="J64" s="449"/>
      <c r="K64" s="449"/>
      <c r="L64" s="449"/>
      <c r="M64" s="450"/>
      <c r="N64" s="116" t="s">
        <v>116</v>
      </c>
      <c r="O64" s="311" t="s">
        <v>670</v>
      </c>
      <c r="P64" s="451" t="s">
        <v>115</v>
      </c>
      <c r="Q64" s="452"/>
      <c r="R64" s="451" t="s">
        <v>669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623</v>
      </c>
      <c r="B65" s="447"/>
      <c r="C65" s="313" t="s">
        <v>630</v>
      </c>
      <c r="D65" s="313" t="s">
        <v>115</v>
      </c>
      <c r="E65" s="314" t="s">
        <v>616</v>
      </c>
      <c r="F65" s="448" t="s">
        <v>662</v>
      </c>
      <c r="G65" s="449"/>
      <c r="H65" s="449"/>
      <c r="I65" s="449"/>
      <c r="J65" s="449"/>
      <c r="K65" s="449"/>
      <c r="L65" s="449"/>
      <c r="M65" s="450"/>
      <c r="N65" s="116"/>
      <c r="O65" s="311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632</v>
      </c>
      <c r="B66" s="447"/>
      <c r="C66" s="313" t="s">
        <v>633</v>
      </c>
      <c r="D66" s="313" t="s">
        <v>634</v>
      </c>
      <c r="E66" s="314" t="s">
        <v>617</v>
      </c>
      <c r="F66" s="448" t="s">
        <v>656</v>
      </c>
      <c r="G66" s="449"/>
      <c r="H66" s="449"/>
      <c r="I66" s="449"/>
      <c r="J66" s="449"/>
      <c r="K66" s="449"/>
      <c r="L66" s="449"/>
      <c r="M66" s="450"/>
      <c r="N66" s="116"/>
      <c r="O66" s="311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623</v>
      </c>
      <c r="B67" s="447"/>
      <c r="C67" s="313" t="s">
        <v>635</v>
      </c>
      <c r="D67" s="313" t="s">
        <v>636</v>
      </c>
      <c r="E67" s="314" t="s">
        <v>637</v>
      </c>
      <c r="F67" s="448" t="s">
        <v>663</v>
      </c>
      <c r="G67" s="449"/>
      <c r="H67" s="449"/>
      <c r="I67" s="449"/>
      <c r="J67" s="449"/>
      <c r="K67" s="449"/>
      <c r="L67" s="449"/>
      <c r="M67" s="450"/>
      <c r="N67" s="116"/>
      <c r="O67" s="311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 t="s">
        <v>664</v>
      </c>
      <c r="B68" s="447"/>
      <c r="C68" s="313" t="s">
        <v>665</v>
      </c>
      <c r="D68" s="313"/>
      <c r="E68" s="314" t="s">
        <v>651</v>
      </c>
      <c r="F68" s="448" t="s">
        <v>638</v>
      </c>
      <c r="G68" s="449"/>
      <c r="H68" s="449"/>
      <c r="I68" s="449"/>
      <c r="J68" s="449"/>
      <c r="K68" s="449"/>
      <c r="L68" s="449"/>
      <c r="M68" s="450"/>
      <c r="N68" s="116"/>
      <c r="O68" s="311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315"/>
      <c r="D69" s="316"/>
      <c r="E69" s="315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671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312" t="s">
        <v>2</v>
      </c>
      <c r="D71" s="312" t="s">
        <v>37</v>
      </c>
      <c r="E71" s="312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312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116</v>
      </c>
      <c r="D72" s="307"/>
      <c r="E72" s="310" t="s">
        <v>121</v>
      </c>
      <c r="F72" s="475" t="s">
        <v>672</v>
      </c>
      <c r="G72" s="476"/>
      <c r="H72" s="476"/>
      <c r="I72" s="476"/>
      <c r="J72" s="476"/>
      <c r="K72" s="476" t="s">
        <v>673</v>
      </c>
      <c r="L72" s="476"/>
      <c r="M72" s="51" t="s">
        <v>260</v>
      </c>
      <c r="N72" s="477" t="s">
        <v>148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307"/>
      <c r="E73" s="310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307"/>
      <c r="E74" s="310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307"/>
      <c r="E75" s="310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307"/>
      <c r="E76" s="310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307"/>
      <c r="E77" s="310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307"/>
      <c r="E78" s="310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307"/>
      <c r="E79" s="310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307"/>
      <c r="E80" s="310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307"/>
      <c r="E81" s="310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674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309" t="s">
        <v>2</v>
      </c>
      <c r="D83" s="309" t="s">
        <v>37</v>
      </c>
      <c r="E83" s="309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308"/>
      <c r="D84" s="308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307"/>
      <c r="D85" s="307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307"/>
      <c r="D86" s="307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307"/>
      <c r="D87" s="307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307"/>
      <c r="D88" s="307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307"/>
      <c r="D89" s="307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307"/>
      <c r="D90" s="307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675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7958-F065-4B4D-BEB2-BF1AB46CC499}">
  <dimension ref="A1:AF96"/>
  <sheetViews>
    <sheetView view="pageBreakPreview" zoomScale="70" zoomScaleNormal="72" zoomScaleSheetLayoutView="70" workbookViewId="0">
      <selection activeCell="L7" sqref="L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676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10738</v>
      </c>
      <c r="K6" s="15">
        <f>L6+10316+11230+10284+10670+10340+11054+11138+10532+10088+9986+10806</f>
        <v>127182</v>
      </c>
      <c r="L6" s="15">
        <f>2691*2+2678*2</f>
        <v>10738</v>
      </c>
      <c r="M6" s="15">
        <f t="shared" ref="M6:M30" si="0">L6-N6</f>
        <v>10738</v>
      </c>
      <c r="N6" s="15">
        <v>0</v>
      </c>
      <c r="O6" s="58">
        <f t="shared" ref="O6:O31" si="1">IF(L6=0,"0",N6/L6)</f>
        <v>0</v>
      </c>
      <c r="P6" s="39">
        <f t="shared" ref="P6:P30" si="2">IF(L6=0,"0",(24-Q6))</f>
        <v>24</v>
      </c>
      <c r="Q6" s="40">
        <f t="shared" ref="Q6:Q30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30" si="4">IF(J6=0,"0",(L6/J6))</f>
        <v>1</v>
      </c>
      <c r="AC6" s="9">
        <f t="shared" ref="AC6:AC30" si="5">IF(P6=0,"0",(P6/24))</f>
        <v>1</v>
      </c>
      <c r="AD6" s="10">
        <f>AC6*AB6*(1-O6)</f>
        <v>1</v>
      </c>
      <c r="AE6" s="36">
        <f t="shared" ref="AE6:AE30" si="6">$AD$31</f>
        <v>0.49500000000000005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6488</v>
      </c>
      <c r="K7" s="15">
        <f>L7+4743</f>
        <v>11231</v>
      </c>
      <c r="L7" s="15">
        <f>3300+3188</f>
        <v>6488</v>
      </c>
      <c r="M7" s="15">
        <f t="shared" si="0"/>
        <v>6488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30" si="8">AC7*AB7*(1-O7)</f>
        <v>1</v>
      </c>
      <c r="AE7" s="36">
        <f t="shared" si="6"/>
        <v>0.49500000000000005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1</v>
      </c>
      <c r="H8" s="13">
        <v>24</v>
      </c>
      <c r="I8" s="7">
        <v>120000</v>
      </c>
      <c r="J8" s="14">
        <v>3847</v>
      </c>
      <c r="K8" s="15">
        <f>L8+8168+10878+10884+10350+9202+10794+10918+10934+10410+5576+3863</f>
        <v>105824</v>
      </c>
      <c r="L8" s="15">
        <f>2122+1725</f>
        <v>3847</v>
      </c>
      <c r="M8" s="15">
        <f t="shared" si="0"/>
        <v>3847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8"/>
        <v>0.70833333333333337</v>
      </c>
      <c r="AE8" s="36">
        <f t="shared" si="6"/>
        <v>0.49500000000000005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447</v>
      </c>
      <c r="F9" s="30" t="s">
        <v>221</v>
      </c>
      <c r="G9" s="12">
        <v>1</v>
      </c>
      <c r="H9" s="13">
        <v>24</v>
      </c>
      <c r="I9" s="7">
        <v>22000</v>
      </c>
      <c r="J9" s="14">
        <v>532</v>
      </c>
      <c r="K9" s="15">
        <f>L9+4052+2420+3622+4243+4946+4800+4548</f>
        <v>29163</v>
      </c>
      <c r="L9" s="15">
        <v>532</v>
      </c>
      <c r="M9" s="15">
        <f t="shared" si="0"/>
        <v>532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8"/>
        <v>0.16666666666666666</v>
      </c>
      <c r="AE9" s="36">
        <f t="shared" si="6"/>
        <v>0.49500000000000005</v>
      </c>
      <c r="AF9" s="81">
        <f t="shared" si="7"/>
        <v>4</v>
      </c>
    </row>
    <row r="10" spans="1:32" ht="27" customHeight="1">
      <c r="A10" s="92">
        <v>4</v>
      </c>
      <c r="B10" s="11" t="s">
        <v>57</v>
      </c>
      <c r="C10" s="34" t="s">
        <v>116</v>
      </c>
      <c r="D10" s="52" t="s">
        <v>115</v>
      </c>
      <c r="E10" s="53" t="s">
        <v>669</v>
      </c>
      <c r="F10" s="30" t="s">
        <v>143</v>
      </c>
      <c r="G10" s="12">
        <v>2</v>
      </c>
      <c r="H10" s="13">
        <v>24</v>
      </c>
      <c r="I10" s="7">
        <v>10000</v>
      </c>
      <c r="J10" s="14">
        <v>7240</v>
      </c>
      <c r="K10" s="15">
        <f>L10</f>
        <v>7240</v>
      </c>
      <c r="L10" s="15">
        <f>1141*2+2479*2</f>
        <v>7240</v>
      </c>
      <c r="M10" s="15">
        <f t="shared" ref="M10" si="9">L10-N10</f>
        <v>7240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17</v>
      </c>
      <c r="Q10" s="40">
        <f t="shared" ref="Q10" si="12">SUM(R10:AA10)</f>
        <v>7</v>
      </c>
      <c r="R10" s="7"/>
      <c r="S10" s="6">
        <v>7</v>
      </c>
      <c r="T10" s="16"/>
      <c r="U10" s="16"/>
      <c r="V10" s="17"/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0.70833333333333337</v>
      </c>
      <c r="AD10" s="10">
        <f t="shared" ref="AD10" si="15">AC10*AB10*(1-O10)</f>
        <v>0.70833333333333337</v>
      </c>
      <c r="AE10" s="36">
        <f t="shared" si="6"/>
        <v>0.49500000000000005</v>
      </c>
      <c r="AF10" s="81">
        <f t="shared" ref="AF10" si="16">A10</f>
        <v>4</v>
      </c>
    </row>
    <row r="11" spans="1:32" ht="27" customHeight="1">
      <c r="A11" s="92">
        <v>5</v>
      </c>
      <c r="B11" s="11" t="s">
        <v>57</v>
      </c>
      <c r="C11" s="11" t="s">
        <v>116</v>
      </c>
      <c r="D11" s="52" t="s">
        <v>142</v>
      </c>
      <c r="E11" s="53" t="s">
        <v>174</v>
      </c>
      <c r="F11" s="30" t="s">
        <v>175</v>
      </c>
      <c r="G11" s="33">
        <v>2</v>
      </c>
      <c r="H11" s="35">
        <v>24</v>
      </c>
      <c r="I11" s="7">
        <v>230000</v>
      </c>
      <c r="J11" s="14">
        <v>12974</v>
      </c>
      <c r="K11" s="15">
        <f>L11+12038+12846</f>
        <v>37858</v>
      </c>
      <c r="L11" s="15">
        <f>3295*2+3192*2</f>
        <v>12974</v>
      </c>
      <c r="M11" s="15">
        <f t="shared" si="0"/>
        <v>12974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0.49500000000000005</v>
      </c>
      <c r="AF11" s="81">
        <f t="shared" si="7"/>
        <v>5</v>
      </c>
    </row>
    <row r="12" spans="1:32" ht="27" customHeight="1">
      <c r="A12" s="92">
        <v>6</v>
      </c>
      <c r="B12" s="11" t="s">
        <v>57</v>
      </c>
      <c r="C12" s="11" t="s">
        <v>116</v>
      </c>
      <c r="D12" s="52" t="s">
        <v>142</v>
      </c>
      <c r="E12" s="53" t="s">
        <v>667</v>
      </c>
      <c r="F12" s="30" t="s">
        <v>615</v>
      </c>
      <c r="G12" s="33">
        <v>1</v>
      </c>
      <c r="H12" s="35">
        <v>24</v>
      </c>
      <c r="I12" s="7">
        <v>2500</v>
      </c>
      <c r="J12" s="14">
        <v>3596</v>
      </c>
      <c r="K12" s="15">
        <f>L12</f>
        <v>3596</v>
      </c>
      <c r="L12" s="15">
        <f>2249+1347</f>
        <v>3596</v>
      </c>
      <c r="M12" s="15">
        <f t="shared" si="0"/>
        <v>3596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/>
      <c r="T12" s="16">
        <v>5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8"/>
        <v>0.79166666666666663</v>
      </c>
      <c r="AE12" s="36">
        <f t="shared" si="6"/>
        <v>0.49500000000000005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173</v>
      </c>
      <c r="F13" s="30" t="s">
        <v>147</v>
      </c>
      <c r="G13" s="12">
        <v>2</v>
      </c>
      <c r="H13" s="13">
        <v>22</v>
      </c>
      <c r="I13" s="31">
        <v>230000</v>
      </c>
      <c r="J13" s="5">
        <v>9780</v>
      </c>
      <c r="K13" s="15">
        <f>L13+9010+9624+9178+9374+9224</f>
        <v>56190</v>
      </c>
      <c r="L13" s="15">
        <f>2489*2+2401*2</f>
        <v>9780</v>
      </c>
      <c r="M13" s="15">
        <f t="shared" si="0"/>
        <v>9780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0.49500000000000005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34" t="s">
        <v>112</v>
      </c>
      <c r="D14" s="52" t="s">
        <v>115</v>
      </c>
      <c r="E14" s="53" t="s">
        <v>593</v>
      </c>
      <c r="F14" s="30" t="s">
        <v>360</v>
      </c>
      <c r="G14" s="12">
        <v>2</v>
      </c>
      <c r="H14" s="13">
        <v>22</v>
      </c>
      <c r="I14" s="31">
        <v>61000</v>
      </c>
      <c r="J14" s="5">
        <v>2978</v>
      </c>
      <c r="K14" s="15">
        <f>L14+4420</f>
        <v>7398</v>
      </c>
      <c r="L14" s="15">
        <f>1489*2</f>
        <v>2978</v>
      </c>
      <c r="M14" s="15">
        <f t="shared" si="0"/>
        <v>2978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>
        <v>18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8"/>
        <v>0.25</v>
      </c>
      <c r="AE14" s="36">
        <f t="shared" si="6"/>
        <v>0.49500000000000005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112</v>
      </c>
      <c r="D15" s="52" t="s">
        <v>115</v>
      </c>
      <c r="E15" s="53" t="s">
        <v>640</v>
      </c>
      <c r="F15" s="30" t="s">
        <v>650</v>
      </c>
      <c r="G15" s="33">
        <v>1</v>
      </c>
      <c r="H15" s="35">
        <v>50</v>
      </c>
      <c r="I15" s="7">
        <v>300</v>
      </c>
      <c r="J15" s="5">
        <v>83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0.49500000000000005</v>
      </c>
      <c r="AF15" s="81">
        <f t="shared" si="7"/>
        <v>9</v>
      </c>
    </row>
    <row r="16" spans="1:32" ht="27" customHeight="1">
      <c r="A16" s="106">
        <v>10</v>
      </c>
      <c r="B16" s="11" t="s">
        <v>57</v>
      </c>
      <c r="C16" s="34" t="s">
        <v>172</v>
      </c>
      <c r="D16" s="52" t="s">
        <v>599</v>
      </c>
      <c r="E16" s="53" t="s">
        <v>598</v>
      </c>
      <c r="F16" s="30" t="s">
        <v>180</v>
      </c>
      <c r="G16" s="12">
        <v>3</v>
      </c>
      <c r="H16" s="13">
        <v>24</v>
      </c>
      <c r="I16" s="31">
        <v>41000</v>
      </c>
      <c r="J16" s="14">
        <v>19767</v>
      </c>
      <c r="K16" s="15">
        <f>L16+24228+19092</f>
        <v>63087</v>
      </c>
      <c r="L16" s="15">
        <f>3335*3+3254*3</f>
        <v>19767</v>
      </c>
      <c r="M16" s="15">
        <f t="shared" si="0"/>
        <v>19767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0.49500000000000005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112</v>
      </c>
      <c r="D17" s="52" t="s">
        <v>144</v>
      </c>
      <c r="E17" s="53" t="s">
        <v>602</v>
      </c>
      <c r="F17" s="30" t="s">
        <v>437</v>
      </c>
      <c r="G17" s="12">
        <v>2</v>
      </c>
      <c r="H17" s="13">
        <v>22</v>
      </c>
      <c r="I17" s="31">
        <v>60000</v>
      </c>
      <c r="J17" s="5">
        <v>8622</v>
      </c>
      <c r="K17" s="15">
        <f>L17+5172+6526</f>
        <v>20320</v>
      </c>
      <c r="L17" s="15">
        <f>2837*2+1474*2</f>
        <v>8622</v>
      </c>
      <c r="M17" s="15">
        <f t="shared" si="0"/>
        <v>8622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8"/>
        <v>0.79166666666666663</v>
      </c>
      <c r="AE17" s="36">
        <f t="shared" si="6"/>
        <v>0.49500000000000005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164</v>
      </c>
      <c r="D18" s="52"/>
      <c r="E18" s="53" t="s">
        <v>651</v>
      </c>
      <c r="F18" s="30" t="s">
        <v>156</v>
      </c>
      <c r="G18" s="12">
        <v>1</v>
      </c>
      <c r="H18" s="13">
        <v>24</v>
      </c>
      <c r="I18" s="7">
        <v>5800</v>
      </c>
      <c r="J18" s="14">
        <v>5064</v>
      </c>
      <c r="K18" s="15">
        <f>L18+4507</f>
        <v>9571</v>
      </c>
      <c r="L18" s="15">
        <f>2493+2571</f>
        <v>5064</v>
      </c>
      <c r="M18" s="15">
        <f t="shared" si="0"/>
        <v>5064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0.49500000000000005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115</v>
      </c>
      <c r="E19" s="53" t="s">
        <v>605</v>
      </c>
      <c r="F19" s="30" t="s">
        <v>133</v>
      </c>
      <c r="G19" s="12">
        <v>1</v>
      </c>
      <c r="H19" s="13">
        <v>22</v>
      </c>
      <c r="I19" s="31">
        <v>14000</v>
      </c>
      <c r="J19" s="5">
        <v>5572</v>
      </c>
      <c r="K19" s="15">
        <f>L19+4826+5812</f>
        <v>16210</v>
      </c>
      <c r="L19" s="15">
        <f>2722+2850</f>
        <v>5572</v>
      </c>
      <c r="M19" s="15">
        <f t="shared" si="0"/>
        <v>5572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>
        <v>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8"/>
        <v>0.95833333333333337</v>
      </c>
      <c r="AE19" s="36">
        <f t="shared" si="6"/>
        <v>0.49500000000000005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124</v>
      </c>
      <c r="D20" s="52" t="s">
        <v>142</v>
      </c>
      <c r="E20" s="53" t="s">
        <v>297</v>
      </c>
      <c r="F20" s="30" t="s">
        <v>198</v>
      </c>
      <c r="G20" s="33">
        <v>2</v>
      </c>
      <c r="H20" s="35">
        <v>24</v>
      </c>
      <c r="I20" s="7">
        <v>120000</v>
      </c>
      <c r="J20" s="14">
        <v>11554</v>
      </c>
      <c r="K20" s="15">
        <f>L20+9720+11486+11352+11400+10842+7716+11382+11408+11492+10720+6878+11418</f>
        <v>137368</v>
      </c>
      <c r="L20" s="15">
        <f>2841*2+2936*2</f>
        <v>11554</v>
      </c>
      <c r="M20" s="15">
        <f t="shared" si="0"/>
        <v>11554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0.49500000000000005</v>
      </c>
      <c r="AF20" s="81">
        <f t="shared" si="7"/>
        <v>14</v>
      </c>
    </row>
    <row r="21" spans="1:32" ht="27" customHeight="1">
      <c r="A21" s="106">
        <v>15</v>
      </c>
      <c r="B21" s="11" t="s">
        <v>57</v>
      </c>
      <c r="C21" s="11" t="s">
        <v>116</v>
      </c>
      <c r="D21" s="52" t="s">
        <v>142</v>
      </c>
      <c r="E21" s="53" t="s">
        <v>232</v>
      </c>
      <c r="F21" s="30" t="s">
        <v>176</v>
      </c>
      <c r="G21" s="33">
        <v>1</v>
      </c>
      <c r="H21" s="35">
        <v>24</v>
      </c>
      <c r="I21" s="7">
        <v>37000</v>
      </c>
      <c r="J21" s="14">
        <v>2105</v>
      </c>
      <c r="K21" s="15">
        <f>L21</f>
        <v>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0.49500000000000005</v>
      </c>
      <c r="AF21" s="81">
        <f t="shared" si="7"/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165</v>
      </c>
      <c r="F22" s="12" t="s">
        <v>114</v>
      </c>
      <c r="G22" s="12">
        <v>4</v>
      </c>
      <c r="H22" s="35">
        <v>20</v>
      </c>
      <c r="I22" s="7">
        <v>2000000</v>
      </c>
      <c r="J22" s="14">
        <v>25968</v>
      </c>
      <c r="K22" s="15">
        <f>L22+64424+64620+22548+54104+64632+65016+67504+61284+57732+64780+64192+63920+55712+65444+64496+64864+62952+56316+64508+25968</f>
        <v>1175016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0.49500000000000005</v>
      </c>
      <c r="AF22" s="81">
        <f t="shared" si="7"/>
        <v>16</v>
      </c>
    </row>
    <row r="23" spans="1:32" ht="26.25" customHeight="1">
      <c r="A23" s="115">
        <v>17</v>
      </c>
      <c r="B23" s="11" t="s">
        <v>57</v>
      </c>
      <c r="C23" s="11"/>
      <c r="D23" s="52"/>
      <c r="E23" s="53"/>
      <c r="F23" s="12"/>
      <c r="G23" s="12"/>
      <c r="H23" s="35"/>
      <c r="I23" s="7">
        <v>0</v>
      </c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0.49500000000000005</v>
      </c>
      <c r="AF23" s="81">
        <f t="shared" si="7"/>
        <v>17</v>
      </c>
    </row>
    <row r="24" spans="1:32" ht="26.25" customHeight="1">
      <c r="A24" s="115">
        <v>18</v>
      </c>
      <c r="B24" s="11" t="s">
        <v>57</v>
      </c>
      <c r="C24" s="11" t="s">
        <v>116</v>
      </c>
      <c r="D24" s="52" t="s">
        <v>152</v>
      </c>
      <c r="E24" s="53" t="s">
        <v>166</v>
      </c>
      <c r="F24" s="12" t="s">
        <v>153</v>
      </c>
      <c r="G24" s="12">
        <v>4</v>
      </c>
      <c r="H24" s="35">
        <v>15</v>
      </c>
      <c r="I24" s="7">
        <v>20000</v>
      </c>
      <c r="J24" s="14">
        <v>24024</v>
      </c>
      <c r="K24" s="15">
        <f>L24+14040+7084+2888+25304+4864+24024</f>
        <v>78204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/>
      <c r="X24" s="16"/>
      <c r="Y24" s="16"/>
      <c r="Z24" s="16"/>
      <c r="AA24" s="18">
        <v>24</v>
      </c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0.49500000000000005</v>
      </c>
      <c r="AF24" s="81">
        <f t="shared" si="7"/>
        <v>18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139</v>
      </c>
      <c r="F25" s="12" t="s">
        <v>133</v>
      </c>
      <c r="G25" s="12">
        <v>4</v>
      </c>
      <c r="H25" s="35">
        <v>20</v>
      </c>
      <c r="I25" s="7">
        <v>100000</v>
      </c>
      <c r="J25" s="14">
        <v>1872</v>
      </c>
      <c r="K25" s="15">
        <f>L25+1872+6880</f>
        <v>8752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0.49500000000000005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 t="s">
        <v>150</v>
      </c>
      <c r="D26" s="52"/>
      <c r="E26" s="53" t="s">
        <v>149</v>
      </c>
      <c r="F26" s="12" t="s">
        <v>151</v>
      </c>
      <c r="G26" s="12">
        <v>30</v>
      </c>
      <c r="H26" s="35">
        <v>20</v>
      </c>
      <c r="I26" s="7">
        <v>2000000</v>
      </c>
      <c r="J26" s="14">
        <v>189476</v>
      </c>
      <c r="K26" s="15">
        <f>L26+322260+481964+478184+484736+189476</f>
        <v>1956620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0.49500000000000005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133</v>
      </c>
      <c r="G27" s="12">
        <v>4</v>
      </c>
      <c r="H27" s="35">
        <v>20</v>
      </c>
      <c r="I27" s="7">
        <f>180000+150000</f>
        <v>330000</v>
      </c>
      <c r="J27" s="14">
        <v>22760</v>
      </c>
      <c r="K27" s="15">
        <f>L27+20480+24108+23840+23940+22144+18434+21892+23604+20052+19824+24080</f>
        <v>265158</v>
      </c>
      <c r="L27" s="15">
        <f>3284*4+2406*4</f>
        <v>22760</v>
      </c>
      <c r="M27" s="15">
        <f t="shared" si="0"/>
        <v>22760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8"/>
        <v>1</v>
      </c>
      <c r="AE27" s="36">
        <f t="shared" si="6"/>
        <v>0.49500000000000005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157</v>
      </c>
      <c r="E28" s="53" t="s">
        <v>170</v>
      </c>
      <c r="F28" s="12" t="s">
        <v>123</v>
      </c>
      <c r="G28" s="12">
        <v>4</v>
      </c>
      <c r="H28" s="35">
        <v>20</v>
      </c>
      <c r="I28" s="7">
        <f t="shared" ref="I28:I29" si="17">180000+150000</f>
        <v>330000</v>
      </c>
      <c r="J28" s="14">
        <v>23324</v>
      </c>
      <c r="K28" s="15">
        <f>L28+22128+27588+27392+27540+25512+23844+27296+27604+27180+23324</f>
        <v>259408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0.49500000000000005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171</v>
      </c>
      <c r="F29" s="12" t="s">
        <v>123</v>
      </c>
      <c r="G29" s="12">
        <v>4</v>
      </c>
      <c r="H29" s="35">
        <v>20</v>
      </c>
      <c r="I29" s="7">
        <f t="shared" si="17"/>
        <v>330000</v>
      </c>
      <c r="J29" s="14">
        <v>25000</v>
      </c>
      <c r="K29" s="15">
        <f>L29+18992+29436+29448+29672+26652+25912+29256+29552+29404+25000</f>
        <v>273324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0.49500000000000005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140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0.49500000000000005</v>
      </c>
      <c r="AF30" s="81">
        <f t="shared" si="7"/>
        <v>36</v>
      </c>
    </row>
    <row r="31" spans="1:32" ht="19.5" thickBot="1">
      <c r="A31" s="420" t="s">
        <v>34</v>
      </c>
      <c r="B31" s="421"/>
      <c r="C31" s="421"/>
      <c r="D31" s="421"/>
      <c r="E31" s="421"/>
      <c r="F31" s="421"/>
      <c r="G31" s="421"/>
      <c r="H31" s="422"/>
      <c r="I31" s="22">
        <f t="shared" ref="I31:N31" si="18">SUM(I6:I30)</f>
        <v>7223600</v>
      </c>
      <c r="J31" s="19">
        <f t="shared" si="18"/>
        <v>502692</v>
      </c>
      <c r="K31" s="20">
        <f t="shared" si="18"/>
        <v>5334964</v>
      </c>
      <c r="L31" s="21">
        <f t="shared" si="18"/>
        <v>131512</v>
      </c>
      <c r="M31" s="20">
        <f t="shared" si="18"/>
        <v>131512</v>
      </c>
      <c r="N31" s="21">
        <f t="shared" si="18"/>
        <v>0</v>
      </c>
      <c r="O31" s="41">
        <f t="shared" si="1"/>
        <v>0</v>
      </c>
      <c r="P31" s="42">
        <f t="shared" ref="P31:AA31" si="19">SUM(P6:P30)</f>
        <v>297</v>
      </c>
      <c r="Q31" s="43">
        <f t="shared" si="19"/>
        <v>303</v>
      </c>
      <c r="R31" s="23">
        <f t="shared" si="19"/>
        <v>0</v>
      </c>
      <c r="S31" s="24">
        <f t="shared" si="19"/>
        <v>88</v>
      </c>
      <c r="T31" s="24">
        <f t="shared" si="19"/>
        <v>5</v>
      </c>
      <c r="U31" s="24">
        <f t="shared" si="19"/>
        <v>0</v>
      </c>
      <c r="V31" s="25">
        <f t="shared" si="19"/>
        <v>66</v>
      </c>
      <c r="W31" s="26">
        <f t="shared" si="19"/>
        <v>120</v>
      </c>
      <c r="X31" s="27">
        <f t="shared" si="19"/>
        <v>0</v>
      </c>
      <c r="Y31" s="27">
        <f t="shared" si="19"/>
        <v>0</v>
      </c>
      <c r="Z31" s="27">
        <f t="shared" si="19"/>
        <v>0</v>
      </c>
      <c r="AA31" s="27">
        <f t="shared" si="19"/>
        <v>24</v>
      </c>
      <c r="AB31" s="28">
        <f>AVERAGE(AB6:AB30)</f>
        <v>0.625</v>
      </c>
      <c r="AC31" s="4">
        <f>AVERAGE(AC6:AC30)</f>
        <v>0.49500000000000005</v>
      </c>
      <c r="AD31" s="4">
        <f>AVERAGE(AD6:AD30)</f>
        <v>0.49500000000000005</v>
      </c>
      <c r="AE31" s="29"/>
    </row>
    <row r="32" spans="1:32">
      <c r="T32" s="50" t="s">
        <v>125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 ht="10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10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10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10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10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10.5" customHeight="1">
      <c r="A39" s="49"/>
      <c r="B39" s="49" t="s">
        <v>126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10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10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 ht="10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10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0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0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0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0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10.5" customHeight="1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14.25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14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4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4" t="s">
        <v>45</v>
      </c>
      <c r="B58" s="484"/>
      <c r="C58" s="484"/>
      <c r="D58" s="484"/>
      <c r="E58" s="484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24" t="s">
        <v>677</v>
      </c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6"/>
      <c r="N59" s="427" t="s">
        <v>679</v>
      </c>
      <c r="O59" s="428"/>
      <c r="P59" s="428"/>
      <c r="Q59" s="428"/>
      <c r="R59" s="428"/>
      <c r="S59" s="428"/>
      <c r="T59" s="428"/>
      <c r="U59" s="428"/>
      <c r="V59" s="428"/>
      <c r="W59" s="428"/>
      <c r="X59" s="428"/>
      <c r="Y59" s="428"/>
      <c r="Z59" s="428"/>
      <c r="AA59" s="428"/>
      <c r="AB59" s="428"/>
      <c r="AC59" s="428"/>
      <c r="AD59" s="429"/>
    </row>
    <row r="60" spans="1:32" ht="27" customHeight="1">
      <c r="A60" s="430" t="s">
        <v>2</v>
      </c>
      <c r="B60" s="431"/>
      <c r="C60" s="320" t="s">
        <v>46</v>
      </c>
      <c r="D60" s="320" t="s">
        <v>47</v>
      </c>
      <c r="E60" s="320" t="s">
        <v>107</v>
      </c>
      <c r="F60" s="432" t="s">
        <v>106</v>
      </c>
      <c r="G60" s="433"/>
      <c r="H60" s="433"/>
      <c r="I60" s="433"/>
      <c r="J60" s="433"/>
      <c r="K60" s="433"/>
      <c r="L60" s="433"/>
      <c r="M60" s="434"/>
      <c r="N60" s="67" t="s">
        <v>110</v>
      </c>
      <c r="O60" s="320" t="s">
        <v>46</v>
      </c>
      <c r="P60" s="432" t="s">
        <v>47</v>
      </c>
      <c r="Q60" s="435"/>
      <c r="R60" s="432" t="s">
        <v>38</v>
      </c>
      <c r="S60" s="433"/>
      <c r="T60" s="433"/>
      <c r="U60" s="435"/>
      <c r="V60" s="432" t="s">
        <v>48</v>
      </c>
      <c r="W60" s="433"/>
      <c r="X60" s="433"/>
      <c r="Y60" s="433"/>
      <c r="Z60" s="433"/>
      <c r="AA60" s="433"/>
      <c r="AB60" s="433"/>
      <c r="AC60" s="433"/>
      <c r="AD60" s="434"/>
    </row>
    <row r="61" spans="1:32" ht="27" customHeight="1">
      <c r="A61" s="446" t="s">
        <v>116</v>
      </c>
      <c r="B61" s="447"/>
      <c r="C61" s="321" t="s">
        <v>148</v>
      </c>
      <c r="D61" s="321" t="s">
        <v>142</v>
      </c>
      <c r="E61" s="322" t="s">
        <v>667</v>
      </c>
      <c r="F61" s="448" t="s">
        <v>146</v>
      </c>
      <c r="G61" s="449"/>
      <c r="H61" s="449"/>
      <c r="I61" s="449"/>
      <c r="J61" s="449"/>
      <c r="K61" s="449"/>
      <c r="L61" s="449"/>
      <c r="M61" s="450"/>
      <c r="N61" s="116" t="s">
        <v>116</v>
      </c>
      <c r="O61" s="327" t="s">
        <v>148</v>
      </c>
      <c r="P61" s="451" t="s">
        <v>142</v>
      </c>
      <c r="Q61" s="452"/>
      <c r="R61" s="451" t="s">
        <v>680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116</v>
      </c>
      <c r="B62" s="447"/>
      <c r="C62" s="321" t="s">
        <v>138</v>
      </c>
      <c r="D62" s="321" t="s">
        <v>115</v>
      </c>
      <c r="E62" s="322" t="s">
        <v>669</v>
      </c>
      <c r="F62" s="448" t="s">
        <v>678</v>
      </c>
      <c r="G62" s="449"/>
      <c r="H62" s="449"/>
      <c r="I62" s="449"/>
      <c r="J62" s="449"/>
      <c r="K62" s="449"/>
      <c r="L62" s="449"/>
      <c r="M62" s="450"/>
      <c r="N62" s="116" t="s">
        <v>124</v>
      </c>
      <c r="O62" s="327" t="s">
        <v>141</v>
      </c>
      <c r="P62" s="451" t="s">
        <v>115</v>
      </c>
      <c r="Q62" s="452"/>
      <c r="R62" s="451" t="s">
        <v>681</v>
      </c>
      <c r="S62" s="453"/>
      <c r="T62" s="453"/>
      <c r="U62" s="452"/>
      <c r="V62" s="454" t="s">
        <v>137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124</v>
      </c>
      <c r="B63" s="447"/>
      <c r="C63" s="321" t="s">
        <v>141</v>
      </c>
      <c r="D63" s="321" t="s">
        <v>115</v>
      </c>
      <c r="E63" s="322" t="s">
        <v>330</v>
      </c>
      <c r="F63" s="448" t="s">
        <v>659</v>
      </c>
      <c r="G63" s="449"/>
      <c r="H63" s="449"/>
      <c r="I63" s="449"/>
      <c r="J63" s="449"/>
      <c r="K63" s="449"/>
      <c r="L63" s="449"/>
      <c r="M63" s="450"/>
      <c r="N63" s="116" t="s">
        <v>112</v>
      </c>
      <c r="O63" s="327" t="s">
        <v>159</v>
      </c>
      <c r="P63" s="451" t="s">
        <v>115</v>
      </c>
      <c r="Q63" s="452"/>
      <c r="R63" s="451" t="s">
        <v>640</v>
      </c>
      <c r="S63" s="453"/>
      <c r="T63" s="453"/>
      <c r="U63" s="452"/>
      <c r="V63" s="454" t="s">
        <v>137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112</v>
      </c>
      <c r="B64" s="447"/>
      <c r="C64" s="321" t="s">
        <v>159</v>
      </c>
      <c r="D64" s="321" t="s">
        <v>115</v>
      </c>
      <c r="E64" s="322" t="s">
        <v>640</v>
      </c>
      <c r="F64" s="448" t="s">
        <v>200</v>
      </c>
      <c r="G64" s="449"/>
      <c r="H64" s="449"/>
      <c r="I64" s="449"/>
      <c r="J64" s="449"/>
      <c r="K64" s="449"/>
      <c r="L64" s="449"/>
      <c r="M64" s="450"/>
      <c r="N64" s="116" t="s">
        <v>116</v>
      </c>
      <c r="O64" s="327" t="s">
        <v>234</v>
      </c>
      <c r="P64" s="451" t="s">
        <v>142</v>
      </c>
      <c r="Q64" s="452"/>
      <c r="R64" s="451" t="s">
        <v>232</v>
      </c>
      <c r="S64" s="453"/>
      <c r="T64" s="453"/>
      <c r="U64" s="452"/>
      <c r="V64" s="454" t="s">
        <v>137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321" t="s">
        <v>234</v>
      </c>
      <c r="D65" s="321" t="s">
        <v>142</v>
      </c>
      <c r="E65" s="322" t="s">
        <v>232</v>
      </c>
      <c r="F65" s="448" t="s">
        <v>678</v>
      </c>
      <c r="G65" s="449"/>
      <c r="H65" s="449"/>
      <c r="I65" s="449"/>
      <c r="J65" s="449"/>
      <c r="K65" s="449"/>
      <c r="L65" s="449"/>
      <c r="M65" s="450"/>
      <c r="N65" s="116" t="s">
        <v>116</v>
      </c>
      <c r="O65" s="327" t="s">
        <v>670</v>
      </c>
      <c r="P65" s="451" t="s">
        <v>115</v>
      </c>
      <c r="Q65" s="452"/>
      <c r="R65" s="451" t="s">
        <v>669</v>
      </c>
      <c r="S65" s="453"/>
      <c r="T65" s="453"/>
      <c r="U65" s="452"/>
      <c r="V65" s="454" t="s">
        <v>137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112</v>
      </c>
      <c r="B66" s="447"/>
      <c r="C66" s="337" t="s">
        <v>443</v>
      </c>
      <c r="D66" s="337" t="s">
        <v>144</v>
      </c>
      <c r="E66" s="338" t="s">
        <v>602</v>
      </c>
      <c r="F66" s="448" t="s">
        <v>137</v>
      </c>
      <c r="G66" s="449"/>
      <c r="H66" s="449"/>
      <c r="I66" s="449"/>
      <c r="J66" s="449"/>
      <c r="K66" s="449"/>
      <c r="L66" s="449"/>
      <c r="M66" s="450"/>
      <c r="N66" s="116" t="s">
        <v>112</v>
      </c>
      <c r="O66" s="327" t="s">
        <v>683</v>
      </c>
      <c r="P66" s="451" t="s">
        <v>684</v>
      </c>
      <c r="Q66" s="452"/>
      <c r="R66" s="451" t="s">
        <v>682</v>
      </c>
      <c r="S66" s="453"/>
      <c r="T66" s="453"/>
      <c r="U66" s="452"/>
      <c r="V66" s="454" t="s">
        <v>146</v>
      </c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321"/>
      <c r="D67" s="321"/>
      <c r="E67" s="322"/>
      <c r="F67" s="448"/>
      <c r="G67" s="449"/>
      <c r="H67" s="449"/>
      <c r="I67" s="449"/>
      <c r="J67" s="449"/>
      <c r="K67" s="449"/>
      <c r="L67" s="449"/>
      <c r="M67" s="450"/>
      <c r="N67" s="116"/>
      <c r="O67" s="327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321"/>
      <c r="D68" s="321"/>
      <c r="E68" s="322"/>
      <c r="F68" s="448"/>
      <c r="G68" s="449"/>
      <c r="H68" s="449"/>
      <c r="I68" s="449"/>
      <c r="J68" s="449"/>
      <c r="K68" s="449"/>
      <c r="L68" s="449"/>
      <c r="M68" s="450"/>
      <c r="N68" s="116"/>
      <c r="O68" s="327"/>
      <c r="P68" s="451"/>
      <c r="Q68" s="452"/>
      <c r="R68" s="451"/>
      <c r="S68" s="453"/>
      <c r="T68" s="453"/>
      <c r="U68" s="452"/>
      <c r="V68" s="454"/>
      <c r="W68" s="455"/>
      <c r="X68" s="455"/>
      <c r="Y68" s="455"/>
      <c r="Z68" s="455"/>
      <c r="AA68" s="455"/>
      <c r="AB68" s="455"/>
      <c r="AC68" s="455"/>
      <c r="AD68" s="456"/>
    </row>
    <row r="69" spans="1:32" ht="27" customHeight="1">
      <c r="A69" s="446"/>
      <c r="B69" s="447"/>
      <c r="C69" s="321"/>
      <c r="D69" s="321"/>
      <c r="E69" s="322"/>
      <c r="F69" s="448"/>
      <c r="G69" s="449"/>
      <c r="H69" s="449"/>
      <c r="I69" s="449"/>
      <c r="J69" s="449"/>
      <c r="K69" s="449"/>
      <c r="L69" s="449"/>
      <c r="M69" s="450"/>
      <c r="N69" s="116"/>
      <c r="O69" s="327"/>
      <c r="P69" s="457"/>
      <c r="Q69" s="457"/>
      <c r="R69" s="457"/>
      <c r="S69" s="457"/>
      <c r="T69" s="457"/>
      <c r="U69" s="457"/>
      <c r="V69" s="454"/>
      <c r="W69" s="455"/>
      <c r="X69" s="455"/>
      <c r="Y69" s="455"/>
      <c r="Z69" s="455"/>
      <c r="AA69" s="455"/>
      <c r="AB69" s="455"/>
      <c r="AC69" s="455"/>
      <c r="AD69" s="456"/>
      <c r="AF69" s="81">
        <f>8*3000</f>
        <v>24000</v>
      </c>
    </row>
    <row r="70" spans="1:32" ht="27" customHeight="1" thickBot="1">
      <c r="A70" s="458"/>
      <c r="B70" s="459"/>
      <c r="C70" s="323"/>
      <c r="D70" s="324"/>
      <c r="E70" s="323"/>
      <c r="F70" s="460"/>
      <c r="G70" s="461"/>
      <c r="H70" s="461"/>
      <c r="I70" s="461"/>
      <c r="J70" s="461"/>
      <c r="K70" s="461"/>
      <c r="L70" s="461"/>
      <c r="M70" s="462"/>
      <c r="N70" s="105"/>
      <c r="O70" s="97"/>
      <c r="P70" s="463"/>
      <c r="Q70" s="463"/>
      <c r="R70" s="463"/>
      <c r="S70" s="463"/>
      <c r="T70" s="463"/>
      <c r="U70" s="463"/>
      <c r="V70" s="464"/>
      <c r="W70" s="464"/>
      <c r="X70" s="464"/>
      <c r="Y70" s="464"/>
      <c r="Z70" s="464"/>
      <c r="AA70" s="464"/>
      <c r="AB70" s="464"/>
      <c r="AC70" s="464"/>
      <c r="AD70" s="465"/>
      <c r="AF70" s="81">
        <f>16*3000</f>
        <v>48000</v>
      </c>
    </row>
    <row r="71" spans="1:32" ht="27.75" thickBot="1">
      <c r="A71" s="466" t="s">
        <v>685</v>
      </c>
      <c r="B71" s="466"/>
      <c r="C71" s="466"/>
      <c r="D71" s="466"/>
      <c r="E71" s="46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67" t="s">
        <v>111</v>
      </c>
      <c r="B72" s="468"/>
      <c r="C72" s="325" t="s">
        <v>2</v>
      </c>
      <c r="D72" s="325" t="s">
        <v>37</v>
      </c>
      <c r="E72" s="325" t="s">
        <v>3</v>
      </c>
      <c r="F72" s="468" t="s">
        <v>109</v>
      </c>
      <c r="G72" s="468"/>
      <c r="H72" s="468"/>
      <c r="I72" s="468"/>
      <c r="J72" s="468"/>
      <c r="K72" s="468" t="s">
        <v>39</v>
      </c>
      <c r="L72" s="468"/>
      <c r="M72" s="325" t="s">
        <v>40</v>
      </c>
      <c r="N72" s="468" t="s">
        <v>41</v>
      </c>
      <c r="O72" s="468"/>
      <c r="P72" s="469" t="s">
        <v>42</v>
      </c>
      <c r="Q72" s="470"/>
      <c r="R72" s="469" t="s">
        <v>43</v>
      </c>
      <c r="S72" s="471"/>
      <c r="T72" s="471"/>
      <c r="U72" s="471"/>
      <c r="V72" s="471"/>
      <c r="W72" s="471"/>
      <c r="X72" s="471"/>
      <c r="Y72" s="471"/>
      <c r="Z72" s="471"/>
      <c r="AA72" s="470"/>
      <c r="AB72" s="468" t="s">
        <v>44</v>
      </c>
      <c r="AC72" s="468"/>
      <c r="AD72" s="472"/>
      <c r="AF72" s="81">
        <f>SUM(AF69:AF71)</f>
        <v>96000</v>
      </c>
    </row>
    <row r="73" spans="1:32" ht="25.5" customHeight="1">
      <c r="A73" s="473">
        <v>1</v>
      </c>
      <c r="B73" s="474"/>
      <c r="C73" s="98"/>
      <c r="D73" s="329"/>
      <c r="E73" s="326"/>
      <c r="F73" s="475"/>
      <c r="G73" s="476"/>
      <c r="H73" s="476"/>
      <c r="I73" s="476"/>
      <c r="J73" s="476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2</v>
      </c>
      <c r="B74" s="474"/>
      <c r="C74" s="98"/>
      <c r="D74" s="329"/>
      <c r="E74" s="326"/>
      <c r="F74" s="481"/>
      <c r="G74" s="482"/>
      <c r="H74" s="482"/>
      <c r="I74" s="482"/>
      <c r="J74" s="483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3</v>
      </c>
      <c r="B75" s="474"/>
      <c r="C75" s="98"/>
      <c r="D75" s="329"/>
      <c r="E75" s="326"/>
      <c r="F75" s="475"/>
      <c r="G75" s="476"/>
      <c r="H75" s="476"/>
      <c r="I75" s="476"/>
      <c r="J75" s="476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4</v>
      </c>
      <c r="B76" s="474"/>
      <c r="C76" s="98"/>
      <c r="D76" s="329"/>
      <c r="E76" s="326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5</v>
      </c>
      <c r="B77" s="474"/>
      <c r="C77" s="98"/>
      <c r="D77" s="329"/>
      <c r="E77" s="326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6</v>
      </c>
      <c r="B78" s="474"/>
      <c r="C78" s="98"/>
      <c r="D78" s="329"/>
      <c r="E78" s="326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7</v>
      </c>
      <c r="B79" s="474"/>
      <c r="C79" s="98"/>
      <c r="D79" s="329"/>
      <c r="E79" s="326"/>
      <c r="F79" s="481"/>
      <c r="G79" s="482"/>
      <c r="H79" s="482"/>
      <c r="I79" s="482"/>
      <c r="J79" s="483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8</v>
      </c>
      <c r="B80" s="474"/>
      <c r="C80" s="98"/>
      <c r="D80" s="329"/>
      <c r="E80" s="326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9</v>
      </c>
      <c r="B81" s="474"/>
      <c r="C81" s="98"/>
      <c r="D81" s="329"/>
      <c r="E81" s="326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5.5" customHeight="1">
      <c r="A82" s="473">
        <v>10</v>
      </c>
      <c r="B82" s="474"/>
      <c r="C82" s="98"/>
      <c r="D82" s="329"/>
      <c r="E82" s="326"/>
      <c r="F82" s="475"/>
      <c r="G82" s="476"/>
      <c r="H82" s="476"/>
      <c r="I82" s="476"/>
      <c r="J82" s="476"/>
      <c r="K82" s="476"/>
      <c r="L82" s="476"/>
      <c r="M82" s="51"/>
      <c r="N82" s="477"/>
      <c r="O82" s="477"/>
      <c r="P82" s="478"/>
      <c r="Q82" s="478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6"/>
      <c r="AC82" s="476"/>
      <c r="AD82" s="480"/>
      <c r="AF82" s="50"/>
    </row>
    <row r="83" spans="1:32" ht="26.25" customHeight="1" thickBot="1">
      <c r="A83" s="484" t="s">
        <v>686</v>
      </c>
      <c r="B83" s="484"/>
      <c r="C83" s="484"/>
      <c r="D83" s="484"/>
      <c r="E83" s="48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85" t="s">
        <v>111</v>
      </c>
      <c r="B84" s="486"/>
      <c r="C84" s="328" t="s">
        <v>2</v>
      </c>
      <c r="D84" s="328" t="s">
        <v>37</v>
      </c>
      <c r="E84" s="328" t="s">
        <v>120</v>
      </c>
      <c r="F84" s="487" t="s">
        <v>38</v>
      </c>
      <c r="G84" s="487"/>
      <c r="H84" s="487"/>
      <c r="I84" s="487"/>
      <c r="J84" s="487"/>
      <c r="K84" s="488" t="s">
        <v>58</v>
      </c>
      <c r="L84" s="489"/>
      <c r="M84" s="489"/>
      <c r="N84" s="489"/>
      <c r="O84" s="489"/>
      <c r="P84" s="489"/>
      <c r="Q84" s="489"/>
      <c r="R84" s="489"/>
      <c r="S84" s="490"/>
      <c r="T84" s="487" t="s">
        <v>49</v>
      </c>
      <c r="U84" s="487"/>
      <c r="V84" s="488" t="s">
        <v>50</v>
      </c>
      <c r="W84" s="490"/>
      <c r="X84" s="489" t="s">
        <v>51</v>
      </c>
      <c r="Y84" s="489"/>
      <c r="Z84" s="489"/>
      <c r="AA84" s="489"/>
      <c r="AB84" s="489"/>
      <c r="AC84" s="489"/>
      <c r="AD84" s="491"/>
      <c r="AF84" s="50"/>
    </row>
    <row r="85" spans="1:32" ht="33.75" customHeight="1">
      <c r="A85" s="500">
        <v>1</v>
      </c>
      <c r="B85" s="501"/>
      <c r="C85" s="330"/>
      <c r="D85" s="330"/>
      <c r="E85" s="65"/>
      <c r="F85" s="502"/>
      <c r="G85" s="503"/>
      <c r="H85" s="503"/>
      <c r="I85" s="503"/>
      <c r="J85" s="504"/>
      <c r="K85" s="505"/>
      <c r="L85" s="506"/>
      <c r="M85" s="506"/>
      <c r="N85" s="506"/>
      <c r="O85" s="506"/>
      <c r="P85" s="506"/>
      <c r="Q85" s="506"/>
      <c r="R85" s="506"/>
      <c r="S85" s="507"/>
      <c r="T85" s="508"/>
      <c r="U85" s="509"/>
      <c r="V85" s="510"/>
      <c r="W85" s="510"/>
      <c r="X85" s="511"/>
      <c r="Y85" s="511"/>
      <c r="Z85" s="511"/>
      <c r="AA85" s="511"/>
      <c r="AB85" s="511"/>
      <c r="AC85" s="511"/>
      <c r="AD85" s="512"/>
      <c r="AF85" s="50"/>
    </row>
    <row r="86" spans="1:32" ht="30" customHeight="1">
      <c r="A86" s="492">
        <f>A85+1</f>
        <v>2</v>
      </c>
      <c r="B86" s="493"/>
      <c r="C86" s="329"/>
      <c r="D86" s="329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ref="A87:A91" si="20">A86+1</f>
        <v>3</v>
      </c>
      <c r="B87" s="493"/>
      <c r="C87" s="329"/>
      <c r="D87" s="329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20"/>
        <v>4</v>
      </c>
      <c r="B88" s="493"/>
      <c r="C88" s="329"/>
      <c r="D88" s="329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20"/>
        <v>5</v>
      </c>
      <c r="B89" s="493"/>
      <c r="C89" s="329"/>
      <c r="D89" s="329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20"/>
        <v>6</v>
      </c>
      <c r="B90" s="493"/>
      <c r="C90" s="329"/>
      <c r="D90" s="329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0" customHeight="1">
      <c r="A91" s="492">
        <f t="shared" si="20"/>
        <v>7</v>
      </c>
      <c r="B91" s="493"/>
      <c r="C91" s="329"/>
      <c r="D91" s="329"/>
      <c r="E91" s="32"/>
      <c r="F91" s="493"/>
      <c r="G91" s="493"/>
      <c r="H91" s="493"/>
      <c r="I91" s="493"/>
      <c r="J91" s="493"/>
      <c r="K91" s="494"/>
      <c r="L91" s="495"/>
      <c r="M91" s="495"/>
      <c r="N91" s="495"/>
      <c r="O91" s="495"/>
      <c r="P91" s="495"/>
      <c r="Q91" s="495"/>
      <c r="R91" s="495"/>
      <c r="S91" s="496"/>
      <c r="T91" s="497"/>
      <c r="U91" s="497"/>
      <c r="V91" s="497"/>
      <c r="W91" s="497"/>
      <c r="X91" s="498"/>
      <c r="Y91" s="498"/>
      <c r="Z91" s="498"/>
      <c r="AA91" s="498"/>
      <c r="AB91" s="498"/>
      <c r="AC91" s="498"/>
      <c r="AD91" s="499"/>
      <c r="AF91" s="50"/>
    </row>
    <row r="92" spans="1:32" ht="36" thickBot="1">
      <c r="A92" s="484" t="s">
        <v>687</v>
      </c>
      <c r="B92" s="484"/>
      <c r="C92" s="484"/>
      <c r="D92" s="484"/>
      <c r="E92" s="484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513" t="s">
        <v>111</v>
      </c>
      <c r="B93" s="487"/>
      <c r="C93" s="514" t="s">
        <v>52</v>
      </c>
      <c r="D93" s="514"/>
      <c r="E93" s="514" t="s">
        <v>53</v>
      </c>
      <c r="F93" s="514"/>
      <c r="G93" s="514"/>
      <c r="H93" s="514"/>
      <c r="I93" s="514"/>
      <c r="J93" s="514"/>
      <c r="K93" s="514" t="s">
        <v>54</v>
      </c>
      <c r="L93" s="514"/>
      <c r="M93" s="514"/>
      <c r="N93" s="514"/>
      <c r="O93" s="514"/>
      <c r="P93" s="514"/>
      <c r="Q93" s="514"/>
      <c r="R93" s="514"/>
      <c r="S93" s="514"/>
      <c r="T93" s="514" t="s">
        <v>55</v>
      </c>
      <c r="U93" s="514"/>
      <c r="V93" s="514" t="s">
        <v>56</v>
      </c>
      <c r="W93" s="514"/>
      <c r="X93" s="514"/>
      <c r="Y93" s="514" t="s">
        <v>51</v>
      </c>
      <c r="Z93" s="514"/>
      <c r="AA93" s="514"/>
      <c r="AB93" s="514"/>
      <c r="AC93" s="514"/>
      <c r="AD93" s="515"/>
      <c r="AF93" s="50"/>
    </row>
    <row r="94" spans="1:32" ht="30.75" customHeight="1">
      <c r="A94" s="500">
        <v>1</v>
      </c>
      <c r="B94" s="501"/>
      <c r="C94" s="516"/>
      <c r="D94" s="516"/>
      <c r="E94" s="516"/>
      <c r="F94" s="516"/>
      <c r="G94" s="516"/>
      <c r="H94" s="516"/>
      <c r="I94" s="516"/>
      <c r="J94" s="516"/>
      <c r="K94" s="516"/>
      <c r="L94" s="516"/>
      <c r="M94" s="516"/>
      <c r="N94" s="516"/>
      <c r="O94" s="516"/>
      <c r="P94" s="516"/>
      <c r="Q94" s="516"/>
      <c r="R94" s="516"/>
      <c r="S94" s="516"/>
      <c r="T94" s="516"/>
      <c r="U94" s="516"/>
      <c r="V94" s="517"/>
      <c r="W94" s="517"/>
      <c r="X94" s="517"/>
      <c r="Y94" s="518"/>
      <c r="Z94" s="518"/>
      <c r="AA94" s="518"/>
      <c r="AB94" s="518"/>
      <c r="AC94" s="518"/>
      <c r="AD94" s="519"/>
      <c r="AF94" s="50"/>
    </row>
    <row r="95" spans="1:32" ht="30.75" customHeight="1">
      <c r="A95" s="492">
        <v>2</v>
      </c>
      <c r="B95" s="493"/>
      <c r="C95" s="528"/>
      <c r="D95" s="528"/>
      <c r="E95" s="528"/>
      <c r="F95" s="528"/>
      <c r="G95" s="528"/>
      <c r="H95" s="528"/>
      <c r="I95" s="528"/>
      <c r="J95" s="528"/>
      <c r="K95" s="528"/>
      <c r="L95" s="528"/>
      <c r="M95" s="528"/>
      <c r="N95" s="528"/>
      <c r="O95" s="528"/>
      <c r="P95" s="528"/>
      <c r="Q95" s="528"/>
      <c r="R95" s="528"/>
      <c r="S95" s="528"/>
      <c r="T95" s="529"/>
      <c r="U95" s="529"/>
      <c r="V95" s="530"/>
      <c r="W95" s="530"/>
      <c r="X95" s="530"/>
      <c r="Y95" s="520"/>
      <c r="Z95" s="520"/>
      <c r="AA95" s="520"/>
      <c r="AB95" s="520"/>
      <c r="AC95" s="520"/>
      <c r="AD95" s="521"/>
      <c r="AF95" s="50"/>
    </row>
    <row r="96" spans="1:32" ht="30.75" customHeight="1" thickBot="1">
      <c r="A96" s="522">
        <v>3</v>
      </c>
      <c r="B96" s="523"/>
      <c r="C96" s="524"/>
      <c r="D96" s="524"/>
      <c r="E96" s="524"/>
      <c r="F96" s="524"/>
      <c r="G96" s="524"/>
      <c r="H96" s="524"/>
      <c r="I96" s="524"/>
      <c r="J96" s="524"/>
      <c r="K96" s="524"/>
      <c r="L96" s="524"/>
      <c r="M96" s="524"/>
      <c r="N96" s="524"/>
      <c r="O96" s="524"/>
      <c r="P96" s="524"/>
      <c r="Q96" s="524"/>
      <c r="R96" s="524"/>
      <c r="S96" s="524"/>
      <c r="T96" s="524"/>
      <c r="U96" s="524"/>
      <c r="V96" s="525"/>
      <c r="W96" s="525"/>
      <c r="X96" s="525"/>
      <c r="Y96" s="526"/>
      <c r="Z96" s="526"/>
      <c r="AA96" s="526"/>
      <c r="AB96" s="526"/>
      <c r="AC96" s="526"/>
      <c r="AD96" s="527"/>
      <c r="AF96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0D7A-6514-411A-A413-6401900A97B6}">
  <sheetPr>
    <pageSetUpPr fitToPage="1"/>
  </sheetPr>
  <dimension ref="A1:AF95"/>
  <sheetViews>
    <sheetView view="pageBreakPreview" zoomScale="70" zoomScaleNormal="72" zoomScaleSheetLayoutView="70" workbookViewId="0">
      <selection activeCell="F65" sqref="F65:M6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688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10698</v>
      </c>
      <c r="K6" s="15">
        <f>L6+10316+11230+10284+10670+10340+11054+11138+10532+10088+9986+10806+10738</f>
        <v>137880</v>
      </c>
      <c r="L6" s="15">
        <f>2663*2+2686*2</f>
        <v>10698</v>
      </c>
      <c r="M6" s="15">
        <f t="shared" ref="M6:M29" si="0">L6-N6</f>
        <v>10698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0.49772443142896283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6488</v>
      </c>
      <c r="K7" s="15">
        <f>L7+4743+6488</f>
        <v>17635</v>
      </c>
      <c r="L7" s="15">
        <f>3234+3170</f>
        <v>6404</v>
      </c>
      <c r="M7" s="15">
        <f t="shared" si="0"/>
        <v>6404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0.98705302096177561</v>
      </c>
      <c r="AC7" s="9">
        <f t="shared" si="5"/>
        <v>1</v>
      </c>
      <c r="AD7" s="10">
        <f t="shared" ref="AD7:AD29" si="8">AC7*AB7*(1-O7)</f>
        <v>0.98705302096177561</v>
      </c>
      <c r="AE7" s="36">
        <f t="shared" si="6"/>
        <v>0.49772443142896283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1</v>
      </c>
      <c r="H8" s="13">
        <v>24</v>
      </c>
      <c r="I8" s="7">
        <v>120000</v>
      </c>
      <c r="J8" s="14">
        <v>3135</v>
      </c>
      <c r="K8" s="15">
        <f>L8+8168+10878+10884+10350+9202+10794+10918+10934+10410+5576+3863+3847</f>
        <v>108959</v>
      </c>
      <c r="L8" s="15">
        <f>1255*2+625</f>
        <v>3135</v>
      </c>
      <c r="M8" s="15">
        <f t="shared" si="0"/>
        <v>3135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8"/>
        <v>0.58333333333333337</v>
      </c>
      <c r="AE8" s="36">
        <f t="shared" si="6"/>
        <v>0.49772443142896283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115</v>
      </c>
      <c r="E9" s="53" t="s">
        <v>669</v>
      </c>
      <c r="F9" s="30" t="s">
        <v>143</v>
      </c>
      <c r="G9" s="12">
        <v>2</v>
      </c>
      <c r="H9" s="13">
        <v>24</v>
      </c>
      <c r="I9" s="7">
        <v>10000</v>
      </c>
      <c r="J9" s="14">
        <v>2016</v>
      </c>
      <c r="K9" s="15">
        <f>L9+7240</f>
        <v>9256</v>
      </c>
      <c r="L9" s="15">
        <f>1008*2</f>
        <v>2016</v>
      </c>
      <c r="M9" s="15">
        <f t="shared" si="0"/>
        <v>2016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8"/>
        <v>0.25</v>
      </c>
      <c r="AE9" s="36">
        <f t="shared" si="6"/>
        <v>0.49772443142896283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174</v>
      </c>
      <c r="F10" s="30" t="s">
        <v>175</v>
      </c>
      <c r="G10" s="33">
        <v>2</v>
      </c>
      <c r="H10" s="35">
        <v>24</v>
      </c>
      <c r="I10" s="7">
        <v>230000</v>
      </c>
      <c r="J10" s="14">
        <v>12804</v>
      </c>
      <c r="K10" s="15">
        <f>L10+12038+12846+12974</f>
        <v>50662</v>
      </c>
      <c r="L10" s="15">
        <f>3218*2+3184*2</f>
        <v>12804</v>
      </c>
      <c r="M10" s="15">
        <f t="shared" si="0"/>
        <v>12804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0.49772443142896283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142</v>
      </c>
      <c r="E11" s="53" t="s">
        <v>689</v>
      </c>
      <c r="F11" s="30" t="s">
        <v>690</v>
      </c>
      <c r="G11" s="33">
        <v>1</v>
      </c>
      <c r="H11" s="35">
        <v>24</v>
      </c>
      <c r="I11" s="7">
        <v>2500</v>
      </c>
      <c r="J11" s="14">
        <v>3544</v>
      </c>
      <c r="K11" s="15">
        <f>L11</f>
        <v>3544</v>
      </c>
      <c r="L11" s="15">
        <f>2475+1069</f>
        <v>3544</v>
      </c>
      <c r="M11" s="15">
        <f t="shared" si="0"/>
        <v>3544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/>
      <c r="T11" s="16">
        <v>5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8"/>
        <v>0.79166666666666663</v>
      </c>
      <c r="AE11" s="36">
        <f t="shared" si="6"/>
        <v>0.49772443142896283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9636</v>
      </c>
      <c r="K12" s="15">
        <f>L12+9010+9624+9178+9374+9224+9780</f>
        <v>65826</v>
      </c>
      <c r="L12" s="15">
        <f>2428*2+2390*2</f>
        <v>9636</v>
      </c>
      <c r="M12" s="15">
        <f t="shared" si="0"/>
        <v>9636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0.49772443142896283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112</v>
      </c>
      <c r="D13" s="52" t="s">
        <v>115</v>
      </c>
      <c r="E13" s="53" t="s">
        <v>593</v>
      </c>
      <c r="F13" s="30" t="s">
        <v>360</v>
      </c>
      <c r="G13" s="12">
        <v>2</v>
      </c>
      <c r="H13" s="13">
        <v>22</v>
      </c>
      <c r="I13" s="31">
        <v>61000</v>
      </c>
      <c r="J13" s="5">
        <v>11134</v>
      </c>
      <c r="K13" s="15">
        <f>L13+4420+2978</f>
        <v>18532</v>
      </c>
      <c r="L13" s="15">
        <f>2942*2+2625*2</f>
        <v>11134</v>
      </c>
      <c r="M13" s="15">
        <f t="shared" si="0"/>
        <v>11134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0.49772443142896283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640</v>
      </c>
      <c r="F14" s="30" t="s">
        <v>650</v>
      </c>
      <c r="G14" s="33">
        <v>1</v>
      </c>
      <c r="H14" s="35">
        <v>50</v>
      </c>
      <c r="I14" s="7">
        <v>300</v>
      </c>
      <c r="J14" s="5">
        <v>425</v>
      </c>
      <c r="K14" s="15">
        <f>L14</f>
        <v>425</v>
      </c>
      <c r="L14" s="15">
        <f>146+279</f>
        <v>425</v>
      </c>
      <c r="M14" s="15">
        <f t="shared" si="0"/>
        <v>425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>
        <v>2</v>
      </c>
      <c r="T14" s="16"/>
      <c r="U14" s="16"/>
      <c r="V14" s="17">
        <v>10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8"/>
        <v>0.5</v>
      </c>
      <c r="AE14" s="36">
        <f t="shared" si="6"/>
        <v>0.49772443142896283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172</v>
      </c>
      <c r="D15" s="52" t="s">
        <v>599</v>
      </c>
      <c r="E15" s="53" t="s">
        <v>598</v>
      </c>
      <c r="F15" s="30" t="s">
        <v>180</v>
      </c>
      <c r="G15" s="12">
        <v>3</v>
      </c>
      <c r="H15" s="13">
        <v>24</v>
      </c>
      <c r="I15" s="31">
        <v>41000</v>
      </c>
      <c r="J15" s="14">
        <v>19353</v>
      </c>
      <c r="K15" s="15">
        <f>L15+24228+19092+19767</f>
        <v>82440</v>
      </c>
      <c r="L15" s="15">
        <f>3240*3+3211*3</f>
        <v>19353</v>
      </c>
      <c r="M15" s="15">
        <f t="shared" si="0"/>
        <v>19353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0.49772443142896283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144</v>
      </c>
      <c r="E16" s="53" t="s">
        <v>602</v>
      </c>
      <c r="F16" s="30" t="s">
        <v>437</v>
      </c>
      <c r="G16" s="12">
        <v>2</v>
      </c>
      <c r="H16" s="13">
        <v>22</v>
      </c>
      <c r="I16" s="31">
        <v>60000</v>
      </c>
      <c r="J16" s="5">
        <v>11040</v>
      </c>
      <c r="K16" s="15">
        <f>L16+5172+6526+8622</f>
        <v>31360</v>
      </c>
      <c r="L16" s="15">
        <f>2771*2+2749*2</f>
        <v>11040</v>
      </c>
      <c r="M16" s="15">
        <f t="shared" si="0"/>
        <v>11040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0.49772443142896283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644</v>
      </c>
      <c r="F17" s="30" t="s">
        <v>156</v>
      </c>
      <c r="G17" s="12">
        <v>1</v>
      </c>
      <c r="H17" s="13">
        <v>24</v>
      </c>
      <c r="I17" s="7">
        <v>5800</v>
      </c>
      <c r="J17" s="14">
        <v>5064</v>
      </c>
      <c r="K17" s="15">
        <f>L17+4507+5064</f>
        <v>9571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0.49772443142896283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112</v>
      </c>
      <c r="D18" s="52" t="s">
        <v>121</v>
      </c>
      <c r="E18" s="53" t="s">
        <v>682</v>
      </c>
      <c r="F18" s="30" t="s">
        <v>437</v>
      </c>
      <c r="G18" s="12">
        <v>1</v>
      </c>
      <c r="H18" s="13">
        <v>22</v>
      </c>
      <c r="I18" s="31">
        <v>2000</v>
      </c>
      <c r="J18" s="5">
        <v>4393</v>
      </c>
      <c r="K18" s="15">
        <f>L18</f>
        <v>4393</v>
      </c>
      <c r="L18" s="15">
        <f>1781+2612</f>
        <v>4393</v>
      </c>
      <c r="M18" s="15">
        <f t="shared" si="0"/>
        <v>4393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8"/>
        <v>0.91666666666666663</v>
      </c>
      <c r="AE18" s="36">
        <f t="shared" si="6"/>
        <v>0.49772443142896283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124</v>
      </c>
      <c r="D19" s="52" t="s">
        <v>142</v>
      </c>
      <c r="E19" s="53" t="s">
        <v>297</v>
      </c>
      <c r="F19" s="30" t="s">
        <v>198</v>
      </c>
      <c r="G19" s="33">
        <v>2</v>
      </c>
      <c r="H19" s="35">
        <v>24</v>
      </c>
      <c r="I19" s="7">
        <v>120000</v>
      </c>
      <c r="J19" s="14">
        <v>11382</v>
      </c>
      <c r="K19" s="15">
        <f>L19+9720+11486+11352+11400+10842+7716+11382+11408+11492+10720+6878+11418+11554</f>
        <v>148750</v>
      </c>
      <c r="L19" s="15">
        <f>2829*2+2862*2</f>
        <v>11382</v>
      </c>
      <c r="M19" s="15">
        <f t="shared" si="0"/>
        <v>11382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0.49772443142896283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232</v>
      </c>
      <c r="F20" s="30" t="s">
        <v>176</v>
      </c>
      <c r="G20" s="33">
        <v>1</v>
      </c>
      <c r="H20" s="35">
        <v>24</v>
      </c>
      <c r="I20" s="7">
        <v>37000</v>
      </c>
      <c r="J20" s="14">
        <v>4347</v>
      </c>
      <c r="K20" s="15">
        <f>L20</f>
        <v>4347</v>
      </c>
      <c r="L20" s="15">
        <f>2700+1647</f>
        <v>4347</v>
      </c>
      <c r="M20" s="15">
        <f t="shared" si="0"/>
        <v>4347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0.49772443142896283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165</v>
      </c>
      <c r="F21" s="12" t="s">
        <v>114</v>
      </c>
      <c r="G21" s="12">
        <v>4</v>
      </c>
      <c r="H21" s="35">
        <v>20</v>
      </c>
      <c r="I21" s="7">
        <v>2000000</v>
      </c>
      <c r="J21" s="14">
        <v>25968</v>
      </c>
      <c r="K21" s="15">
        <f>L21+64424+64620+22548+54104+64632+65016+67504+61284+57732+64780+64192+63920+55712+65444+64496+64864+62952+56316+64508+25968</f>
        <v>1175016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0.49772443142896283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0.49772443142896283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0.49772443142896283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L24+1872+6880</f>
        <v>8752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0.49772443142896283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0.49772443142896283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22760</v>
      </c>
      <c r="K26" s="15">
        <f>L26+20480+24108+23840+23940+22144+18434+21892+23604+20052+19824+24080+22760</f>
        <v>265158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0.49772443142896283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23324</v>
      </c>
      <c r="K27" s="15">
        <f>L27+22128+27588+27392+27540+25512+23844+27296+27604+27180+23324</f>
        <v>259408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0.49772443142896283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25000</v>
      </c>
      <c r="K28" s="15">
        <f>L28+18992+29436+29448+29672+26652+25912+29256+29552+29404+25000</f>
        <v>273324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0.49772443142896283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0.49772443142896283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7189600</v>
      </c>
      <c r="J30" s="19">
        <f t="shared" si="10"/>
        <v>507211</v>
      </c>
      <c r="K30" s="20">
        <f t="shared" si="10"/>
        <v>5396306</v>
      </c>
      <c r="L30" s="21">
        <f t="shared" si="10"/>
        <v>110311</v>
      </c>
      <c r="M30" s="20">
        <f t="shared" si="10"/>
        <v>110311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287</v>
      </c>
      <c r="Q30" s="43">
        <f t="shared" si="11"/>
        <v>265</v>
      </c>
      <c r="R30" s="23">
        <f t="shared" si="11"/>
        <v>0</v>
      </c>
      <c r="S30" s="24">
        <f t="shared" si="11"/>
        <v>32</v>
      </c>
      <c r="T30" s="24">
        <f t="shared" si="11"/>
        <v>7</v>
      </c>
      <c r="U30" s="24">
        <f t="shared" si="11"/>
        <v>0</v>
      </c>
      <c r="V30" s="25">
        <f t="shared" si="11"/>
        <v>58</v>
      </c>
      <c r="W30" s="26">
        <f t="shared" si="11"/>
        <v>144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24</v>
      </c>
      <c r="AB30" s="28">
        <f>AVERAGE(AB6:AB29)</f>
        <v>0.60813274004181639</v>
      </c>
      <c r="AC30" s="4">
        <f>AVERAGE(AC6:AC29)</f>
        <v>0.49826388888888884</v>
      </c>
      <c r="AD30" s="4">
        <f>AVERAGE(AD6:AD29)</f>
        <v>0.49772443142896283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691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698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341" t="s">
        <v>46</v>
      </c>
      <c r="D59" s="341" t="s">
        <v>47</v>
      </c>
      <c r="E59" s="341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341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349" t="s">
        <v>138</v>
      </c>
      <c r="D60" s="349" t="s">
        <v>115</v>
      </c>
      <c r="E60" s="350" t="s">
        <v>669</v>
      </c>
      <c r="F60" s="448" t="s">
        <v>692</v>
      </c>
      <c r="G60" s="449"/>
      <c r="H60" s="449"/>
      <c r="I60" s="449"/>
      <c r="J60" s="449"/>
      <c r="K60" s="449"/>
      <c r="L60" s="449"/>
      <c r="M60" s="450"/>
      <c r="N60" s="116" t="s">
        <v>112</v>
      </c>
      <c r="O60" s="335" t="s">
        <v>148</v>
      </c>
      <c r="P60" s="451" t="s">
        <v>115</v>
      </c>
      <c r="Q60" s="452"/>
      <c r="R60" s="451" t="s">
        <v>702</v>
      </c>
      <c r="S60" s="453"/>
      <c r="T60" s="453"/>
      <c r="U60" s="452"/>
      <c r="V60" s="454" t="s">
        <v>146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124</v>
      </c>
      <c r="B61" s="447"/>
      <c r="C61" s="349" t="s">
        <v>141</v>
      </c>
      <c r="D61" s="349" t="s">
        <v>115</v>
      </c>
      <c r="E61" s="350" t="s">
        <v>330</v>
      </c>
      <c r="F61" s="448" t="s">
        <v>693</v>
      </c>
      <c r="G61" s="449"/>
      <c r="H61" s="449"/>
      <c r="I61" s="449"/>
      <c r="J61" s="449"/>
      <c r="K61" s="449"/>
      <c r="L61" s="449"/>
      <c r="M61" s="450"/>
      <c r="N61" s="116" t="s">
        <v>124</v>
      </c>
      <c r="O61" s="335" t="s">
        <v>141</v>
      </c>
      <c r="P61" s="451" t="s">
        <v>115</v>
      </c>
      <c r="Q61" s="452"/>
      <c r="R61" s="451" t="s">
        <v>681</v>
      </c>
      <c r="S61" s="453"/>
      <c r="T61" s="453"/>
      <c r="U61" s="452"/>
      <c r="V61" s="454" t="s">
        <v>137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112</v>
      </c>
      <c r="B62" s="447"/>
      <c r="C62" s="349" t="s">
        <v>159</v>
      </c>
      <c r="D62" s="349" t="s">
        <v>115</v>
      </c>
      <c r="E62" s="350" t="s">
        <v>640</v>
      </c>
      <c r="F62" s="448" t="s">
        <v>137</v>
      </c>
      <c r="G62" s="449"/>
      <c r="H62" s="449"/>
      <c r="I62" s="449"/>
      <c r="J62" s="449"/>
      <c r="K62" s="449"/>
      <c r="L62" s="449"/>
      <c r="M62" s="450"/>
      <c r="N62" s="116" t="s">
        <v>704</v>
      </c>
      <c r="O62" s="335" t="s">
        <v>705</v>
      </c>
      <c r="P62" s="451" t="s">
        <v>706</v>
      </c>
      <c r="Q62" s="452"/>
      <c r="R62" s="451" t="s">
        <v>703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349" t="s">
        <v>234</v>
      </c>
      <c r="D63" s="349" t="s">
        <v>142</v>
      </c>
      <c r="E63" s="350" t="s">
        <v>232</v>
      </c>
      <c r="F63" s="448" t="s">
        <v>137</v>
      </c>
      <c r="G63" s="449"/>
      <c r="H63" s="449"/>
      <c r="I63" s="449"/>
      <c r="J63" s="449"/>
      <c r="K63" s="449"/>
      <c r="L63" s="449"/>
      <c r="M63" s="450"/>
      <c r="N63" s="116" t="s">
        <v>704</v>
      </c>
      <c r="O63" s="335" t="s">
        <v>699</v>
      </c>
      <c r="P63" s="451" t="s">
        <v>708</v>
      </c>
      <c r="Q63" s="452"/>
      <c r="R63" s="451" t="s">
        <v>707</v>
      </c>
      <c r="S63" s="453"/>
      <c r="T63" s="453"/>
      <c r="U63" s="452"/>
      <c r="V63" s="454" t="s">
        <v>146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112</v>
      </c>
      <c r="B64" s="447"/>
      <c r="C64" s="337" t="s">
        <v>694</v>
      </c>
      <c r="D64" s="337" t="s">
        <v>695</v>
      </c>
      <c r="E64" s="338" t="s">
        <v>696</v>
      </c>
      <c r="F64" s="448" t="s">
        <v>697</v>
      </c>
      <c r="G64" s="449"/>
      <c r="H64" s="449"/>
      <c r="I64" s="449"/>
      <c r="J64" s="449"/>
      <c r="K64" s="449"/>
      <c r="L64" s="449"/>
      <c r="M64" s="450"/>
      <c r="N64" s="116" t="s">
        <v>710</v>
      </c>
      <c r="O64" s="335" t="s">
        <v>711</v>
      </c>
      <c r="P64" s="451" t="s">
        <v>712</v>
      </c>
      <c r="Q64" s="452"/>
      <c r="R64" s="451" t="s">
        <v>709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337" t="s">
        <v>699</v>
      </c>
      <c r="D65" s="337" t="s">
        <v>142</v>
      </c>
      <c r="E65" s="338" t="s">
        <v>689</v>
      </c>
      <c r="F65" s="448" t="s">
        <v>697</v>
      </c>
      <c r="G65" s="449"/>
      <c r="H65" s="449"/>
      <c r="I65" s="449"/>
      <c r="J65" s="449"/>
      <c r="K65" s="449"/>
      <c r="L65" s="449"/>
      <c r="M65" s="450"/>
      <c r="N65" s="116" t="s">
        <v>704</v>
      </c>
      <c r="O65" s="335" t="s">
        <v>694</v>
      </c>
      <c r="P65" s="451" t="s">
        <v>695</v>
      </c>
      <c r="Q65" s="452"/>
      <c r="R65" s="451" t="s">
        <v>713</v>
      </c>
      <c r="S65" s="453"/>
      <c r="T65" s="453"/>
      <c r="U65" s="452"/>
      <c r="V65" s="454" t="s">
        <v>146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112</v>
      </c>
      <c r="B66" s="447"/>
      <c r="C66" s="337" t="s">
        <v>700</v>
      </c>
      <c r="D66" s="337" t="s">
        <v>115</v>
      </c>
      <c r="E66" s="338" t="s">
        <v>701</v>
      </c>
      <c r="F66" s="448" t="s">
        <v>697</v>
      </c>
      <c r="G66" s="449"/>
      <c r="H66" s="449"/>
      <c r="I66" s="449"/>
      <c r="J66" s="449"/>
      <c r="K66" s="449"/>
      <c r="L66" s="449"/>
      <c r="M66" s="450"/>
      <c r="N66" s="116" t="s">
        <v>704</v>
      </c>
      <c r="O66" s="335" t="s">
        <v>694</v>
      </c>
      <c r="P66" s="451" t="s">
        <v>695</v>
      </c>
      <c r="Q66" s="452"/>
      <c r="R66" s="451" t="s">
        <v>714</v>
      </c>
      <c r="S66" s="453"/>
      <c r="T66" s="453"/>
      <c r="U66" s="452"/>
      <c r="V66" s="454" t="s">
        <v>146</v>
      </c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337"/>
      <c r="D67" s="337"/>
      <c r="E67" s="338"/>
      <c r="F67" s="448"/>
      <c r="G67" s="449"/>
      <c r="H67" s="449"/>
      <c r="I67" s="449"/>
      <c r="J67" s="449"/>
      <c r="K67" s="449"/>
      <c r="L67" s="449"/>
      <c r="M67" s="450"/>
      <c r="N67" s="116"/>
      <c r="O67" s="335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337"/>
      <c r="D68" s="337"/>
      <c r="E68" s="338"/>
      <c r="F68" s="448"/>
      <c r="G68" s="449"/>
      <c r="H68" s="449"/>
      <c r="I68" s="449"/>
      <c r="J68" s="449"/>
      <c r="K68" s="449"/>
      <c r="L68" s="449"/>
      <c r="M68" s="450"/>
      <c r="N68" s="116"/>
      <c r="O68" s="335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339"/>
      <c r="D69" s="340"/>
      <c r="E69" s="339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715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336" t="s">
        <v>2</v>
      </c>
      <c r="D71" s="336" t="s">
        <v>37</v>
      </c>
      <c r="E71" s="336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336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 t="s">
        <v>704</v>
      </c>
      <c r="D72" s="331"/>
      <c r="E72" s="334" t="s">
        <v>708</v>
      </c>
      <c r="F72" s="475" t="s">
        <v>716</v>
      </c>
      <c r="G72" s="476"/>
      <c r="H72" s="476"/>
      <c r="I72" s="476"/>
      <c r="J72" s="476"/>
      <c r="K72" s="476">
        <v>7301</v>
      </c>
      <c r="L72" s="476"/>
      <c r="M72" s="51" t="s">
        <v>721</v>
      </c>
      <c r="N72" s="477" t="s">
        <v>699</v>
      </c>
      <c r="O72" s="477"/>
      <c r="P72" s="478">
        <v>50</v>
      </c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 t="s">
        <v>704</v>
      </c>
      <c r="D73" s="331"/>
      <c r="E73" s="334" t="s">
        <v>708</v>
      </c>
      <c r="F73" s="481" t="s">
        <v>717</v>
      </c>
      <c r="G73" s="482"/>
      <c r="H73" s="482"/>
      <c r="I73" s="482"/>
      <c r="J73" s="483"/>
      <c r="K73" s="476" t="s">
        <v>719</v>
      </c>
      <c r="L73" s="476"/>
      <c r="M73" s="51" t="s">
        <v>722</v>
      </c>
      <c r="N73" s="477" t="s">
        <v>723</v>
      </c>
      <c r="O73" s="477"/>
      <c r="P73" s="478">
        <v>200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 t="s">
        <v>704</v>
      </c>
      <c r="D74" s="331"/>
      <c r="E74" s="334" t="s">
        <v>708</v>
      </c>
      <c r="F74" s="475" t="s">
        <v>718</v>
      </c>
      <c r="G74" s="476"/>
      <c r="H74" s="476"/>
      <c r="I74" s="476"/>
      <c r="J74" s="476"/>
      <c r="K74" s="476" t="s">
        <v>720</v>
      </c>
      <c r="L74" s="476"/>
      <c r="M74" s="51" t="s">
        <v>721</v>
      </c>
      <c r="N74" s="477" t="s">
        <v>723</v>
      </c>
      <c r="O74" s="477"/>
      <c r="P74" s="478">
        <v>50</v>
      </c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331"/>
      <c r="E75" s="334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331"/>
      <c r="E76" s="334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331"/>
      <c r="E77" s="334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331"/>
      <c r="E78" s="334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331"/>
      <c r="E79" s="334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331"/>
      <c r="E80" s="334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331"/>
      <c r="E81" s="334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724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333" t="s">
        <v>2</v>
      </c>
      <c r="D83" s="333" t="s">
        <v>37</v>
      </c>
      <c r="E83" s="333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332"/>
      <c r="D84" s="332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331"/>
      <c r="D85" s="331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331"/>
      <c r="D86" s="331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331"/>
      <c r="D87" s="331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331"/>
      <c r="D88" s="331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331"/>
      <c r="D89" s="331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331"/>
      <c r="D90" s="331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725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B788-A9F2-41C6-86DF-27A575086541}">
  <sheetPr>
    <pageSetUpPr fitToPage="1"/>
  </sheetPr>
  <dimension ref="A1:AF96"/>
  <sheetViews>
    <sheetView view="pageBreakPreview" zoomScale="70" zoomScaleNormal="72" zoomScaleSheetLayoutView="70" workbookViewId="0">
      <selection activeCell="A93" sqref="A93:B9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726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54" t="s">
        <v>17</v>
      </c>
      <c r="L5" s="354" t="s">
        <v>18</v>
      </c>
      <c r="M5" s="354" t="s">
        <v>19</v>
      </c>
      <c r="N5" s="3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124</v>
      </c>
      <c r="D6" s="52" t="s">
        <v>157</v>
      </c>
      <c r="E6" s="53" t="s">
        <v>209</v>
      </c>
      <c r="F6" s="30" t="s">
        <v>220</v>
      </c>
      <c r="G6" s="12">
        <v>2</v>
      </c>
      <c r="H6" s="13">
        <v>24</v>
      </c>
      <c r="I6" s="31">
        <v>120000</v>
      </c>
      <c r="J6" s="14">
        <v>9744</v>
      </c>
      <c r="K6" s="15">
        <f>L6+10316+11230+10284+10670+10340+11054+11138+10532+10088+9986+10806+10738+10698</f>
        <v>147624</v>
      </c>
      <c r="L6" s="15">
        <f>2721*2+2151*2</f>
        <v>9744</v>
      </c>
      <c r="M6" s="15">
        <f t="shared" ref="M6:M30" si="0">L6-N6</f>
        <v>9744</v>
      </c>
      <c r="N6" s="15">
        <v>0</v>
      </c>
      <c r="O6" s="58">
        <f t="shared" ref="O6:O31" si="1">IF(L6=0,"0",N6/L6)</f>
        <v>0</v>
      </c>
      <c r="P6" s="39">
        <f t="shared" ref="P6:P30" si="2">IF(L6=0,"0",(24-Q6))</f>
        <v>24</v>
      </c>
      <c r="Q6" s="40">
        <f t="shared" ref="Q6:Q30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30" si="4">IF(J6=0,"0",(L6/J6))</f>
        <v>1</v>
      </c>
      <c r="AC6" s="9">
        <f t="shared" ref="AC6:AC30" si="5">IF(P6=0,"0",(P6/24))</f>
        <v>1</v>
      </c>
      <c r="AD6" s="10">
        <f>AC6*AB6*(1-O6)</f>
        <v>1</v>
      </c>
      <c r="AE6" s="36">
        <f t="shared" ref="AE6:AE30" si="6">$AD$31</f>
        <v>0.52166666666666672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6009</v>
      </c>
      <c r="K7" s="15">
        <f>L7+4743+6488+6404</f>
        <v>23644</v>
      </c>
      <c r="L7" s="15">
        <f>3233+2776</f>
        <v>6009</v>
      </c>
      <c r="M7" s="15">
        <f t="shared" si="0"/>
        <v>6009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30" si="8">AC7*AB7*(1-O7)</f>
        <v>1</v>
      </c>
      <c r="AE7" s="36">
        <f t="shared" si="6"/>
        <v>0.52166666666666672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1</v>
      </c>
      <c r="H8" s="13">
        <v>24</v>
      </c>
      <c r="I8" s="7">
        <v>120000</v>
      </c>
      <c r="J8" s="14">
        <v>5932</v>
      </c>
      <c r="K8" s="15">
        <f>L8+8168+10878+10884+10350+9202+10794+10918+10934+10410+5576+3863+3847+3135</f>
        <v>114891</v>
      </c>
      <c r="L8" s="15">
        <f>2279*2+687*2</f>
        <v>5932</v>
      </c>
      <c r="M8" s="15">
        <f t="shared" si="0"/>
        <v>5932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8"/>
        <v>0.70833333333333337</v>
      </c>
      <c r="AE8" s="36">
        <f t="shared" si="6"/>
        <v>0.52166666666666672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161</v>
      </c>
      <c r="E9" s="53" t="s">
        <v>182</v>
      </c>
      <c r="F9" s="30" t="s">
        <v>133</v>
      </c>
      <c r="G9" s="12">
        <v>1</v>
      </c>
      <c r="H9" s="13">
        <v>24</v>
      </c>
      <c r="I9" s="7">
        <v>20000</v>
      </c>
      <c r="J9" s="14">
        <v>5204</v>
      </c>
      <c r="K9" s="15">
        <f>L9</f>
        <v>5204</v>
      </c>
      <c r="L9" s="15">
        <f>2657+2547</f>
        <v>5204</v>
      </c>
      <c r="M9" s="15">
        <f t="shared" si="0"/>
        <v>5204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0.52166666666666672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174</v>
      </c>
      <c r="F10" s="30" t="s">
        <v>175</v>
      </c>
      <c r="G10" s="33">
        <v>2</v>
      </c>
      <c r="H10" s="35">
        <v>24</v>
      </c>
      <c r="I10" s="7">
        <v>230000</v>
      </c>
      <c r="J10" s="14">
        <v>12060</v>
      </c>
      <c r="K10" s="15">
        <f>L10+12038+12846+12974+12804</f>
        <v>62722</v>
      </c>
      <c r="L10" s="15">
        <f>3277*2+2753*2</f>
        <v>12060</v>
      </c>
      <c r="M10" s="15">
        <f t="shared" si="0"/>
        <v>12060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0.52166666666666672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115</v>
      </c>
      <c r="E11" s="53" t="s">
        <v>702</v>
      </c>
      <c r="F11" s="30" t="s">
        <v>727</v>
      </c>
      <c r="G11" s="33">
        <v>1</v>
      </c>
      <c r="H11" s="35">
        <v>24</v>
      </c>
      <c r="I11" s="7">
        <v>100</v>
      </c>
      <c r="J11" s="14">
        <v>338</v>
      </c>
      <c r="K11" s="15">
        <f>L11</f>
        <v>338</v>
      </c>
      <c r="L11" s="15">
        <v>338</v>
      </c>
      <c r="M11" s="15">
        <f t="shared" si="0"/>
        <v>338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8"/>
        <v>0.125</v>
      </c>
      <c r="AE11" s="36">
        <f t="shared" si="6"/>
        <v>0.52166666666666672</v>
      </c>
      <c r="AF11" s="81">
        <f t="shared" si="7"/>
        <v>6</v>
      </c>
    </row>
    <row r="12" spans="1:32" ht="27" customHeight="1">
      <c r="A12" s="92">
        <v>6</v>
      </c>
      <c r="B12" s="11" t="s">
        <v>57</v>
      </c>
      <c r="C12" s="11" t="s">
        <v>116</v>
      </c>
      <c r="D12" s="52" t="s">
        <v>135</v>
      </c>
      <c r="E12" s="53" t="s">
        <v>728</v>
      </c>
      <c r="F12" s="30" t="s">
        <v>729</v>
      </c>
      <c r="G12" s="33">
        <v>2</v>
      </c>
      <c r="H12" s="35">
        <v>24</v>
      </c>
      <c r="I12" s="7">
        <v>9000</v>
      </c>
      <c r="J12" s="14">
        <v>6900</v>
      </c>
      <c r="K12" s="15">
        <f>L12</f>
        <v>6900</v>
      </c>
      <c r="L12" s="15">
        <f>1061*2+2389*2</f>
        <v>6900</v>
      </c>
      <c r="M12" s="15">
        <f t="shared" ref="M12" si="9">L12-N12</f>
        <v>6900</v>
      </c>
      <c r="N12" s="15">
        <v>0</v>
      </c>
      <c r="O12" s="58">
        <f t="shared" ref="O12" si="10">IF(L12=0,"0",N12/L12)</f>
        <v>0</v>
      </c>
      <c r="P12" s="39">
        <f t="shared" ref="P12" si="11">IF(L12=0,"0",(24-Q12))</f>
        <v>18</v>
      </c>
      <c r="Q12" s="40">
        <f t="shared" ref="Q12" si="12">SUM(R12:AA12)</f>
        <v>6</v>
      </c>
      <c r="R12" s="7"/>
      <c r="S12" s="6">
        <v>2</v>
      </c>
      <c r="T12" s="16">
        <v>4</v>
      </c>
      <c r="U12" s="16"/>
      <c r="V12" s="17"/>
      <c r="W12" s="5"/>
      <c r="X12" s="16"/>
      <c r="Y12" s="16"/>
      <c r="Z12" s="16"/>
      <c r="AA12" s="18"/>
      <c r="AB12" s="8">
        <f t="shared" ref="AB12" si="13">IF(J12=0,"0",(L12/J12))</f>
        <v>1</v>
      </c>
      <c r="AC12" s="9">
        <f t="shared" ref="AC12" si="14">IF(P12=0,"0",(P12/24))</f>
        <v>0.75</v>
      </c>
      <c r="AD12" s="10">
        <f t="shared" ref="AD12" si="15">AC12*AB12*(1-O12)</f>
        <v>0.75</v>
      </c>
      <c r="AE12" s="36">
        <f t="shared" si="6"/>
        <v>0.52166666666666672</v>
      </c>
      <c r="AF12" s="81">
        <f t="shared" ref="AF12" si="16">A12</f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173</v>
      </c>
      <c r="F13" s="30" t="s">
        <v>147</v>
      </c>
      <c r="G13" s="12">
        <v>2</v>
      </c>
      <c r="H13" s="13">
        <v>22</v>
      </c>
      <c r="I13" s="31">
        <v>230000</v>
      </c>
      <c r="J13" s="5">
        <v>9016</v>
      </c>
      <c r="K13" s="15">
        <f>L13+9010+9624+9178+9374+9224+9780+9636</f>
        <v>74842</v>
      </c>
      <c r="L13" s="15">
        <f>2430*2+2078*2</f>
        <v>9016</v>
      </c>
      <c r="M13" s="15">
        <f t="shared" si="0"/>
        <v>9016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0.52166666666666672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34" t="s">
        <v>112</v>
      </c>
      <c r="D14" s="52" t="s">
        <v>115</v>
      </c>
      <c r="E14" s="53" t="s">
        <v>593</v>
      </c>
      <c r="F14" s="30" t="s">
        <v>360</v>
      </c>
      <c r="G14" s="12">
        <v>2</v>
      </c>
      <c r="H14" s="13">
        <v>22</v>
      </c>
      <c r="I14" s="31">
        <v>61000</v>
      </c>
      <c r="J14" s="5">
        <v>10824</v>
      </c>
      <c r="K14" s="15">
        <f>L14+4420+2978+11134</f>
        <v>29356</v>
      </c>
      <c r="L14" s="15">
        <f>2475*2+2937*2</f>
        <v>10824</v>
      </c>
      <c r="M14" s="15">
        <f t="shared" si="0"/>
        <v>10824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0.52166666666666672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243</v>
      </c>
      <c r="D15" s="52" t="s">
        <v>712</v>
      </c>
      <c r="E15" s="53" t="s">
        <v>709</v>
      </c>
      <c r="F15" s="30" t="s">
        <v>143</v>
      </c>
      <c r="G15" s="33">
        <v>1</v>
      </c>
      <c r="H15" s="35">
        <v>50</v>
      </c>
      <c r="I15" s="7">
        <v>1500</v>
      </c>
      <c r="J15" s="5">
        <v>1833</v>
      </c>
      <c r="K15" s="15">
        <f>L15</f>
        <v>1833</v>
      </c>
      <c r="L15" s="15">
        <f>1564+269</f>
        <v>1833</v>
      </c>
      <c r="M15" s="15">
        <f t="shared" si="0"/>
        <v>1833</v>
      </c>
      <c r="N15" s="15">
        <v>0</v>
      </c>
      <c r="O15" s="58">
        <f t="shared" si="1"/>
        <v>0</v>
      </c>
      <c r="P15" s="39">
        <f t="shared" si="2"/>
        <v>15</v>
      </c>
      <c r="Q15" s="40">
        <f t="shared" si="3"/>
        <v>9</v>
      </c>
      <c r="R15" s="7"/>
      <c r="S15" s="6"/>
      <c r="T15" s="16"/>
      <c r="U15" s="16"/>
      <c r="V15" s="17"/>
      <c r="W15" s="5">
        <v>9</v>
      </c>
      <c r="X15" s="16"/>
      <c r="Y15" s="16"/>
      <c r="Z15" s="16"/>
      <c r="AA15" s="18"/>
      <c r="AB15" s="8">
        <f t="shared" si="4"/>
        <v>1</v>
      </c>
      <c r="AC15" s="9">
        <f t="shared" si="5"/>
        <v>0.625</v>
      </c>
      <c r="AD15" s="10">
        <f t="shared" si="8"/>
        <v>0.625</v>
      </c>
      <c r="AE15" s="36">
        <f t="shared" si="6"/>
        <v>0.52166666666666672</v>
      </c>
      <c r="AF15" s="81">
        <f t="shared" si="7"/>
        <v>9</v>
      </c>
    </row>
    <row r="16" spans="1:32" ht="27" customHeight="1">
      <c r="A16" s="106">
        <v>10</v>
      </c>
      <c r="B16" s="11" t="s">
        <v>57</v>
      </c>
      <c r="C16" s="34" t="s">
        <v>172</v>
      </c>
      <c r="D16" s="52" t="s">
        <v>599</v>
      </c>
      <c r="E16" s="53" t="s">
        <v>598</v>
      </c>
      <c r="F16" s="30" t="s">
        <v>180</v>
      </c>
      <c r="G16" s="12">
        <v>3</v>
      </c>
      <c r="H16" s="13">
        <v>24</v>
      </c>
      <c r="I16" s="31">
        <v>41000</v>
      </c>
      <c r="J16" s="14">
        <v>16944</v>
      </c>
      <c r="K16" s="15">
        <f>L16+24228+19092+19767+19353</f>
        <v>99384</v>
      </c>
      <c r="L16" s="15">
        <f>3288*3+2360*3</f>
        <v>16944</v>
      </c>
      <c r="M16" s="15">
        <f t="shared" si="0"/>
        <v>16944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0.52166666666666672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112</v>
      </c>
      <c r="D17" s="52" t="s">
        <v>144</v>
      </c>
      <c r="E17" s="53" t="s">
        <v>602</v>
      </c>
      <c r="F17" s="30" t="s">
        <v>437</v>
      </c>
      <c r="G17" s="12">
        <v>2</v>
      </c>
      <c r="H17" s="13">
        <v>22</v>
      </c>
      <c r="I17" s="31">
        <v>60000</v>
      </c>
      <c r="J17" s="5">
        <v>10332</v>
      </c>
      <c r="K17" s="15">
        <f>L17+5172+6526+8622+11040</f>
        <v>41692</v>
      </c>
      <c r="L17" s="15">
        <f>2344*2+2822*2</f>
        <v>10332</v>
      </c>
      <c r="M17" s="15">
        <f t="shared" si="0"/>
        <v>10332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0.52166666666666672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164</v>
      </c>
      <c r="D18" s="52"/>
      <c r="E18" s="53" t="s">
        <v>644</v>
      </c>
      <c r="F18" s="30" t="s">
        <v>156</v>
      </c>
      <c r="G18" s="12">
        <v>1</v>
      </c>
      <c r="H18" s="13">
        <v>24</v>
      </c>
      <c r="I18" s="7">
        <v>5800</v>
      </c>
      <c r="J18" s="14">
        <v>5064</v>
      </c>
      <c r="K18" s="15">
        <f>L18+4507+5064</f>
        <v>9571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0.52166666666666672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121</v>
      </c>
      <c r="E19" s="53" t="s">
        <v>730</v>
      </c>
      <c r="F19" s="30" t="s">
        <v>437</v>
      </c>
      <c r="G19" s="12">
        <v>2</v>
      </c>
      <c r="H19" s="13">
        <v>22</v>
      </c>
      <c r="I19" s="31">
        <v>7000</v>
      </c>
      <c r="J19" s="5">
        <v>7014</v>
      </c>
      <c r="K19" s="15">
        <f>L19</f>
        <v>7014</v>
      </c>
      <c r="L19" s="15">
        <f>1321*2+2186*2</f>
        <v>7014</v>
      </c>
      <c r="M19" s="15">
        <f t="shared" si="0"/>
        <v>7014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8"/>
        <v>0.83333333333333337</v>
      </c>
      <c r="AE19" s="36">
        <f t="shared" si="6"/>
        <v>0.52166666666666672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124</v>
      </c>
      <c r="D20" s="52" t="s">
        <v>142</v>
      </c>
      <c r="E20" s="53" t="s">
        <v>297</v>
      </c>
      <c r="F20" s="30" t="s">
        <v>198</v>
      </c>
      <c r="G20" s="33">
        <v>2</v>
      </c>
      <c r="H20" s="35">
        <v>24</v>
      </c>
      <c r="I20" s="7">
        <v>120000</v>
      </c>
      <c r="J20" s="14">
        <v>10228</v>
      </c>
      <c r="K20" s="15">
        <f>L20+9720+11486+11352+11400+10842+7716+11382+11408+11492+10720+6878+11418+11554+11382</f>
        <v>158978</v>
      </c>
      <c r="L20" s="15">
        <f>2257*2+2857*2</f>
        <v>10228</v>
      </c>
      <c r="M20" s="15">
        <f t="shared" si="0"/>
        <v>10228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0.52166666666666672</v>
      </c>
      <c r="AF20" s="81">
        <f t="shared" si="7"/>
        <v>14</v>
      </c>
    </row>
    <row r="21" spans="1:32" ht="27" customHeight="1">
      <c r="A21" s="106">
        <v>15</v>
      </c>
      <c r="B21" s="11" t="s">
        <v>57</v>
      </c>
      <c r="C21" s="11" t="s">
        <v>116</v>
      </c>
      <c r="D21" s="52" t="s">
        <v>142</v>
      </c>
      <c r="E21" s="53" t="s">
        <v>232</v>
      </c>
      <c r="F21" s="30" t="s">
        <v>176</v>
      </c>
      <c r="G21" s="33">
        <v>1</v>
      </c>
      <c r="H21" s="35">
        <v>24</v>
      </c>
      <c r="I21" s="7">
        <v>37000</v>
      </c>
      <c r="J21" s="14">
        <v>5077</v>
      </c>
      <c r="K21" s="15">
        <f>L21+4347</f>
        <v>9424</v>
      </c>
      <c r="L21" s="15">
        <f>2362+2715</f>
        <v>5077</v>
      </c>
      <c r="M21" s="15">
        <f t="shared" si="0"/>
        <v>5077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0.52166666666666672</v>
      </c>
      <c r="AF21" s="81">
        <f t="shared" si="7"/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165</v>
      </c>
      <c r="F22" s="12" t="s">
        <v>114</v>
      </c>
      <c r="G22" s="12">
        <v>4</v>
      </c>
      <c r="H22" s="35">
        <v>20</v>
      </c>
      <c r="I22" s="7">
        <v>2000000</v>
      </c>
      <c r="J22" s="14">
        <v>25968</v>
      </c>
      <c r="K22" s="15">
        <f>L22+64424+64620+22548+54104+64632+65016+67504+61284+57732+64780+64192+63920+55712+65444+64496+64864+62952+56316+64508+25968</f>
        <v>1175016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0.52166666666666672</v>
      </c>
      <c r="AF22" s="81">
        <f t="shared" si="7"/>
        <v>16</v>
      </c>
    </row>
    <row r="23" spans="1:32" ht="26.25" customHeight="1">
      <c r="A23" s="115">
        <v>17</v>
      </c>
      <c r="B23" s="11" t="s">
        <v>57</v>
      </c>
      <c r="C23" s="11"/>
      <c r="D23" s="52"/>
      <c r="E23" s="53"/>
      <c r="F23" s="12"/>
      <c r="G23" s="12"/>
      <c r="H23" s="35"/>
      <c r="I23" s="7">
        <v>0</v>
      </c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0.52166666666666672</v>
      </c>
      <c r="AF23" s="81">
        <f t="shared" si="7"/>
        <v>17</v>
      </c>
    </row>
    <row r="24" spans="1:32" ht="26.25" customHeight="1">
      <c r="A24" s="115">
        <v>18</v>
      </c>
      <c r="B24" s="11" t="s">
        <v>57</v>
      </c>
      <c r="C24" s="11" t="s">
        <v>116</v>
      </c>
      <c r="D24" s="52" t="s">
        <v>152</v>
      </c>
      <c r="E24" s="53" t="s">
        <v>166</v>
      </c>
      <c r="F24" s="12" t="s">
        <v>153</v>
      </c>
      <c r="G24" s="12">
        <v>4</v>
      </c>
      <c r="H24" s="35">
        <v>15</v>
      </c>
      <c r="I24" s="7">
        <v>20000</v>
      </c>
      <c r="J24" s="14">
        <v>24024</v>
      </c>
      <c r="K24" s="15">
        <f>L24+14040+7084+2888+25304+4864+24024</f>
        <v>78204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/>
      <c r="X24" s="16"/>
      <c r="Y24" s="16"/>
      <c r="Z24" s="16"/>
      <c r="AA24" s="18">
        <v>24</v>
      </c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0.52166666666666672</v>
      </c>
      <c r="AF24" s="81">
        <f t="shared" si="7"/>
        <v>18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139</v>
      </c>
      <c r="F25" s="12" t="s">
        <v>133</v>
      </c>
      <c r="G25" s="12">
        <v>4</v>
      </c>
      <c r="H25" s="35">
        <v>20</v>
      </c>
      <c r="I25" s="7">
        <v>100000</v>
      </c>
      <c r="J25" s="14">
        <v>1872</v>
      </c>
      <c r="K25" s="15">
        <f>L25+1872+6880</f>
        <v>8752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0.52166666666666672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 t="s">
        <v>150</v>
      </c>
      <c r="D26" s="52"/>
      <c r="E26" s="53" t="s">
        <v>149</v>
      </c>
      <c r="F26" s="12" t="s">
        <v>151</v>
      </c>
      <c r="G26" s="12">
        <v>30</v>
      </c>
      <c r="H26" s="35">
        <v>20</v>
      </c>
      <c r="I26" s="7">
        <v>2000000</v>
      </c>
      <c r="J26" s="14">
        <v>189476</v>
      </c>
      <c r="K26" s="15">
        <f>L26+322260+481964+478184+484736+189476</f>
        <v>1956620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0.52166666666666672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133</v>
      </c>
      <c r="G27" s="12">
        <v>4</v>
      </c>
      <c r="H27" s="35">
        <v>20</v>
      </c>
      <c r="I27" s="7">
        <f>180000+150000</f>
        <v>330000</v>
      </c>
      <c r="J27" s="14">
        <v>22760</v>
      </c>
      <c r="K27" s="15">
        <f>L27+20480+24108+23840+23940+22144+18434+21892+23604+20052+19824+24080+22760</f>
        <v>265158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0.52166666666666672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157</v>
      </c>
      <c r="E28" s="53" t="s">
        <v>170</v>
      </c>
      <c r="F28" s="12" t="s">
        <v>123</v>
      </c>
      <c r="G28" s="12">
        <v>4</v>
      </c>
      <c r="H28" s="35">
        <v>20</v>
      </c>
      <c r="I28" s="7">
        <f t="shared" ref="I28:I29" si="17">180000+150000</f>
        <v>330000</v>
      </c>
      <c r="J28" s="14">
        <v>23324</v>
      </c>
      <c r="K28" s="15">
        <f>L28+22128+27588+27392+27540+25512+23844+27296+27604+27180+23324</f>
        <v>259408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0.52166666666666672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171</v>
      </c>
      <c r="F29" s="12" t="s">
        <v>123</v>
      </c>
      <c r="G29" s="12">
        <v>4</v>
      </c>
      <c r="H29" s="35">
        <v>20</v>
      </c>
      <c r="I29" s="7">
        <f t="shared" si="17"/>
        <v>330000</v>
      </c>
      <c r="J29" s="14">
        <v>25000</v>
      </c>
      <c r="K29" s="15">
        <f>L29+18992+29436+29448+29672+26652+25912+29256+29552+29404+25000</f>
        <v>273324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0.52166666666666672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140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0.52166666666666672</v>
      </c>
      <c r="AF30" s="81">
        <f t="shared" si="7"/>
        <v>36</v>
      </c>
    </row>
    <row r="31" spans="1:32" ht="19.5" thickBot="1">
      <c r="A31" s="420" t="s">
        <v>34</v>
      </c>
      <c r="B31" s="421"/>
      <c r="C31" s="421"/>
      <c r="D31" s="421"/>
      <c r="E31" s="421"/>
      <c r="F31" s="421"/>
      <c r="G31" s="421"/>
      <c r="H31" s="422"/>
      <c r="I31" s="22">
        <f t="shared" ref="I31:N31" si="18">SUM(I6:I30)</f>
        <v>7212400</v>
      </c>
      <c r="J31" s="19">
        <f t="shared" si="18"/>
        <v>514271</v>
      </c>
      <c r="K31" s="20">
        <f t="shared" si="18"/>
        <v>5496143</v>
      </c>
      <c r="L31" s="21">
        <f t="shared" si="18"/>
        <v>117455</v>
      </c>
      <c r="M31" s="20">
        <f t="shared" si="18"/>
        <v>117455</v>
      </c>
      <c r="N31" s="21">
        <f t="shared" si="18"/>
        <v>0</v>
      </c>
      <c r="O31" s="41">
        <f t="shared" si="1"/>
        <v>0</v>
      </c>
      <c r="P31" s="42">
        <f t="shared" ref="P31:AA31" si="19">SUM(P6:P30)</f>
        <v>313</v>
      </c>
      <c r="Q31" s="43">
        <f t="shared" si="19"/>
        <v>287</v>
      </c>
      <c r="R31" s="23">
        <f t="shared" si="19"/>
        <v>0</v>
      </c>
      <c r="S31" s="24">
        <f t="shared" si="19"/>
        <v>13</v>
      </c>
      <c r="T31" s="24">
        <f t="shared" si="19"/>
        <v>4</v>
      </c>
      <c r="U31" s="24">
        <f t="shared" si="19"/>
        <v>0</v>
      </c>
      <c r="V31" s="25">
        <f t="shared" si="19"/>
        <v>48</v>
      </c>
      <c r="W31" s="26">
        <f t="shared" si="19"/>
        <v>198</v>
      </c>
      <c r="X31" s="27">
        <f t="shared" si="19"/>
        <v>0</v>
      </c>
      <c r="Y31" s="27">
        <f t="shared" si="19"/>
        <v>0</v>
      </c>
      <c r="Z31" s="27">
        <f t="shared" si="19"/>
        <v>0</v>
      </c>
      <c r="AA31" s="27">
        <f t="shared" si="19"/>
        <v>24</v>
      </c>
      <c r="AB31" s="28">
        <f>AVERAGE(AB6:AB30)</f>
        <v>0.625</v>
      </c>
      <c r="AC31" s="4">
        <f>AVERAGE(AC6:AC30)</f>
        <v>0.52166666666666672</v>
      </c>
      <c r="AD31" s="4">
        <f>AVERAGE(AD6:AD30)</f>
        <v>0.52166666666666672</v>
      </c>
      <c r="AE31" s="29"/>
    </row>
    <row r="32" spans="1:32">
      <c r="T32" s="50" t="s">
        <v>125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 t="s">
        <v>126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7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12" customHeight="1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12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2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4" t="s">
        <v>45</v>
      </c>
      <c r="B58" s="484"/>
      <c r="C58" s="484"/>
      <c r="D58" s="484"/>
      <c r="E58" s="484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24" t="s">
        <v>731</v>
      </c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6"/>
      <c r="N59" s="427" t="s">
        <v>738</v>
      </c>
      <c r="O59" s="428"/>
      <c r="P59" s="428"/>
      <c r="Q59" s="428"/>
      <c r="R59" s="428"/>
      <c r="S59" s="428"/>
      <c r="T59" s="428"/>
      <c r="U59" s="428"/>
      <c r="V59" s="428"/>
      <c r="W59" s="428"/>
      <c r="X59" s="428"/>
      <c r="Y59" s="428"/>
      <c r="Z59" s="428"/>
      <c r="AA59" s="428"/>
      <c r="AB59" s="428"/>
      <c r="AC59" s="428"/>
      <c r="AD59" s="429"/>
    </row>
    <row r="60" spans="1:32" ht="27" customHeight="1">
      <c r="A60" s="430" t="s">
        <v>2</v>
      </c>
      <c r="B60" s="431"/>
      <c r="C60" s="353" t="s">
        <v>46</v>
      </c>
      <c r="D60" s="353" t="s">
        <v>47</v>
      </c>
      <c r="E60" s="353" t="s">
        <v>107</v>
      </c>
      <c r="F60" s="432" t="s">
        <v>106</v>
      </c>
      <c r="G60" s="433"/>
      <c r="H60" s="433"/>
      <c r="I60" s="433"/>
      <c r="J60" s="433"/>
      <c r="K60" s="433"/>
      <c r="L60" s="433"/>
      <c r="M60" s="434"/>
      <c r="N60" s="67" t="s">
        <v>110</v>
      </c>
      <c r="O60" s="353" t="s">
        <v>46</v>
      </c>
      <c r="P60" s="432" t="s">
        <v>47</v>
      </c>
      <c r="Q60" s="435"/>
      <c r="R60" s="432" t="s">
        <v>38</v>
      </c>
      <c r="S60" s="433"/>
      <c r="T60" s="433"/>
      <c r="U60" s="435"/>
      <c r="V60" s="432" t="s">
        <v>48</v>
      </c>
      <c r="W60" s="433"/>
      <c r="X60" s="433"/>
      <c r="Y60" s="433"/>
      <c r="Z60" s="433"/>
      <c r="AA60" s="433"/>
      <c r="AB60" s="433"/>
      <c r="AC60" s="433"/>
      <c r="AD60" s="434"/>
    </row>
    <row r="61" spans="1:32" ht="27" customHeight="1">
      <c r="A61" s="446" t="s">
        <v>116</v>
      </c>
      <c r="B61" s="447"/>
      <c r="C61" s="349" t="s">
        <v>138</v>
      </c>
      <c r="D61" s="349" t="s">
        <v>161</v>
      </c>
      <c r="E61" s="350" t="s">
        <v>732</v>
      </c>
      <c r="F61" s="448" t="s">
        <v>146</v>
      </c>
      <c r="G61" s="449"/>
      <c r="H61" s="449"/>
      <c r="I61" s="449"/>
      <c r="J61" s="449"/>
      <c r="K61" s="449"/>
      <c r="L61" s="449"/>
      <c r="M61" s="450"/>
      <c r="N61" s="116" t="s">
        <v>112</v>
      </c>
      <c r="O61" s="347" t="s">
        <v>208</v>
      </c>
      <c r="P61" s="451" t="s">
        <v>135</v>
      </c>
      <c r="Q61" s="452"/>
      <c r="R61" s="451" t="s">
        <v>739</v>
      </c>
      <c r="S61" s="453"/>
      <c r="T61" s="453"/>
      <c r="U61" s="452"/>
      <c r="V61" s="454" t="s">
        <v>146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124</v>
      </c>
      <c r="B62" s="447"/>
      <c r="C62" s="349" t="s">
        <v>141</v>
      </c>
      <c r="D62" s="349" t="s">
        <v>115</v>
      </c>
      <c r="E62" s="350" t="s">
        <v>330</v>
      </c>
      <c r="F62" s="448" t="s">
        <v>137</v>
      </c>
      <c r="G62" s="449"/>
      <c r="H62" s="449"/>
      <c r="I62" s="449"/>
      <c r="J62" s="449"/>
      <c r="K62" s="449"/>
      <c r="L62" s="449"/>
      <c r="M62" s="450"/>
      <c r="N62" s="116" t="s">
        <v>243</v>
      </c>
      <c r="O62" s="347" t="s">
        <v>159</v>
      </c>
      <c r="P62" s="451" t="s">
        <v>115</v>
      </c>
      <c r="Q62" s="452"/>
      <c r="R62" s="451" t="s">
        <v>740</v>
      </c>
      <c r="S62" s="453"/>
      <c r="T62" s="453"/>
      <c r="U62" s="452"/>
      <c r="V62" s="454" t="s">
        <v>146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112</v>
      </c>
      <c r="B63" s="447"/>
      <c r="C63" s="349" t="s">
        <v>148</v>
      </c>
      <c r="D63" s="349" t="s">
        <v>115</v>
      </c>
      <c r="E63" s="350" t="s">
        <v>733</v>
      </c>
      <c r="F63" s="448" t="s">
        <v>146</v>
      </c>
      <c r="G63" s="449"/>
      <c r="H63" s="449"/>
      <c r="I63" s="449"/>
      <c r="J63" s="449"/>
      <c r="K63" s="449"/>
      <c r="L63" s="449"/>
      <c r="M63" s="450"/>
      <c r="N63" s="116" t="s">
        <v>112</v>
      </c>
      <c r="O63" s="347" t="s">
        <v>742</v>
      </c>
      <c r="P63" s="451" t="s">
        <v>743</v>
      </c>
      <c r="Q63" s="452"/>
      <c r="R63" s="451" t="s">
        <v>741</v>
      </c>
      <c r="S63" s="453"/>
      <c r="T63" s="453"/>
      <c r="U63" s="452"/>
      <c r="V63" s="454" t="s">
        <v>146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116</v>
      </c>
      <c r="B64" s="447"/>
      <c r="C64" s="349" t="s">
        <v>148</v>
      </c>
      <c r="D64" s="349" t="s">
        <v>135</v>
      </c>
      <c r="E64" s="350" t="s">
        <v>734</v>
      </c>
      <c r="F64" s="448" t="s">
        <v>735</v>
      </c>
      <c r="G64" s="449"/>
      <c r="H64" s="449"/>
      <c r="I64" s="449"/>
      <c r="J64" s="449"/>
      <c r="K64" s="449"/>
      <c r="L64" s="449"/>
      <c r="M64" s="450"/>
      <c r="N64" s="116" t="s">
        <v>745</v>
      </c>
      <c r="O64" s="347" t="s">
        <v>746</v>
      </c>
      <c r="P64" s="451"/>
      <c r="Q64" s="452"/>
      <c r="R64" s="451" t="s">
        <v>744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349" t="s">
        <v>694</v>
      </c>
      <c r="D65" s="349" t="s">
        <v>695</v>
      </c>
      <c r="E65" s="350" t="s">
        <v>736</v>
      </c>
      <c r="F65" s="448" t="s">
        <v>638</v>
      </c>
      <c r="G65" s="449"/>
      <c r="H65" s="449"/>
      <c r="I65" s="449"/>
      <c r="J65" s="449"/>
      <c r="K65" s="449"/>
      <c r="L65" s="449"/>
      <c r="M65" s="450"/>
      <c r="N65" s="116" t="s">
        <v>112</v>
      </c>
      <c r="O65" s="347" t="s">
        <v>748</v>
      </c>
      <c r="P65" s="451" t="s">
        <v>749</v>
      </c>
      <c r="Q65" s="452"/>
      <c r="R65" s="451" t="s">
        <v>747</v>
      </c>
      <c r="S65" s="453"/>
      <c r="T65" s="453"/>
      <c r="U65" s="452"/>
      <c r="V65" s="454" t="s">
        <v>146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243</v>
      </c>
      <c r="B66" s="447"/>
      <c r="C66" s="349" t="s">
        <v>159</v>
      </c>
      <c r="D66" s="349" t="s">
        <v>712</v>
      </c>
      <c r="E66" s="350" t="s">
        <v>737</v>
      </c>
      <c r="F66" s="448" t="s">
        <v>697</v>
      </c>
      <c r="G66" s="449"/>
      <c r="H66" s="449"/>
      <c r="I66" s="449"/>
      <c r="J66" s="449"/>
      <c r="K66" s="449"/>
      <c r="L66" s="449"/>
      <c r="M66" s="450"/>
      <c r="N66" s="116" t="s">
        <v>750</v>
      </c>
      <c r="O66" s="347" t="s">
        <v>751</v>
      </c>
      <c r="P66" s="451"/>
      <c r="Q66" s="452"/>
      <c r="R66" s="451" t="s">
        <v>752</v>
      </c>
      <c r="S66" s="453"/>
      <c r="T66" s="453"/>
      <c r="U66" s="452"/>
      <c r="V66" s="454" t="s">
        <v>146</v>
      </c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/>
      <c r="B67" s="447"/>
      <c r="C67" s="349"/>
      <c r="D67" s="349"/>
      <c r="E67" s="350"/>
      <c r="F67" s="448"/>
      <c r="G67" s="449"/>
      <c r="H67" s="449"/>
      <c r="I67" s="449"/>
      <c r="J67" s="449"/>
      <c r="K67" s="449"/>
      <c r="L67" s="449"/>
      <c r="M67" s="450"/>
      <c r="N67" s="116"/>
      <c r="O67" s="347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349"/>
      <c r="D68" s="349"/>
      <c r="E68" s="350"/>
      <c r="F68" s="448"/>
      <c r="G68" s="449"/>
      <c r="H68" s="449"/>
      <c r="I68" s="449"/>
      <c r="J68" s="449"/>
      <c r="K68" s="449"/>
      <c r="L68" s="449"/>
      <c r="M68" s="450"/>
      <c r="N68" s="116"/>
      <c r="O68" s="347"/>
      <c r="P68" s="451"/>
      <c r="Q68" s="452"/>
      <c r="R68" s="451"/>
      <c r="S68" s="453"/>
      <c r="T68" s="453"/>
      <c r="U68" s="452"/>
      <c r="V68" s="454"/>
      <c r="W68" s="455"/>
      <c r="X68" s="455"/>
      <c r="Y68" s="455"/>
      <c r="Z68" s="455"/>
      <c r="AA68" s="455"/>
      <c r="AB68" s="455"/>
      <c r="AC68" s="455"/>
      <c r="AD68" s="456"/>
    </row>
    <row r="69" spans="1:32" ht="27" customHeight="1">
      <c r="A69" s="446"/>
      <c r="B69" s="447"/>
      <c r="C69" s="349"/>
      <c r="D69" s="349"/>
      <c r="E69" s="350"/>
      <c r="F69" s="448"/>
      <c r="G69" s="449"/>
      <c r="H69" s="449"/>
      <c r="I69" s="449"/>
      <c r="J69" s="449"/>
      <c r="K69" s="449"/>
      <c r="L69" s="449"/>
      <c r="M69" s="450"/>
      <c r="N69" s="116"/>
      <c r="O69" s="347"/>
      <c r="P69" s="457"/>
      <c r="Q69" s="457"/>
      <c r="R69" s="457"/>
      <c r="S69" s="457"/>
      <c r="T69" s="457"/>
      <c r="U69" s="457"/>
      <c r="V69" s="454"/>
      <c r="W69" s="455"/>
      <c r="X69" s="455"/>
      <c r="Y69" s="455"/>
      <c r="Z69" s="455"/>
      <c r="AA69" s="455"/>
      <c r="AB69" s="455"/>
      <c r="AC69" s="455"/>
      <c r="AD69" s="456"/>
      <c r="AF69" s="81">
        <f>8*3000</f>
        <v>24000</v>
      </c>
    </row>
    <row r="70" spans="1:32" ht="27" customHeight="1" thickBot="1">
      <c r="A70" s="458"/>
      <c r="B70" s="459"/>
      <c r="C70" s="351"/>
      <c r="D70" s="352"/>
      <c r="E70" s="351"/>
      <c r="F70" s="460"/>
      <c r="G70" s="461"/>
      <c r="H70" s="461"/>
      <c r="I70" s="461"/>
      <c r="J70" s="461"/>
      <c r="K70" s="461"/>
      <c r="L70" s="461"/>
      <c r="M70" s="462"/>
      <c r="N70" s="105"/>
      <c r="O70" s="97"/>
      <c r="P70" s="463"/>
      <c r="Q70" s="463"/>
      <c r="R70" s="463"/>
      <c r="S70" s="463"/>
      <c r="T70" s="463"/>
      <c r="U70" s="463"/>
      <c r="V70" s="464"/>
      <c r="W70" s="464"/>
      <c r="X70" s="464"/>
      <c r="Y70" s="464"/>
      <c r="Z70" s="464"/>
      <c r="AA70" s="464"/>
      <c r="AB70" s="464"/>
      <c r="AC70" s="464"/>
      <c r="AD70" s="465"/>
      <c r="AF70" s="81">
        <f>16*3000</f>
        <v>48000</v>
      </c>
    </row>
    <row r="71" spans="1:32" ht="27.75" thickBot="1">
      <c r="A71" s="466" t="s">
        <v>753</v>
      </c>
      <c r="B71" s="466"/>
      <c r="C71" s="466"/>
      <c r="D71" s="466"/>
      <c r="E71" s="46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67" t="s">
        <v>111</v>
      </c>
      <c r="B72" s="468"/>
      <c r="C72" s="348" t="s">
        <v>2</v>
      </c>
      <c r="D72" s="348" t="s">
        <v>37</v>
      </c>
      <c r="E72" s="348" t="s">
        <v>3</v>
      </c>
      <c r="F72" s="468" t="s">
        <v>109</v>
      </c>
      <c r="G72" s="468"/>
      <c r="H72" s="468"/>
      <c r="I72" s="468"/>
      <c r="J72" s="468"/>
      <c r="K72" s="468" t="s">
        <v>39</v>
      </c>
      <c r="L72" s="468"/>
      <c r="M72" s="348" t="s">
        <v>40</v>
      </c>
      <c r="N72" s="468" t="s">
        <v>41</v>
      </c>
      <c r="O72" s="468"/>
      <c r="P72" s="469" t="s">
        <v>42</v>
      </c>
      <c r="Q72" s="470"/>
      <c r="R72" s="469" t="s">
        <v>43</v>
      </c>
      <c r="S72" s="471"/>
      <c r="T72" s="471"/>
      <c r="U72" s="471"/>
      <c r="V72" s="471"/>
      <c r="W72" s="471"/>
      <c r="X72" s="471"/>
      <c r="Y72" s="471"/>
      <c r="Z72" s="471"/>
      <c r="AA72" s="470"/>
      <c r="AB72" s="468" t="s">
        <v>44</v>
      </c>
      <c r="AC72" s="468"/>
      <c r="AD72" s="472"/>
      <c r="AF72" s="81">
        <f>SUM(AF69:AF71)</f>
        <v>96000</v>
      </c>
    </row>
    <row r="73" spans="1:32" ht="25.5" customHeight="1">
      <c r="A73" s="473">
        <v>1</v>
      </c>
      <c r="B73" s="474"/>
      <c r="C73" s="98" t="s">
        <v>704</v>
      </c>
      <c r="D73" s="343"/>
      <c r="E73" s="346" t="s">
        <v>708</v>
      </c>
      <c r="F73" s="475" t="s">
        <v>754</v>
      </c>
      <c r="G73" s="476"/>
      <c r="H73" s="476"/>
      <c r="I73" s="476"/>
      <c r="J73" s="476"/>
      <c r="K73" s="476" t="s">
        <v>755</v>
      </c>
      <c r="L73" s="476"/>
      <c r="M73" s="51" t="s">
        <v>756</v>
      </c>
      <c r="N73" s="477" t="s">
        <v>757</v>
      </c>
      <c r="O73" s="477"/>
      <c r="P73" s="478">
        <v>100</v>
      </c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2</v>
      </c>
      <c r="B74" s="474"/>
      <c r="C74" s="98"/>
      <c r="D74" s="343"/>
      <c r="E74" s="346"/>
      <c r="F74" s="481"/>
      <c r="G74" s="482"/>
      <c r="H74" s="482"/>
      <c r="I74" s="482"/>
      <c r="J74" s="483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3</v>
      </c>
      <c r="B75" s="474"/>
      <c r="C75" s="98"/>
      <c r="D75" s="343"/>
      <c r="E75" s="346"/>
      <c r="F75" s="475"/>
      <c r="G75" s="476"/>
      <c r="H75" s="476"/>
      <c r="I75" s="476"/>
      <c r="J75" s="476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4</v>
      </c>
      <c r="B76" s="474"/>
      <c r="C76" s="98"/>
      <c r="D76" s="343"/>
      <c r="E76" s="346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5</v>
      </c>
      <c r="B77" s="474"/>
      <c r="C77" s="98"/>
      <c r="D77" s="343"/>
      <c r="E77" s="346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6</v>
      </c>
      <c r="B78" s="474"/>
      <c r="C78" s="98"/>
      <c r="D78" s="343"/>
      <c r="E78" s="346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7</v>
      </c>
      <c r="B79" s="474"/>
      <c r="C79" s="98"/>
      <c r="D79" s="343"/>
      <c r="E79" s="346"/>
      <c r="F79" s="481"/>
      <c r="G79" s="482"/>
      <c r="H79" s="482"/>
      <c r="I79" s="482"/>
      <c r="J79" s="483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8</v>
      </c>
      <c r="B80" s="474"/>
      <c r="C80" s="98"/>
      <c r="D80" s="343"/>
      <c r="E80" s="346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9</v>
      </c>
      <c r="B81" s="474"/>
      <c r="C81" s="98"/>
      <c r="D81" s="343"/>
      <c r="E81" s="346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5.5" customHeight="1">
      <c r="A82" s="473">
        <v>10</v>
      </c>
      <c r="B82" s="474"/>
      <c r="C82" s="98"/>
      <c r="D82" s="343"/>
      <c r="E82" s="346"/>
      <c r="F82" s="475"/>
      <c r="G82" s="476"/>
      <c r="H82" s="476"/>
      <c r="I82" s="476"/>
      <c r="J82" s="476"/>
      <c r="K82" s="476"/>
      <c r="L82" s="476"/>
      <c r="M82" s="51"/>
      <c r="N82" s="477"/>
      <c r="O82" s="477"/>
      <c r="P82" s="478"/>
      <c r="Q82" s="478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6"/>
      <c r="AC82" s="476"/>
      <c r="AD82" s="480"/>
      <c r="AF82" s="50"/>
    </row>
    <row r="83" spans="1:32" ht="26.25" customHeight="1" thickBot="1">
      <c r="A83" s="484" t="s">
        <v>758</v>
      </c>
      <c r="B83" s="484"/>
      <c r="C83" s="484"/>
      <c r="D83" s="484"/>
      <c r="E83" s="48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85" t="s">
        <v>111</v>
      </c>
      <c r="B84" s="486"/>
      <c r="C84" s="345" t="s">
        <v>2</v>
      </c>
      <c r="D84" s="345" t="s">
        <v>37</v>
      </c>
      <c r="E84" s="345" t="s">
        <v>120</v>
      </c>
      <c r="F84" s="487" t="s">
        <v>38</v>
      </c>
      <c r="G84" s="487"/>
      <c r="H84" s="487"/>
      <c r="I84" s="487"/>
      <c r="J84" s="487"/>
      <c r="K84" s="488" t="s">
        <v>58</v>
      </c>
      <c r="L84" s="489"/>
      <c r="M84" s="489"/>
      <c r="N84" s="489"/>
      <c r="O84" s="489"/>
      <c r="P84" s="489"/>
      <c r="Q84" s="489"/>
      <c r="R84" s="489"/>
      <c r="S84" s="490"/>
      <c r="T84" s="487" t="s">
        <v>49</v>
      </c>
      <c r="U84" s="487"/>
      <c r="V84" s="488" t="s">
        <v>50</v>
      </c>
      <c r="W84" s="490"/>
      <c r="X84" s="489" t="s">
        <v>51</v>
      </c>
      <c r="Y84" s="489"/>
      <c r="Z84" s="489"/>
      <c r="AA84" s="489"/>
      <c r="AB84" s="489"/>
      <c r="AC84" s="489"/>
      <c r="AD84" s="491"/>
      <c r="AF84" s="50"/>
    </row>
    <row r="85" spans="1:32" ht="33.75" customHeight="1">
      <c r="A85" s="500">
        <v>1</v>
      </c>
      <c r="B85" s="501"/>
      <c r="C85" s="344"/>
      <c r="D85" s="344"/>
      <c r="E85" s="65"/>
      <c r="F85" s="502"/>
      <c r="G85" s="503"/>
      <c r="H85" s="503"/>
      <c r="I85" s="503"/>
      <c r="J85" s="504"/>
      <c r="K85" s="505"/>
      <c r="L85" s="506"/>
      <c r="M85" s="506"/>
      <c r="N85" s="506"/>
      <c r="O85" s="506"/>
      <c r="P85" s="506"/>
      <c r="Q85" s="506"/>
      <c r="R85" s="506"/>
      <c r="S85" s="507"/>
      <c r="T85" s="508"/>
      <c r="U85" s="509"/>
      <c r="V85" s="510"/>
      <c r="W85" s="510"/>
      <c r="X85" s="511"/>
      <c r="Y85" s="511"/>
      <c r="Z85" s="511"/>
      <c r="AA85" s="511"/>
      <c r="AB85" s="511"/>
      <c r="AC85" s="511"/>
      <c r="AD85" s="512"/>
      <c r="AF85" s="50"/>
    </row>
    <row r="86" spans="1:32" ht="30" customHeight="1">
      <c r="A86" s="492">
        <f>A85+1</f>
        <v>2</v>
      </c>
      <c r="B86" s="493"/>
      <c r="C86" s="343"/>
      <c r="D86" s="343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ref="A87:A91" si="20">A86+1</f>
        <v>3</v>
      </c>
      <c r="B87" s="493"/>
      <c r="C87" s="343"/>
      <c r="D87" s="343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20"/>
        <v>4</v>
      </c>
      <c r="B88" s="493"/>
      <c r="C88" s="343"/>
      <c r="D88" s="343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20"/>
        <v>5</v>
      </c>
      <c r="B89" s="493"/>
      <c r="C89" s="343"/>
      <c r="D89" s="343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20"/>
        <v>6</v>
      </c>
      <c r="B90" s="493"/>
      <c r="C90" s="343"/>
      <c r="D90" s="343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0" customHeight="1">
      <c r="A91" s="492">
        <f t="shared" si="20"/>
        <v>7</v>
      </c>
      <c r="B91" s="493"/>
      <c r="C91" s="343"/>
      <c r="D91" s="343"/>
      <c r="E91" s="32"/>
      <c r="F91" s="493"/>
      <c r="G91" s="493"/>
      <c r="H91" s="493"/>
      <c r="I91" s="493"/>
      <c r="J91" s="493"/>
      <c r="K91" s="494"/>
      <c r="L91" s="495"/>
      <c r="M91" s="495"/>
      <c r="N91" s="495"/>
      <c r="O91" s="495"/>
      <c r="P91" s="495"/>
      <c r="Q91" s="495"/>
      <c r="R91" s="495"/>
      <c r="S91" s="496"/>
      <c r="T91" s="497"/>
      <c r="U91" s="497"/>
      <c r="V91" s="497"/>
      <c r="W91" s="497"/>
      <c r="X91" s="498"/>
      <c r="Y91" s="498"/>
      <c r="Z91" s="498"/>
      <c r="AA91" s="498"/>
      <c r="AB91" s="498"/>
      <c r="AC91" s="498"/>
      <c r="AD91" s="499"/>
      <c r="AF91" s="50"/>
    </row>
    <row r="92" spans="1:32" ht="36" thickBot="1">
      <c r="A92" s="484" t="s">
        <v>759</v>
      </c>
      <c r="B92" s="484"/>
      <c r="C92" s="484"/>
      <c r="D92" s="484"/>
      <c r="E92" s="484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513" t="s">
        <v>111</v>
      </c>
      <c r="B93" s="487"/>
      <c r="C93" s="514" t="s">
        <v>52</v>
      </c>
      <c r="D93" s="514"/>
      <c r="E93" s="514" t="s">
        <v>53</v>
      </c>
      <c r="F93" s="514"/>
      <c r="G93" s="514"/>
      <c r="H93" s="514"/>
      <c r="I93" s="514"/>
      <c r="J93" s="514"/>
      <c r="K93" s="514" t="s">
        <v>54</v>
      </c>
      <c r="L93" s="514"/>
      <c r="M93" s="514"/>
      <c r="N93" s="514"/>
      <c r="O93" s="514"/>
      <c r="P93" s="514"/>
      <c r="Q93" s="514"/>
      <c r="R93" s="514"/>
      <c r="S93" s="514"/>
      <c r="T93" s="514" t="s">
        <v>55</v>
      </c>
      <c r="U93" s="514"/>
      <c r="V93" s="514" t="s">
        <v>56</v>
      </c>
      <c r="W93" s="514"/>
      <c r="X93" s="514"/>
      <c r="Y93" s="514" t="s">
        <v>51</v>
      </c>
      <c r="Z93" s="514"/>
      <c r="AA93" s="514"/>
      <c r="AB93" s="514"/>
      <c r="AC93" s="514"/>
      <c r="AD93" s="515"/>
      <c r="AF93" s="50"/>
    </row>
    <row r="94" spans="1:32" ht="30.75" customHeight="1">
      <c r="A94" s="500">
        <v>1</v>
      </c>
      <c r="B94" s="501"/>
      <c r="C94" s="516"/>
      <c r="D94" s="516"/>
      <c r="E94" s="516"/>
      <c r="F94" s="516"/>
      <c r="G94" s="516"/>
      <c r="H94" s="516"/>
      <c r="I94" s="516"/>
      <c r="J94" s="516"/>
      <c r="K94" s="516"/>
      <c r="L94" s="516"/>
      <c r="M94" s="516"/>
      <c r="N94" s="516"/>
      <c r="O94" s="516"/>
      <c r="P94" s="516"/>
      <c r="Q94" s="516"/>
      <c r="R94" s="516"/>
      <c r="S94" s="516"/>
      <c r="T94" s="516"/>
      <c r="U94" s="516"/>
      <c r="V94" s="517"/>
      <c r="W94" s="517"/>
      <c r="X94" s="517"/>
      <c r="Y94" s="518"/>
      <c r="Z94" s="518"/>
      <c r="AA94" s="518"/>
      <c r="AB94" s="518"/>
      <c r="AC94" s="518"/>
      <c r="AD94" s="519"/>
      <c r="AF94" s="50"/>
    </row>
    <row r="95" spans="1:32" ht="30.75" customHeight="1">
      <c r="A95" s="492">
        <v>2</v>
      </c>
      <c r="B95" s="493"/>
      <c r="C95" s="528"/>
      <c r="D95" s="528"/>
      <c r="E95" s="528"/>
      <c r="F95" s="528"/>
      <c r="G95" s="528"/>
      <c r="H95" s="528"/>
      <c r="I95" s="528"/>
      <c r="J95" s="528"/>
      <c r="K95" s="528"/>
      <c r="L95" s="528"/>
      <c r="M95" s="528"/>
      <c r="N95" s="528"/>
      <c r="O95" s="528"/>
      <c r="P95" s="528"/>
      <c r="Q95" s="528"/>
      <c r="R95" s="528"/>
      <c r="S95" s="528"/>
      <c r="T95" s="529"/>
      <c r="U95" s="529"/>
      <c r="V95" s="530"/>
      <c r="W95" s="530"/>
      <c r="X95" s="530"/>
      <c r="Y95" s="520"/>
      <c r="Z95" s="520"/>
      <c r="AA95" s="520"/>
      <c r="AB95" s="520"/>
      <c r="AC95" s="520"/>
      <c r="AD95" s="521"/>
      <c r="AF95" s="50"/>
    </row>
    <row r="96" spans="1:32" ht="30.75" customHeight="1" thickBot="1">
      <c r="A96" s="522">
        <v>3</v>
      </c>
      <c r="B96" s="523"/>
      <c r="C96" s="524"/>
      <c r="D96" s="524"/>
      <c r="E96" s="524"/>
      <c r="F96" s="524"/>
      <c r="G96" s="524"/>
      <c r="H96" s="524"/>
      <c r="I96" s="524"/>
      <c r="J96" s="524"/>
      <c r="K96" s="524"/>
      <c r="L96" s="524"/>
      <c r="M96" s="524"/>
      <c r="N96" s="524"/>
      <c r="O96" s="524"/>
      <c r="P96" s="524"/>
      <c r="Q96" s="524"/>
      <c r="R96" s="524"/>
      <c r="S96" s="524"/>
      <c r="T96" s="524"/>
      <c r="U96" s="524"/>
      <c r="V96" s="525"/>
      <c r="W96" s="525"/>
      <c r="X96" s="525"/>
      <c r="Y96" s="526"/>
      <c r="Z96" s="526"/>
      <c r="AA96" s="526"/>
      <c r="AB96" s="526"/>
      <c r="AC96" s="526"/>
      <c r="AD96" s="527"/>
      <c r="AF96" s="50"/>
    </row>
  </sheetData>
  <mergeCells count="232"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6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75BB-863B-482C-BF56-AAFBB003C3B6}">
  <sheetPr>
    <pageSetUpPr fitToPage="1"/>
  </sheetPr>
  <dimension ref="A1:AF95"/>
  <sheetViews>
    <sheetView view="pageBreakPreview" topLeftCell="A10" zoomScale="70" zoomScaleNormal="72" zoomScaleSheetLayoutView="70" workbookViewId="0">
      <selection activeCell="T22" sqref="T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760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66" t="s">
        <v>17</v>
      </c>
      <c r="L5" s="366" t="s">
        <v>18</v>
      </c>
      <c r="M5" s="366" t="s">
        <v>19</v>
      </c>
      <c r="N5" s="36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112</v>
      </c>
      <c r="D6" s="52" t="s">
        <v>135</v>
      </c>
      <c r="E6" s="53" t="s">
        <v>761</v>
      </c>
      <c r="F6" s="30" t="s">
        <v>762</v>
      </c>
      <c r="G6" s="12">
        <v>4</v>
      </c>
      <c r="H6" s="13">
        <v>24</v>
      </c>
      <c r="I6" s="31">
        <v>59000</v>
      </c>
      <c r="J6" s="14">
        <v>13484</v>
      </c>
      <c r="K6" s="15">
        <f>L6</f>
        <v>13484</v>
      </c>
      <c r="L6" s="15">
        <f>2915*4+456*4</f>
        <v>13484</v>
      </c>
      <c r="M6" s="15">
        <f t="shared" ref="M6:M29" si="0">L6-N6</f>
        <v>13484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17</v>
      </c>
      <c r="Q6" s="40">
        <f t="shared" ref="Q6:Q29" si="3">SUM(R6:AA6)</f>
        <v>7</v>
      </c>
      <c r="R6" s="7"/>
      <c r="S6" s="6">
        <v>7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0.70833333333333337</v>
      </c>
      <c r="AD6" s="10">
        <f>AC6*AB6*(1-O6)</f>
        <v>0.70833333333333337</v>
      </c>
      <c r="AE6" s="36">
        <f t="shared" ref="AE6:AE29" si="6">$AD$30</f>
        <v>0.49999999999999994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6055</v>
      </c>
      <c r="K7" s="15">
        <f>L7+4743+6488+6404+6009</f>
        <v>29699</v>
      </c>
      <c r="L7" s="15">
        <f>3256+2799</f>
        <v>6055</v>
      </c>
      <c r="M7" s="15">
        <f t="shared" si="0"/>
        <v>6055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9" si="8">AC7*AB7*(1-O7)</f>
        <v>1</v>
      </c>
      <c r="AE7" s="36">
        <f t="shared" si="6"/>
        <v>0.49999999999999994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1</v>
      </c>
      <c r="H8" s="13">
        <v>24</v>
      </c>
      <c r="I8" s="7">
        <v>120000</v>
      </c>
      <c r="J8" s="14">
        <v>3009</v>
      </c>
      <c r="K8" s="15">
        <f>L8+8168+10878+10884+10350+9202+10794+10918+10934+10410+5576+3863+3847+3135+5932</f>
        <v>117900</v>
      </c>
      <c r="L8" s="15">
        <f>1885+562*2</f>
        <v>3009</v>
      </c>
      <c r="M8" s="15">
        <f t="shared" si="0"/>
        <v>3009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8"/>
        <v>0.54166666666666663</v>
      </c>
      <c r="AE8" s="36">
        <f t="shared" si="6"/>
        <v>0.49999999999999994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161</v>
      </c>
      <c r="E9" s="53" t="s">
        <v>182</v>
      </c>
      <c r="F9" s="30" t="s">
        <v>133</v>
      </c>
      <c r="G9" s="12">
        <v>1</v>
      </c>
      <c r="H9" s="13">
        <v>24</v>
      </c>
      <c r="I9" s="7">
        <v>20000</v>
      </c>
      <c r="J9" s="14">
        <v>5759</v>
      </c>
      <c r="K9" s="15">
        <f>L9+5204</f>
        <v>10963</v>
      </c>
      <c r="L9" s="15">
        <f>3229+2530</f>
        <v>5759</v>
      </c>
      <c r="M9" s="15">
        <f t="shared" si="0"/>
        <v>5759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0.49999999999999994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174</v>
      </c>
      <c r="F10" s="30" t="s">
        <v>175</v>
      </c>
      <c r="G10" s="33">
        <v>2</v>
      </c>
      <c r="H10" s="35">
        <v>24</v>
      </c>
      <c r="I10" s="7">
        <v>230000</v>
      </c>
      <c r="J10" s="14">
        <v>12144</v>
      </c>
      <c r="K10" s="15">
        <f>L10+12038+12846+12974+12804+12060</f>
        <v>74866</v>
      </c>
      <c r="L10" s="15">
        <f>2854*2+3218*2</f>
        <v>12144</v>
      </c>
      <c r="M10" s="15">
        <f t="shared" si="0"/>
        <v>12144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0.49999999999999994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135</v>
      </c>
      <c r="E11" s="53" t="s">
        <v>728</v>
      </c>
      <c r="F11" s="30" t="s">
        <v>729</v>
      </c>
      <c r="G11" s="33">
        <v>2</v>
      </c>
      <c r="H11" s="35">
        <v>24</v>
      </c>
      <c r="I11" s="7">
        <v>9000</v>
      </c>
      <c r="J11" s="14">
        <v>10302</v>
      </c>
      <c r="K11" s="15">
        <f>L11+6900</f>
        <v>17202</v>
      </c>
      <c r="L11" s="15">
        <f>2790*2+2361*2</f>
        <v>10302</v>
      </c>
      <c r="M11" s="15">
        <f t="shared" si="0"/>
        <v>10302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0.49999999999999994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9380</v>
      </c>
      <c r="K12" s="15">
        <f>L12+9010+9624+9178+9374+9224+9780+9636+9016</f>
        <v>84222</v>
      </c>
      <c r="L12" s="15">
        <f>2459*2+2231*2</f>
        <v>9380</v>
      </c>
      <c r="M12" s="15">
        <f t="shared" si="0"/>
        <v>9380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0.49999999999999994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112</v>
      </c>
      <c r="D13" s="52" t="s">
        <v>115</v>
      </c>
      <c r="E13" s="53" t="s">
        <v>593</v>
      </c>
      <c r="F13" s="30" t="s">
        <v>360</v>
      </c>
      <c r="G13" s="12">
        <v>2</v>
      </c>
      <c r="H13" s="13">
        <v>22</v>
      </c>
      <c r="I13" s="31">
        <v>61000</v>
      </c>
      <c r="J13" s="5">
        <v>11094</v>
      </c>
      <c r="K13" s="15">
        <f>L13+4420+2978+11134+10824</f>
        <v>40450</v>
      </c>
      <c r="L13" s="15">
        <f>2595*2+2952*2</f>
        <v>11094</v>
      </c>
      <c r="M13" s="15">
        <f t="shared" si="0"/>
        <v>11094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0.49999999999999994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243</v>
      </c>
      <c r="D14" s="52" t="s">
        <v>115</v>
      </c>
      <c r="E14" s="53" t="s">
        <v>740</v>
      </c>
      <c r="F14" s="30" t="s">
        <v>143</v>
      </c>
      <c r="G14" s="33">
        <v>1</v>
      </c>
      <c r="H14" s="35">
        <v>50</v>
      </c>
      <c r="I14" s="7">
        <v>1500</v>
      </c>
      <c r="J14" s="5">
        <v>329</v>
      </c>
      <c r="K14" s="15">
        <f>L14</f>
        <v>329</v>
      </c>
      <c r="L14" s="15">
        <f>194+135</f>
        <v>329</v>
      </c>
      <c r="M14" s="15">
        <f t="shared" si="0"/>
        <v>329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>
        <v>19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8"/>
        <v>0.20833333333333334</v>
      </c>
      <c r="AE14" s="36">
        <f t="shared" si="6"/>
        <v>0.49999999999999994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482</v>
      </c>
      <c r="E15" s="53" t="s">
        <v>741</v>
      </c>
      <c r="F15" s="30" t="s">
        <v>136</v>
      </c>
      <c r="G15" s="12">
        <v>1</v>
      </c>
      <c r="H15" s="13">
        <v>24</v>
      </c>
      <c r="I15" s="31">
        <v>7000</v>
      </c>
      <c r="J15" s="14">
        <v>16944</v>
      </c>
      <c r="K15" s="15">
        <f>L15</f>
        <v>0</v>
      </c>
      <c r="L15" s="15">
        <f>0</f>
        <v>0</v>
      </c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0.49999999999999994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164</v>
      </c>
      <c r="D16" s="52"/>
      <c r="E16" s="53" t="s">
        <v>763</v>
      </c>
      <c r="F16" s="30" t="s">
        <v>690</v>
      </c>
      <c r="G16" s="12">
        <v>1</v>
      </c>
      <c r="H16" s="13">
        <v>22</v>
      </c>
      <c r="I16" s="31">
        <v>6000</v>
      </c>
      <c r="J16" s="5">
        <v>5416</v>
      </c>
      <c r="K16" s="15">
        <f>L16</f>
        <v>5416</v>
      </c>
      <c r="L16" s="15">
        <f>2391+3025</f>
        <v>5416</v>
      </c>
      <c r="M16" s="15">
        <f t="shared" si="0"/>
        <v>5416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0.49999999999999994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164</v>
      </c>
      <c r="D17" s="52"/>
      <c r="E17" s="53" t="s">
        <v>644</v>
      </c>
      <c r="F17" s="30" t="s">
        <v>156</v>
      </c>
      <c r="G17" s="12">
        <v>1</v>
      </c>
      <c r="H17" s="13">
        <v>24</v>
      </c>
      <c r="I17" s="7">
        <v>5800</v>
      </c>
      <c r="J17" s="14">
        <v>5064</v>
      </c>
      <c r="K17" s="15">
        <f>L17+4507+5064</f>
        <v>9571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0.49999999999999994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164</v>
      </c>
      <c r="D18" s="52"/>
      <c r="E18" s="53" t="s">
        <v>764</v>
      </c>
      <c r="F18" s="30" t="s">
        <v>176</v>
      </c>
      <c r="G18" s="12">
        <v>1</v>
      </c>
      <c r="H18" s="13">
        <v>22</v>
      </c>
      <c r="I18" s="31">
        <v>6000</v>
      </c>
      <c r="J18" s="5">
        <v>3016</v>
      </c>
      <c r="K18" s="15">
        <f>L18</f>
        <v>3016</v>
      </c>
      <c r="L18" s="15">
        <f>309+2707</f>
        <v>3016</v>
      </c>
      <c r="M18" s="15">
        <f t="shared" si="0"/>
        <v>3016</v>
      </c>
      <c r="N18" s="15">
        <v>0</v>
      </c>
      <c r="O18" s="58">
        <f t="shared" si="1"/>
        <v>0</v>
      </c>
      <c r="P18" s="39">
        <f t="shared" si="2"/>
        <v>16</v>
      </c>
      <c r="Q18" s="40">
        <f t="shared" si="3"/>
        <v>8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8</v>
      </c>
      <c r="AB18" s="8">
        <f t="shared" si="4"/>
        <v>1</v>
      </c>
      <c r="AC18" s="9">
        <f t="shared" si="5"/>
        <v>0.66666666666666663</v>
      </c>
      <c r="AD18" s="10">
        <f t="shared" si="8"/>
        <v>0.66666666666666663</v>
      </c>
      <c r="AE18" s="36">
        <f t="shared" si="6"/>
        <v>0.49999999999999994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144</v>
      </c>
      <c r="E19" s="53" t="s">
        <v>765</v>
      </c>
      <c r="F19" s="30" t="s">
        <v>122</v>
      </c>
      <c r="G19" s="33">
        <v>4</v>
      </c>
      <c r="H19" s="35">
        <v>24</v>
      </c>
      <c r="I19" s="7">
        <v>61000</v>
      </c>
      <c r="J19" s="14">
        <v>21576</v>
      </c>
      <c r="K19" s="15">
        <f>L19</f>
        <v>21576</v>
      </c>
      <c r="L19" s="15">
        <f>2488*4+2906*4</f>
        <v>21576</v>
      </c>
      <c r="M19" s="15">
        <f t="shared" si="0"/>
        <v>21576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0.49999999999999994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116</v>
      </c>
      <c r="D20" s="52" t="s">
        <v>142</v>
      </c>
      <c r="E20" s="53" t="s">
        <v>232</v>
      </c>
      <c r="F20" s="30" t="s">
        <v>176</v>
      </c>
      <c r="G20" s="33">
        <v>1</v>
      </c>
      <c r="H20" s="35">
        <v>24</v>
      </c>
      <c r="I20" s="7">
        <v>37000</v>
      </c>
      <c r="J20" s="14">
        <v>2902</v>
      </c>
      <c r="K20" s="15">
        <f>L20+4347+5077</f>
        <v>12326</v>
      </c>
      <c r="L20" s="15">
        <f>2436+466</f>
        <v>2902</v>
      </c>
      <c r="M20" s="15">
        <f t="shared" si="0"/>
        <v>2902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0.49999999999999994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766</v>
      </c>
      <c r="F21" s="12" t="s">
        <v>114</v>
      </c>
      <c r="G21" s="12">
        <v>4</v>
      </c>
      <c r="H21" s="35">
        <v>20</v>
      </c>
      <c r="I21" s="7">
        <v>2000000</v>
      </c>
      <c r="J21" s="14">
        <v>42564</v>
      </c>
      <c r="K21" s="15">
        <f>L21</f>
        <v>42564</v>
      </c>
      <c r="L21" s="15">
        <f>3809*4+6832*4</f>
        <v>42564</v>
      </c>
      <c r="M21" s="15">
        <f t="shared" si="0"/>
        <v>42564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/>
      <c r="T21" s="16">
        <v>3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8"/>
        <v>0.875</v>
      </c>
      <c r="AE21" s="36">
        <f t="shared" si="6"/>
        <v>0.49999999999999994</v>
      </c>
      <c r="AF21" s="81">
        <f t="shared" si="7"/>
        <v>16</v>
      </c>
    </row>
    <row r="22" spans="1:32" ht="26.25" customHeight="1">
      <c r="A22" s="115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0.49999999999999994</v>
      </c>
      <c r="AF22" s="81">
        <f t="shared" si="7"/>
        <v>17</v>
      </c>
    </row>
    <row r="23" spans="1:32" ht="26.25" customHeight="1">
      <c r="A23" s="115">
        <v>18</v>
      </c>
      <c r="B23" s="11" t="s">
        <v>57</v>
      </c>
      <c r="C23" s="11" t="s">
        <v>116</v>
      </c>
      <c r="D23" s="52" t="s">
        <v>152</v>
      </c>
      <c r="E23" s="53" t="s">
        <v>166</v>
      </c>
      <c r="F23" s="12" t="s">
        <v>153</v>
      </c>
      <c r="G23" s="12">
        <v>4</v>
      </c>
      <c r="H23" s="35">
        <v>15</v>
      </c>
      <c r="I23" s="7">
        <v>20000</v>
      </c>
      <c r="J23" s="14">
        <v>24024</v>
      </c>
      <c r="K23" s="15">
        <f>L23+14040+7084+2888+25304+4864+24024</f>
        <v>78204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0.49999999999999994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139</v>
      </c>
      <c r="F24" s="12" t="s">
        <v>133</v>
      </c>
      <c r="G24" s="12">
        <v>4</v>
      </c>
      <c r="H24" s="35">
        <v>20</v>
      </c>
      <c r="I24" s="7">
        <v>100000</v>
      </c>
      <c r="J24" s="14">
        <v>1872</v>
      </c>
      <c r="K24" s="15">
        <f>L24+1872+6880</f>
        <v>8752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0.49999999999999994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 t="s">
        <v>150</v>
      </c>
      <c r="D25" s="52"/>
      <c r="E25" s="53" t="s">
        <v>149</v>
      </c>
      <c r="F25" s="12" t="s">
        <v>151</v>
      </c>
      <c r="G25" s="12">
        <v>30</v>
      </c>
      <c r="H25" s="35">
        <v>20</v>
      </c>
      <c r="I25" s="7">
        <v>2000000</v>
      </c>
      <c r="J25" s="14">
        <v>189476</v>
      </c>
      <c r="K25" s="15">
        <f>L25+322260+481964+478184+484736+189476</f>
        <v>1956620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0.49999999999999994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115</v>
      </c>
      <c r="E26" s="53" t="s">
        <v>169</v>
      </c>
      <c r="F26" s="12" t="s">
        <v>133</v>
      </c>
      <c r="G26" s="12">
        <v>4</v>
      </c>
      <c r="H26" s="35">
        <v>20</v>
      </c>
      <c r="I26" s="7">
        <f>180000+150000</f>
        <v>330000</v>
      </c>
      <c r="J26" s="14">
        <v>22760</v>
      </c>
      <c r="K26" s="15">
        <f>L26+20480+24108+23840+23940+22144+18434+21892+23604+20052+19824+24080+22760</f>
        <v>265158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0.49999999999999994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157</v>
      </c>
      <c r="E27" s="53" t="s">
        <v>170</v>
      </c>
      <c r="F27" s="12" t="s">
        <v>123</v>
      </c>
      <c r="G27" s="12">
        <v>4</v>
      </c>
      <c r="H27" s="35">
        <v>20</v>
      </c>
      <c r="I27" s="7">
        <f t="shared" ref="I27:I28" si="9">180000+150000</f>
        <v>330000</v>
      </c>
      <c r="J27" s="14">
        <v>23324</v>
      </c>
      <c r="K27" s="15">
        <f>L27+22128+27588+27392+27540+25512+23844+27296+27604+27180+23324</f>
        <v>259408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0.49999999999999994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171</v>
      </c>
      <c r="F28" s="12" t="s">
        <v>123</v>
      </c>
      <c r="G28" s="12">
        <v>4</v>
      </c>
      <c r="H28" s="35">
        <v>20</v>
      </c>
      <c r="I28" s="7">
        <f t="shared" si="9"/>
        <v>330000</v>
      </c>
      <c r="J28" s="14">
        <v>25000</v>
      </c>
      <c r="K28" s="15">
        <f>L28+18992+29436+29448+29672+26652+25912+29256+29552+29404+25000</f>
        <v>273324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0.49999999999999994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140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0.49999999999999994</v>
      </c>
      <c r="AF29" s="81">
        <f t="shared" si="7"/>
        <v>36</v>
      </c>
    </row>
    <row r="30" spans="1:32" ht="19.5" thickBot="1">
      <c r="A30" s="420" t="s">
        <v>34</v>
      </c>
      <c r="B30" s="421"/>
      <c r="C30" s="421"/>
      <c r="D30" s="421"/>
      <c r="E30" s="421"/>
      <c r="F30" s="421"/>
      <c r="G30" s="421"/>
      <c r="H30" s="422"/>
      <c r="I30" s="22">
        <f t="shared" ref="I30:N30" si="10">SUM(I6:I29)</f>
        <v>7003300</v>
      </c>
      <c r="J30" s="19">
        <f t="shared" si="10"/>
        <v>534822</v>
      </c>
      <c r="K30" s="20">
        <f t="shared" si="10"/>
        <v>4011294</v>
      </c>
      <c r="L30" s="21">
        <f t="shared" si="10"/>
        <v>147030</v>
      </c>
      <c r="M30" s="20">
        <f t="shared" si="10"/>
        <v>147030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288</v>
      </c>
      <c r="Q30" s="43">
        <f t="shared" si="11"/>
        <v>288</v>
      </c>
      <c r="R30" s="23">
        <f t="shared" si="11"/>
        <v>0</v>
      </c>
      <c r="S30" s="24">
        <f t="shared" si="11"/>
        <v>61</v>
      </c>
      <c r="T30" s="24">
        <f t="shared" si="11"/>
        <v>3</v>
      </c>
      <c r="U30" s="24">
        <f t="shared" si="11"/>
        <v>0</v>
      </c>
      <c r="V30" s="25">
        <f t="shared" si="11"/>
        <v>48</v>
      </c>
      <c r="W30" s="26">
        <f t="shared" si="11"/>
        <v>144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32</v>
      </c>
      <c r="AB30" s="28">
        <f>AVERAGE(AB6:AB29)</f>
        <v>0.60869565217391308</v>
      </c>
      <c r="AC30" s="4">
        <f>AVERAGE(AC6:AC29)</f>
        <v>0.49999999999999994</v>
      </c>
      <c r="AD30" s="4">
        <f>AVERAGE(AD6:AD29)</f>
        <v>0.49999999999999994</v>
      </c>
      <c r="AE30" s="29"/>
    </row>
    <row r="31" spans="1:32">
      <c r="T31" s="50" t="s">
        <v>125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 ht="7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 ht="7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 t="s">
        <v>126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2" customHeight="1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12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12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2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4" t="s">
        <v>45</v>
      </c>
      <c r="B57" s="484"/>
      <c r="C57" s="484"/>
      <c r="D57" s="484"/>
      <c r="E57" s="484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24" t="s">
        <v>767</v>
      </c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6"/>
      <c r="N58" s="427" t="s">
        <v>778</v>
      </c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9"/>
    </row>
    <row r="59" spans="1:32" ht="27" customHeight="1">
      <c r="A59" s="430" t="s">
        <v>2</v>
      </c>
      <c r="B59" s="431"/>
      <c r="C59" s="365" t="s">
        <v>46</v>
      </c>
      <c r="D59" s="365" t="s">
        <v>47</v>
      </c>
      <c r="E59" s="365" t="s">
        <v>107</v>
      </c>
      <c r="F59" s="432" t="s">
        <v>106</v>
      </c>
      <c r="G59" s="433"/>
      <c r="H59" s="433"/>
      <c r="I59" s="433"/>
      <c r="J59" s="433"/>
      <c r="K59" s="433"/>
      <c r="L59" s="433"/>
      <c r="M59" s="434"/>
      <c r="N59" s="67" t="s">
        <v>110</v>
      </c>
      <c r="O59" s="365" t="s">
        <v>46</v>
      </c>
      <c r="P59" s="432" t="s">
        <v>47</v>
      </c>
      <c r="Q59" s="435"/>
      <c r="R59" s="432" t="s">
        <v>38</v>
      </c>
      <c r="S59" s="433"/>
      <c r="T59" s="433"/>
      <c r="U59" s="435"/>
      <c r="V59" s="432" t="s">
        <v>48</v>
      </c>
      <c r="W59" s="433"/>
      <c r="X59" s="433"/>
      <c r="Y59" s="433"/>
      <c r="Z59" s="433"/>
      <c r="AA59" s="433"/>
      <c r="AB59" s="433"/>
      <c r="AC59" s="433"/>
      <c r="AD59" s="434"/>
    </row>
    <row r="60" spans="1:32" ht="27" customHeight="1">
      <c r="A60" s="446" t="s">
        <v>116</v>
      </c>
      <c r="B60" s="447"/>
      <c r="C60" s="361" t="s">
        <v>138</v>
      </c>
      <c r="D60" s="361" t="s">
        <v>161</v>
      </c>
      <c r="E60" s="362" t="s">
        <v>182</v>
      </c>
      <c r="F60" s="448" t="s">
        <v>248</v>
      </c>
      <c r="G60" s="449"/>
      <c r="H60" s="449"/>
      <c r="I60" s="449"/>
      <c r="J60" s="449"/>
      <c r="K60" s="449"/>
      <c r="L60" s="449"/>
      <c r="M60" s="450"/>
      <c r="N60" s="116" t="s">
        <v>243</v>
      </c>
      <c r="O60" s="375" t="s">
        <v>159</v>
      </c>
      <c r="P60" s="451" t="s">
        <v>115</v>
      </c>
      <c r="Q60" s="452"/>
      <c r="R60" s="451" t="s">
        <v>740</v>
      </c>
      <c r="S60" s="453"/>
      <c r="T60" s="453"/>
      <c r="U60" s="452"/>
      <c r="V60" s="454" t="s">
        <v>137</v>
      </c>
      <c r="W60" s="455"/>
      <c r="X60" s="455"/>
      <c r="Y60" s="455"/>
      <c r="Z60" s="455"/>
      <c r="AA60" s="455"/>
      <c r="AB60" s="455"/>
      <c r="AC60" s="455"/>
      <c r="AD60" s="456"/>
    </row>
    <row r="61" spans="1:32" ht="27" customHeight="1">
      <c r="A61" s="446" t="s">
        <v>124</v>
      </c>
      <c r="B61" s="447"/>
      <c r="C61" s="361" t="s">
        <v>141</v>
      </c>
      <c r="D61" s="361" t="s">
        <v>115</v>
      </c>
      <c r="E61" s="362" t="s">
        <v>330</v>
      </c>
      <c r="F61" s="448" t="s">
        <v>768</v>
      </c>
      <c r="G61" s="449"/>
      <c r="H61" s="449"/>
      <c r="I61" s="449"/>
      <c r="J61" s="449"/>
      <c r="K61" s="449"/>
      <c r="L61" s="449"/>
      <c r="M61" s="450"/>
      <c r="N61" s="116" t="s">
        <v>112</v>
      </c>
      <c r="O61" s="375" t="s">
        <v>449</v>
      </c>
      <c r="P61" s="451" t="s">
        <v>482</v>
      </c>
      <c r="Q61" s="452"/>
      <c r="R61" s="451" t="s">
        <v>741</v>
      </c>
      <c r="S61" s="453"/>
      <c r="T61" s="453"/>
      <c r="U61" s="452"/>
      <c r="V61" s="454" t="s">
        <v>137</v>
      </c>
      <c r="W61" s="455"/>
      <c r="X61" s="455"/>
      <c r="Y61" s="455"/>
      <c r="Z61" s="455"/>
      <c r="AA61" s="455"/>
      <c r="AB61" s="455"/>
      <c r="AC61" s="455"/>
      <c r="AD61" s="456"/>
    </row>
    <row r="62" spans="1:32" ht="27" customHeight="1">
      <c r="A62" s="446" t="s">
        <v>112</v>
      </c>
      <c r="B62" s="447"/>
      <c r="C62" s="361" t="s">
        <v>208</v>
      </c>
      <c r="D62" s="361" t="s">
        <v>135</v>
      </c>
      <c r="E62" s="362" t="s">
        <v>761</v>
      </c>
      <c r="F62" s="448" t="s">
        <v>638</v>
      </c>
      <c r="G62" s="449"/>
      <c r="H62" s="449"/>
      <c r="I62" s="449"/>
      <c r="J62" s="449"/>
      <c r="K62" s="449"/>
      <c r="L62" s="449"/>
      <c r="M62" s="450"/>
      <c r="N62" s="116" t="s">
        <v>770</v>
      </c>
      <c r="O62" s="359" t="s">
        <v>781</v>
      </c>
      <c r="P62" s="451"/>
      <c r="Q62" s="452"/>
      <c r="R62" s="451" t="s">
        <v>779</v>
      </c>
      <c r="S62" s="453"/>
      <c r="T62" s="453"/>
      <c r="U62" s="452"/>
      <c r="V62" s="454" t="s">
        <v>780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243</v>
      </c>
      <c r="B63" s="447"/>
      <c r="C63" s="361" t="s">
        <v>159</v>
      </c>
      <c r="D63" s="361" t="s">
        <v>115</v>
      </c>
      <c r="E63" s="370" t="s">
        <v>740</v>
      </c>
      <c r="F63" s="448" t="s">
        <v>769</v>
      </c>
      <c r="G63" s="449"/>
      <c r="H63" s="449"/>
      <c r="I63" s="449"/>
      <c r="J63" s="449"/>
      <c r="K63" s="449"/>
      <c r="L63" s="449"/>
      <c r="M63" s="450"/>
      <c r="N63" s="116"/>
      <c r="O63" s="359"/>
      <c r="P63" s="451"/>
      <c r="Q63" s="452"/>
      <c r="R63" s="451"/>
      <c r="S63" s="453"/>
      <c r="T63" s="453"/>
      <c r="U63" s="452"/>
      <c r="V63" s="454"/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770</v>
      </c>
      <c r="B64" s="447"/>
      <c r="C64" s="361" t="s">
        <v>771</v>
      </c>
      <c r="D64" s="361"/>
      <c r="E64" s="362" t="s">
        <v>763</v>
      </c>
      <c r="F64" s="448" t="s">
        <v>146</v>
      </c>
      <c r="G64" s="449"/>
      <c r="H64" s="449"/>
      <c r="I64" s="449"/>
      <c r="J64" s="449"/>
      <c r="K64" s="449"/>
      <c r="L64" s="449"/>
      <c r="M64" s="450"/>
      <c r="N64" s="116"/>
      <c r="O64" s="359"/>
      <c r="P64" s="451"/>
      <c r="Q64" s="452"/>
      <c r="R64" s="451"/>
      <c r="S64" s="453"/>
      <c r="T64" s="453"/>
      <c r="U64" s="452"/>
      <c r="V64" s="454"/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770</v>
      </c>
      <c r="B65" s="447"/>
      <c r="C65" s="361" t="s">
        <v>772</v>
      </c>
      <c r="D65" s="361"/>
      <c r="E65" s="362" t="s">
        <v>764</v>
      </c>
      <c r="F65" s="448" t="s">
        <v>146</v>
      </c>
      <c r="G65" s="449"/>
      <c r="H65" s="449"/>
      <c r="I65" s="449"/>
      <c r="J65" s="449"/>
      <c r="K65" s="449"/>
      <c r="L65" s="449"/>
      <c r="M65" s="450"/>
      <c r="N65" s="116"/>
      <c r="O65" s="359"/>
      <c r="P65" s="451"/>
      <c r="Q65" s="452"/>
      <c r="R65" s="451"/>
      <c r="S65" s="453"/>
      <c r="T65" s="453"/>
      <c r="U65" s="452"/>
      <c r="V65" s="454"/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112</v>
      </c>
      <c r="B66" s="447"/>
      <c r="C66" s="361" t="s">
        <v>773</v>
      </c>
      <c r="D66" s="361" t="s">
        <v>774</v>
      </c>
      <c r="E66" s="362" t="s">
        <v>765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/>
      <c r="O66" s="359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775</v>
      </c>
      <c r="B67" s="447"/>
      <c r="C67" s="361" t="s">
        <v>776</v>
      </c>
      <c r="D67" s="361"/>
      <c r="E67" s="362" t="s">
        <v>777</v>
      </c>
      <c r="F67" s="448" t="s">
        <v>146</v>
      </c>
      <c r="G67" s="449"/>
      <c r="H67" s="449"/>
      <c r="I67" s="449"/>
      <c r="J67" s="449"/>
      <c r="K67" s="449"/>
      <c r="L67" s="449"/>
      <c r="M67" s="450"/>
      <c r="N67" s="116"/>
      <c r="O67" s="359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361"/>
      <c r="D68" s="361"/>
      <c r="E68" s="362"/>
      <c r="F68" s="448"/>
      <c r="G68" s="449"/>
      <c r="H68" s="449"/>
      <c r="I68" s="449"/>
      <c r="J68" s="449"/>
      <c r="K68" s="449"/>
      <c r="L68" s="449"/>
      <c r="M68" s="450"/>
      <c r="N68" s="116"/>
      <c r="O68" s="359"/>
      <c r="P68" s="457"/>
      <c r="Q68" s="457"/>
      <c r="R68" s="457"/>
      <c r="S68" s="457"/>
      <c r="T68" s="457"/>
      <c r="U68" s="457"/>
      <c r="V68" s="454"/>
      <c r="W68" s="455"/>
      <c r="X68" s="455"/>
      <c r="Y68" s="455"/>
      <c r="Z68" s="455"/>
      <c r="AA68" s="455"/>
      <c r="AB68" s="455"/>
      <c r="AC68" s="455"/>
      <c r="AD68" s="456"/>
      <c r="AF68" s="81">
        <f>8*3000</f>
        <v>24000</v>
      </c>
    </row>
    <row r="69" spans="1:32" ht="27" customHeight="1" thickBot="1">
      <c r="A69" s="458"/>
      <c r="B69" s="459"/>
      <c r="C69" s="363"/>
      <c r="D69" s="364"/>
      <c r="E69" s="363"/>
      <c r="F69" s="460"/>
      <c r="G69" s="461"/>
      <c r="H69" s="461"/>
      <c r="I69" s="461"/>
      <c r="J69" s="461"/>
      <c r="K69" s="461"/>
      <c r="L69" s="461"/>
      <c r="M69" s="462"/>
      <c r="N69" s="105"/>
      <c r="O69" s="97"/>
      <c r="P69" s="463"/>
      <c r="Q69" s="463"/>
      <c r="R69" s="463"/>
      <c r="S69" s="463"/>
      <c r="T69" s="463"/>
      <c r="U69" s="463"/>
      <c r="V69" s="464"/>
      <c r="W69" s="464"/>
      <c r="X69" s="464"/>
      <c r="Y69" s="464"/>
      <c r="Z69" s="464"/>
      <c r="AA69" s="464"/>
      <c r="AB69" s="464"/>
      <c r="AC69" s="464"/>
      <c r="AD69" s="465"/>
      <c r="AF69" s="81">
        <f>16*3000</f>
        <v>48000</v>
      </c>
    </row>
    <row r="70" spans="1:32" ht="27.75" thickBot="1">
      <c r="A70" s="466" t="s">
        <v>782</v>
      </c>
      <c r="B70" s="466"/>
      <c r="C70" s="466"/>
      <c r="D70" s="466"/>
      <c r="E70" s="466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67" t="s">
        <v>111</v>
      </c>
      <c r="B71" s="468"/>
      <c r="C71" s="360" t="s">
        <v>2</v>
      </c>
      <c r="D71" s="360" t="s">
        <v>37</v>
      </c>
      <c r="E71" s="360" t="s">
        <v>3</v>
      </c>
      <c r="F71" s="468" t="s">
        <v>109</v>
      </c>
      <c r="G71" s="468"/>
      <c r="H71" s="468"/>
      <c r="I71" s="468"/>
      <c r="J71" s="468"/>
      <c r="K71" s="468" t="s">
        <v>39</v>
      </c>
      <c r="L71" s="468"/>
      <c r="M71" s="360" t="s">
        <v>40</v>
      </c>
      <c r="N71" s="468" t="s">
        <v>41</v>
      </c>
      <c r="O71" s="468"/>
      <c r="P71" s="469" t="s">
        <v>42</v>
      </c>
      <c r="Q71" s="470"/>
      <c r="R71" s="469" t="s">
        <v>43</v>
      </c>
      <c r="S71" s="471"/>
      <c r="T71" s="471"/>
      <c r="U71" s="471"/>
      <c r="V71" s="471"/>
      <c r="W71" s="471"/>
      <c r="X71" s="471"/>
      <c r="Y71" s="471"/>
      <c r="Z71" s="471"/>
      <c r="AA71" s="470"/>
      <c r="AB71" s="468" t="s">
        <v>44</v>
      </c>
      <c r="AC71" s="468"/>
      <c r="AD71" s="472"/>
      <c r="AF71" s="81">
        <f>SUM(AF68:AF70)</f>
        <v>96000</v>
      </c>
    </row>
    <row r="72" spans="1:32" ht="25.5" customHeight="1">
      <c r="A72" s="473">
        <v>1</v>
      </c>
      <c r="B72" s="474"/>
      <c r="C72" s="98"/>
      <c r="D72" s="355"/>
      <c r="E72" s="358"/>
      <c r="F72" s="475"/>
      <c r="G72" s="476"/>
      <c r="H72" s="476"/>
      <c r="I72" s="476"/>
      <c r="J72" s="476"/>
      <c r="K72" s="476"/>
      <c r="L72" s="476"/>
      <c r="M72" s="51"/>
      <c r="N72" s="477"/>
      <c r="O72" s="477"/>
      <c r="P72" s="478"/>
      <c r="Q72" s="478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6"/>
      <c r="AC72" s="476"/>
      <c r="AD72" s="480"/>
      <c r="AF72" s="50"/>
    </row>
    <row r="73" spans="1:32" ht="25.5" customHeight="1">
      <c r="A73" s="473">
        <v>2</v>
      </c>
      <c r="B73" s="474"/>
      <c r="C73" s="98"/>
      <c r="D73" s="355"/>
      <c r="E73" s="358"/>
      <c r="F73" s="481"/>
      <c r="G73" s="482"/>
      <c r="H73" s="482"/>
      <c r="I73" s="482"/>
      <c r="J73" s="483"/>
      <c r="K73" s="476"/>
      <c r="L73" s="476"/>
      <c r="M73" s="51"/>
      <c r="N73" s="477"/>
      <c r="O73" s="477"/>
      <c r="P73" s="478"/>
      <c r="Q73" s="478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6"/>
      <c r="AC73" s="476"/>
      <c r="AD73" s="480"/>
      <c r="AF73" s="50"/>
    </row>
    <row r="74" spans="1:32" ht="25.5" customHeight="1">
      <c r="A74" s="473">
        <v>3</v>
      </c>
      <c r="B74" s="474"/>
      <c r="C74" s="98"/>
      <c r="D74" s="355"/>
      <c r="E74" s="358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4</v>
      </c>
      <c r="B75" s="474"/>
      <c r="C75" s="98"/>
      <c r="D75" s="355"/>
      <c r="E75" s="358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5</v>
      </c>
      <c r="B76" s="474"/>
      <c r="C76" s="98"/>
      <c r="D76" s="355"/>
      <c r="E76" s="358"/>
      <c r="F76" s="481"/>
      <c r="G76" s="482"/>
      <c r="H76" s="482"/>
      <c r="I76" s="482"/>
      <c r="J76" s="483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6</v>
      </c>
      <c r="B77" s="474"/>
      <c r="C77" s="98"/>
      <c r="D77" s="355"/>
      <c r="E77" s="358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7</v>
      </c>
      <c r="B78" s="474"/>
      <c r="C78" s="98"/>
      <c r="D78" s="355"/>
      <c r="E78" s="358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8</v>
      </c>
      <c r="B79" s="474"/>
      <c r="C79" s="98"/>
      <c r="D79" s="355"/>
      <c r="E79" s="358"/>
      <c r="F79" s="475"/>
      <c r="G79" s="476"/>
      <c r="H79" s="476"/>
      <c r="I79" s="476"/>
      <c r="J79" s="476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9</v>
      </c>
      <c r="B80" s="474"/>
      <c r="C80" s="98"/>
      <c r="D80" s="355"/>
      <c r="E80" s="358"/>
      <c r="F80" s="475"/>
      <c r="G80" s="476"/>
      <c r="H80" s="476"/>
      <c r="I80" s="476"/>
      <c r="J80" s="476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10</v>
      </c>
      <c r="B81" s="474"/>
      <c r="C81" s="98"/>
      <c r="D81" s="355"/>
      <c r="E81" s="358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6.25" customHeight="1" thickBot="1">
      <c r="A82" s="484" t="s">
        <v>783</v>
      </c>
      <c r="B82" s="484"/>
      <c r="C82" s="484"/>
      <c r="D82" s="484"/>
      <c r="E82" s="484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85" t="s">
        <v>111</v>
      </c>
      <c r="B83" s="486"/>
      <c r="C83" s="357" t="s">
        <v>2</v>
      </c>
      <c r="D83" s="357" t="s">
        <v>37</v>
      </c>
      <c r="E83" s="357" t="s">
        <v>120</v>
      </c>
      <c r="F83" s="487" t="s">
        <v>38</v>
      </c>
      <c r="G83" s="487"/>
      <c r="H83" s="487"/>
      <c r="I83" s="487"/>
      <c r="J83" s="487"/>
      <c r="K83" s="488" t="s">
        <v>58</v>
      </c>
      <c r="L83" s="489"/>
      <c r="M83" s="489"/>
      <c r="N83" s="489"/>
      <c r="O83" s="489"/>
      <c r="P83" s="489"/>
      <c r="Q83" s="489"/>
      <c r="R83" s="489"/>
      <c r="S83" s="490"/>
      <c r="T83" s="487" t="s">
        <v>49</v>
      </c>
      <c r="U83" s="487"/>
      <c r="V83" s="488" t="s">
        <v>50</v>
      </c>
      <c r="W83" s="490"/>
      <c r="X83" s="489" t="s">
        <v>51</v>
      </c>
      <c r="Y83" s="489"/>
      <c r="Z83" s="489"/>
      <c r="AA83" s="489"/>
      <c r="AB83" s="489"/>
      <c r="AC83" s="489"/>
      <c r="AD83" s="491"/>
      <c r="AF83" s="50"/>
    </row>
    <row r="84" spans="1:32" ht="33.75" customHeight="1">
      <c r="A84" s="500">
        <v>1</v>
      </c>
      <c r="B84" s="501"/>
      <c r="C84" s="356"/>
      <c r="D84" s="356"/>
      <c r="E84" s="65"/>
      <c r="F84" s="502"/>
      <c r="G84" s="503"/>
      <c r="H84" s="503"/>
      <c r="I84" s="503"/>
      <c r="J84" s="504"/>
      <c r="K84" s="505"/>
      <c r="L84" s="506"/>
      <c r="M84" s="506"/>
      <c r="N84" s="506"/>
      <c r="O84" s="506"/>
      <c r="P84" s="506"/>
      <c r="Q84" s="506"/>
      <c r="R84" s="506"/>
      <c r="S84" s="507"/>
      <c r="T84" s="508"/>
      <c r="U84" s="509"/>
      <c r="V84" s="510"/>
      <c r="W84" s="510"/>
      <c r="X84" s="511"/>
      <c r="Y84" s="511"/>
      <c r="Z84" s="511"/>
      <c r="AA84" s="511"/>
      <c r="AB84" s="511"/>
      <c r="AC84" s="511"/>
      <c r="AD84" s="512"/>
      <c r="AF84" s="50"/>
    </row>
    <row r="85" spans="1:32" ht="30" customHeight="1">
      <c r="A85" s="492">
        <f>A84+1</f>
        <v>2</v>
      </c>
      <c r="B85" s="493"/>
      <c r="C85" s="355"/>
      <c r="D85" s="355"/>
      <c r="E85" s="32"/>
      <c r="F85" s="493"/>
      <c r="G85" s="493"/>
      <c r="H85" s="493"/>
      <c r="I85" s="493"/>
      <c r="J85" s="493"/>
      <c r="K85" s="494"/>
      <c r="L85" s="495"/>
      <c r="M85" s="495"/>
      <c r="N85" s="495"/>
      <c r="O85" s="495"/>
      <c r="P85" s="495"/>
      <c r="Q85" s="495"/>
      <c r="R85" s="495"/>
      <c r="S85" s="496"/>
      <c r="T85" s="497"/>
      <c r="U85" s="497"/>
      <c r="V85" s="497"/>
      <c r="W85" s="497"/>
      <c r="X85" s="498"/>
      <c r="Y85" s="498"/>
      <c r="Z85" s="498"/>
      <c r="AA85" s="498"/>
      <c r="AB85" s="498"/>
      <c r="AC85" s="498"/>
      <c r="AD85" s="499"/>
      <c r="AF85" s="50"/>
    </row>
    <row r="86" spans="1:32" ht="30" customHeight="1">
      <c r="A86" s="492">
        <f t="shared" ref="A86:A90" si="12">A85+1</f>
        <v>3</v>
      </c>
      <c r="B86" s="493"/>
      <c r="C86" s="355"/>
      <c r="D86" s="355"/>
      <c r="E86" s="32"/>
      <c r="F86" s="493"/>
      <c r="G86" s="493"/>
      <c r="H86" s="493"/>
      <c r="I86" s="493"/>
      <c r="J86" s="493"/>
      <c r="K86" s="494"/>
      <c r="L86" s="495"/>
      <c r="M86" s="495"/>
      <c r="N86" s="495"/>
      <c r="O86" s="495"/>
      <c r="P86" s="495"/>
      <c r="Q86" s="495"/>
      <c r="R86" s="495"/>
      <c r="S86" s="496"/>
      <c r="T86" s="497"/>
      <c r="U86" s="497"/>
      <c r="V86" s="497"/>
      <c r="W86" s="497"/>
      <c r="X86" s="498"/>
      <c r="Y86" s="498"/>
      <c r="Z86" s="498"/>
      <c r="AA86" s="498"/>
      <c r="AB86" s="498"/>
      <c r="AC86" s="498"/>
      <c r="AD86" s="499"/>
      <c r="AF86" s="50"/>
    </row>
    <row r="87" spans="1:32" ht="30" customHeight="1">
      <c r="A87" s="492">
        <f t="shared" si="12"/>
        <v>4</v>
      </c>
      <c r="B87" s="493"/>
      <c r="C87" s="355"/>
      <c r="D87" s="355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si="12"/>
        <v>5</v>
      </c>
      <c r="B88" s="493"/>
      <c r="C88" s="355"/>
      <c r="D88" s="355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2"/>
        <v>6</v>
      </c>
      <c r="B89" s="493"/>
      <c r="C89" s="355"/>
      <c r="D89" s="355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2"/>
        <v>7</v>
      </c>
      <c r="B90" s="493"/>
      <c r="C90" s="355"/>
      <c r="D90" s="355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6" thickBot="1">
      <c r="A91" s="484" t="s">
        <v>784</v>
      </c>
      <c r="B91" s="484"/>
      <c r="C91" s="484"/>
      <c r="D91" s="484"/>
      <c r="E91" s="484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13" t="s">
        <v>111</v>
      </c>
      <c r="B92" s="487"/>
      <c r="C92" s="514" t="s">
        <v>52</v>
      </c>
      <c r="D92" s="514"/>
      <c r="E92" s="514" t="s">
        <v>53</v>
      </c>
      <c r="F92" s="514"/>
      <c r="G92" s="514"/>
      <c r="H92" s="514"/>
      <c r="I92" s="514"/>
      <c r="J92" s="514"/>
      <c r="K92" s="514" t="s">
        <v>54</v>
      </c>
      <c r="L92" s="514"/>
      <c r="M92" s="514"/>
      <c r="N92" s="514"/>
      <c r="O92" s="514"/>
      <c r="P92" s="514"/>
      <c r="Q92" s="514"/>
      <c r="R92" s="514"/>
      <c r="S92" s="514"/>
      <c r="T92" s="514" t="s">
        <v>55</v>
      </c>
      <c r="U92" s="514"/>
      <c r="V92" s="514" t="s">
        <v>56</v>
      </c>
      <c r="W92" s="514"/>
      <c r="X92" s="514"/>
      <c r="Y92" s="514" t="s">
        <v>51</v>
      </c>
      <c r="Z92" s="514"/>
      <c r="AA92" s="514"/>
      <c r="AB92" s="514"/>
      <c r="AC92" s="514"/>
      <c r="AD92" s="515"/>
      <c r="AF92" s="50"/>
    </row>
    <row r="93" spans="1:32" ht="30.75" customHeight="1">
      <c r="A93" s="500">
        <v>1</v>
      </c>
      <c r="B93" s="50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7"/>
      <c r="W93" s="517"/>
      <c r="X93" s="517"/>
      <c r="Y93" s="518"/>
      <c r="Z93" s="518"/>
      <c r="AA93" s="518"/>
      <c r="AB93" s="518"/>
      <c r="AC93" s="518"/>
      <c r="AD93" s="519"/>
      <c r="AF93" s="50"/>
    </row>
    <row r="94" spans="1:32" ht="30.75" customHeight="1">
      <c r="A94" s="492">
        <v>2</v>
      </c>
      <c r="B94" s="493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9"/>
      <c r="U94" s="529"/>
      <c r="V94" s="530"/>
      <c r="W94" s="530"/>
      <c r="X94" s="530"/>
      <c r="Y94" s="520"/>
      <c r="Z94" s="520"/>
      <c r="AA94" s="520"/>
      <c r="AB94" s="520"/>
      <c r="AC94" s="520"/>
      <c r="AD94" s="521"/>
      <c r="AF94" s="50"/>
    </row>
    <row r="95" spans="1:32" ht="30.75" customHeight="1" thickBot="1">
      <c r="A95" s="522">
        <v>3</v>
      </c>
      <c r="B95" s="523"/>
      <c r="C95" s="524"/>
      <c r="D95" s="524"/>
      <c r="E95" s="524"/>
      <c r="F95" s="524"/>
      <c r="G95" s="524"/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4"/>
      <c r="S95" s="524"/>
      <c r="T95" s="524"/>
      <c r="U95" s="524"/>
      <c r="V95" s="525"/>
      <c r="W95" s="525"/>
      <c r="X95" s="525"/>
      <c r="Y95" s="526"/>
      <c r="Z95" s="526"/>
      <c r="AA95" s="526"/>
      <c r="AB95" s="526"/>
      <c r="AC95" s="526"/>
      <c r="AD95" s="52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5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79D8-BC69-49AE-BF81-92F01AD7EC94}">
  <sheetPr>
    <pageSetUpPr fitToPage="1"/>
  </sheetPr>
  <dimension ref="A1:AF97"/>
  <sheetViews>
    <sheetView view="pageBreakPreview" zoomScale="70" zoomScaleNormal="72" zoomScaleSheetLayoutView="70" workbookViewId="0">
      <selection activeCell="F68" sqref="F68:M6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785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67" t="s">
        <v>17</v>
      </c>
      <c r="L5" s="367" t="s">
        <v>18</v>
      </c>
      <c r="M5" s="367" t="s">
        <v>19</v>
      </c>
      <c r="N5" s="36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112</v>
      </c>
      <c r="D6" s="52" t="s">
        <v>135</v>
      </c>
      <c r="E6" s="53" t="s">
        <v>761</v>
      </c>
      <c r="F6" s="30" t="s">
        <v>762</v>
      </c>
      <c r="G6" s="12">
        <v>4</v>
      </c>
      <c r="H6" s="13">
        <v>24</v>
      </c>
      <c r="I6" s="31">
        <v>59000</v>
      </c>
      <c r="J6" s="14">
        <v>23948</v>
      </c>
      <c r="K6" s="15">
        <f>L6+13484</f>
        <v>37432</v>
      </c>
      <c r="L6" s="15">
        <f>2931*4+3056*4</f>
        <v>23948</v>
      </c>
      <c r="M6" s="15">
        <f t="shared" ref="M6:M31" si="0">L6-N6</f>
        <v>23948</v>
      </c>
      <c r="N6" s="15">
        <v>0</v>
      </c>
      <c r="O6" s="58">
        <f t="shared" ref="O6:O32" si="1">IF(L6=0,"0",N6/L6)</f>
        <v>0</v>
      </c>
      <c r="P6" s="39">
        <f t="shared" ref="P6:P31" si="2">IF(L6=0,"0",(24-Q6))</f>
        <v>24</v>
      </c>
      <c r="Q6" s="40">
        <f t="shared" ref="Q6:Q3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31" si="4">IF(J6=0,"0",(L6/J6))</f>
        <v>1</v>
      </c>
      <c r="AC6" s="9">
        <f t="shared" ref="AC6:AC31" si="5">IF(P6=0,"0",(P6/24))</f>
        <v>1</v>
      </c>
      <c r="AD6" s="10">
        <f>AC6*AB6*(1-O6)</f>
        <v>1</v>
      </c>
      <c r="AE6" s="36">
        <f t="shared" ref="AE6:AE31" si="6">$AD$32</f>
        <v>0.48878205128205121</v>
      </c>
      <c r="AF6" s="81">
        <f t="shared" ref="AF6:AF31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6509</v>
      </c>
      <c r="K7" s="15">
        <f>L7+4743+6488+6404+6009+6055</f>
        <v>36208</v>
      </c>
      <c r="L7" s="15">
        <f>3313+3196</f>
        <v>6509</v>
      </c>
      <c r="M7" s="15">
        <f t="shared" si="0"/>
        <v>6509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31" si="8">AC7*AB7*(1-O7)</f>
        <v>1</v>
      </c>
      <c r="AE7" s="36">
        <f t="shared" si="6"/>
        <v>0.48878205128205121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124</v>
      </c>
      <c r="D8" s="52" t="s">
        <v>115</v>
      </c>
      <c r="E8" s="53" t="s">
        <v>330</v>
      </c>
      <c r="F8" s="30" t="s">
        <v>198</v>
      </c>
      <c r="G8" s="12">
        <v>1</v>
      </c>
      <c r="H8" s="13">
        <v>24</v>
      </c>
      <c r="I8" s="7">
        <v>120000</v>
      </c>
      <c r="J8" s="14">
        <v>3500</v>
      </c>
      <c r="K8" s="15">
        <f>L8+8168+10878+10884+10350+9202+10794+10918+10934+10410+5576+3863+3847+3135+5932+3009</f>
        <v>121400</v>
      </c>
      <c r="L8" s="15">
        <f>816+2684</f>
        <v>3500</v>
      </c>
      <c r="M8" s="15">
        <f t="shared" si="0"/>
        <v>3500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>
        <v>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0.625</v>
      </c>
      <c r="AD8" s="10">
        <f t="shared" si="8"/>
        <v>0.625</v>
      </c>
      <c r="AE8" s="36">
        <f t="shared" si="6"/>
        <v>0.48878205128205121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161</v>
      </c>
      <c r="E9" s="53" t="s">
        <v>182</v>
      </c>
      <c r="F9" s="30" t="s">
        <v>133</v>
      </c>
      <c r="G9" s="12">
        <v>1</v>
      </c>
      <c r="H9" s="13">
        <v>24</v>
      </c>
      <c r="I9" s="7">
        <v>20000</v>
      </c>
      <c r="J9" s="14">
        <v>4449</v>
      </c>
      <c r="K9" s="15">
        <f>L9+5204+5759</f>
        <v>15412</v>
      </c>
      <c r="L9" s="15">
        <f>3054+1395</f>
        <v>4449</v>
      </c>
      <c r="M9" s="15">
        <f t="shared" si="0"/>
        <v>4449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0.48878205128205121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174</v>
      </c>
      <c r="F10" s="30" t="s">
        <v>175</v>
      </c>
      <c r="G10" s="33">
        <v>2</v>
      </c>
      <c r="H10" s="35">
        <v>24</v>
      </c>
      <c r="I10" s="7">
        <v>230000</v>
      </c>
      <c r="J10" s="14">
        <v>13106</v>
      </c>
      <c r="K10" s="15">
        <f>L10+12038+12846+12974+12804+12060+12144</f>
        <v>87972</v>
      </c>
      <c r="L10" s="15">
        <f>3337*2+3216*2</f>
        <v>13106</v>
      </c>
      <c r="M10" s="15">
        <f t="shared" si="0"/>
        <v>13106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0.48878205128205121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135</v>
      </c>
      <c r="E11" s="53" t="s">
        <v>728</v>
      </c>
      <c r="F11" s="30" t="s">
        <v>729</v>
      </c>
      <c r="G11" s="33">
        <v>2</v>
      </c>
      <c r="H11" s="35">
        <v>24</v>
      </c>
      <c r="I11" s="7">
        <v>9000</v>
      </c>
      <c r="J11" s="14">
        <v>1184</v>
      </c>
      <c r="K11" s="15">
        <f>L11+6900+10302</f>
        <v>18386</v>
      </c>
      <c r="L11" s="15">
        <f>592*2</f>
        <v>1184</v>
      </c>
      <c r="M11" s="15">
        <f t="shared" si="0"/>
        <v>1184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8"/>
        <v>0.125</v>
      </c>
      <c r="AE11" s="36">
        <f t="shared" si="6"/>
        <v>0.48878205128205121</v>
      </c>
      <c r="AF11" s="81">
        <f t="shared" si="7"/>
        <v>6</v>
      </c>
    </row>
    <row r="12" spans="1:32" ht="27" customHeight="1">
      <c r="A12" s="92">
        <v>6</v>
      </c>
      <c r="B12" s="11" t="s">
        <v>57</v>
      </c>
      <c r="C12" s="11" t="s">
        <v>116</v>
      </c>
      <c r="D12" s="52" t="s">
        <v>135</v>
      </c>
      <c r="E12" s="53" t="s">
        <v>786</v>
      </c>
      <c r="F12" s="30" t="s">
        <v>176</v>
      </c>
      <c r="G12" s="33" t="s">
        <v>787</v>
      </c>
      <c r="H12" s="35">
        <v>24</v>
      </c>
      <c r="I12" s="7">
        <v>12000</v>
      </c>
      <c r="J12" s="14">
        <v>4643</v>
      </c>
      <c r="K12" s="15">
        <f>L12</f>
        <v>4643</v>
      </c>
      <c r="L12" s="15">
        <f>2870+1773</f>
        <v>4643</v>
      </c>
      <c r="M12" s="15">
        <f t="shared" ref="M12" si="9">L12-N12</f>
        <v>4643</v>
      </c>
      <c r="N12" s="15">
        <v>0</v>
      </c>
      <c r="O12" s="58">
        <f t="shared" ref="O12" si="10">IF(L12=0,"0",N12/L12)</f>
        <v>0</v>
      </c>
      <c r="P12" s="39">
        <f t="shared" ref="P12" si="11">IF(L12=0,"0",(24-Q12))</f>
        <v>19</v>
      </c>
      <c r="Q12" s="40">
        <f t="shared" ref="Q12" si="12">SUM(R12:AA12)</f>
        <v>5</v>
      </c>
      <c r="R12" s="7"/>
      <c r="S12" s="6"/>
      <c r="T12" s="16">
        <v>5</v>
      </c>
      <c r="U12" s="16"/>
      <c r="V12" s="17"/>
      <c r="W12" s="5"/>
      <c r="X12" s="16"/>
      <c r="Y12" s="16"/>
      <c r="Z12" s="16"/>
      <c r="AA12" s="18"/>
      <c r="AB12" s="8">
        <f t="shared" ref="AB12" si="13">IF(J12=0,"0",(L12/J12))</f>
        <v>1</v>
      </c>
      <c r="AC12" s="9">
        <f t="shared" ref="AC12" si="14">IF(P12=0,"0",(P12/24))</f>
        <v>0.79166666666666663</v>
      </c>
      <c r="AD12" s="10">
        <f t="shared" ref="AD12" si="15">AC12*AB12*(1-O12)</f>
        <v>0.79166666666666663</v>
      </c>
      <c r="AE12" s="36">
        <f t="shared" si="6"/>
        <v>0.48878205128205121</v>
      </c>
      <c r="AF12" s="81">
        <f t="shared" ref="AF12" si="16">A12</f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173</v>
      </c>
      <c r="F13" s="30" t="s">
        <v>147</v>
      </c>
      <c r="G13" s="12">
        <v>2</v>
      </c>
      <c r="H13" s="13">
        <v>22</v>
      </c>
      <c r="I13" s="31">
        <v>230000</v>
      </c>
      <c r="J13" s="5">
        <v>9816</v>
      </c>
      <c r="K13" s="15">
        <f>L13+9010+9624+9178+9374+9224+9780+9636+9016+9380</f>
        <v>94038</v>
      </c>
      <c r="L13" s="15">
        <f>2499*2+2409*2</f>
        <v>9816</v>
      </c>
      <c r="M13" s="15">
        <f t="shared" si="0"/>
        <v>9816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0.48878205128205121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34" t="s">
        <v>112</v>
      </c>
      <c r="D14" s="52" t="s">
        <v>115</v>
      </c>
      <c r="E14" s="53" t="s">
        <v>593</v>
      </c>
      <c r="F14" s="30" t="s">
        <v>360</v>
      </c>
      <c r="G14" s="12">
        <v>2</v>
      </c>
      <c r="H14" s="13">
        <v>22</v>
      </c>
      <c r="I14" s="31">
        <v>61000</v>
      </c>
      <c r="J14" s="5">
        <v>11678</v>
      </c>
      <c r="K14" s="15">
        <f>L14+4420+2978+11134+10824+11094</f>
        <v>52128</v>
      </c>
      <c r="L14" s="15">
        <f>2986*2+2853*2</f>
        <v>11678</v>
      </c>
      <c r="M14" s="15">
        <f t="shared" si="0"/>
        <v>11678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0.48878205128205121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243</v>
      </c>
      <c r="D15" s="52" t="s">
        <v>115</v>
      </c>
      <c r="E15" s="53" t="s">
        <v>740</v>
      </c>
      <c r="F15" s="30" t="s">
        <v>143</v>
      </c>
      <c r="G15" s="33">
        <v>1</v>
      </c>
      <c r="H15" s="35">
        <v>50</v>
      </c>
      <c r="I15" s="7">
        <v>1500</v>
      </c>
      <c r="J15" s="5">
        <v>146</v>
      </c>
      <c r="K15" s="15">
        <f>L15+329</f>
        <v>475</v>
      </c>
      <c r="L15" s="15">
        <v>146</v>
      </c>
      <c r="M15" s="15">
        <f t="shared" si="0"/>
        <v>146</v>
      </c>
      <c r="N15" s="15">
        <v>0</v>
      </c>
      <c r="O15" s="58">
        <f t="shared" si="1"/>
        <v>0</v>
      </c>
      <c r="P15" s="39">
        <f t="shared" si="2"/>
        <v>5</v>
      </c>
      <c r="Q15" s="40">
        <f t="shared" si="3"/>
        <v>19</v>
      </c>
      <c r="R15" s="7"/>
      <c r="S15" s="6">
        <v>19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0.20833333333333334</v>
      </c>
      <c r="AD15" s="10">
        <f t="shared" si="8"/>
        <v>0.20833333333333334</v>
      </c>
      <c r="AE15" s="36">
        <f t="shared" si="6"/>
        <v>0.48878205128205121</v>
      </c>
      <c r="AF15" s="81">
        <f t="shared" si="7"/>
        <v>9</v>
      </c>
    </row>
    <row r="16" spans="1:32" ht="27" customHeight="1">
      <c r="A16" s="106">
        <v>10</v>
      </c>
      <c r="B16" s="11" t="s">
        <v>57</v>
      </c>
      <c r="C16" s="34" t="s">
        <v>112</v>
      </c>
      <c r="D16" s="52" t="s">
        <v>482</v>
      </c>
      <c r="E16" s="53" t="s">
        <v>741</v>
      </c>
      <c r="F16" s="30" t="s">
        <v>136</v>
      </c>
      <c r="G16" s="12">
        <v>1</v>
      </c>
      <c r="H16" s="13">
        <v>24</v>
      </c>
      <c r="I16" s="31">
        <v>7000</v>
      </c>
      <c r="J16" s="14">
        <v>16944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0.48878205128205121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164</v>
      </c>
      <c r="D17" s="52"/>
      <c r="E17" s="53" t="s">
        <v>763</v>
      </c>
      <c r="F17" s="30" t="s">
        <v>690</v>
      </c>
      <c r="G17" s="12">
        <v>1</v>
      </c>
      <c r="H17" s="13">
        <v>22</v>
      </c>
      <c r="I17" s="31">
        <v>6000</v>
      </c>
      <c r="J17" s="5">
        <v>2632</v>
      </c>
      <c r="K17" s="15">
        <f>L17+5416</f>
        <v>8048</v>
      </c>
      <c r="L17" s="15">
        <f>2632</f>
        <v>2632</v>
      </c>
      <c r="M17" s="15">
        <f t="shared" si="0"/>
        <v>2632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8"/>
        <v>0.41666666666666669</v>
      </c>
      <c r="AE17" s="36">
        <f t="shared" si="6"/>
        <v>0.48878205128205121</v>
      </c>
      <c r="AF17" s="81">
        <f t="shared" si="7"/>
        <v>11</v>
      </c>
    </row>
    <row r="18" spans="1:32" ht="27" customHeight="1">
      <c r="A18" s="92">
        <v>11</v>
      </c>
      <c r="B18" s="11" t="s">
        <v>57</v>
      </c>
      <c r="C18" s="34" t="s">
        <v>116</v>
      </c>
      <c r="D18" s="52" t="s">
        <v>135</v>
      </c>
      <c r="E18" s="53" t="s">
        <v>266</v>
      </c>
      <c r="F18" s="30" t="s">
        <v>143</v>
      </c>
      <c r="G18" s="12">
        <v>1</v>
      </c>
      <c r="H18" s="13">
        <v>22</v>
      </c>
      <c r="I18" s="31">
        <v>2500</v>
      </c>
      <c r="J18" s="5">
        <v>3745</v>
      </c>
      <c r="K18" s="15">
        <f>L18</f>
        <v>3745</v>
      </c>
      <c r="L18" s="15">
        <f>3526+219</f>
        <v>3745</v>
      </c>
      <c r="M18" s="15">
        <f t="shared" ref="M18" si="17">L18-N18</f>
        <v>3745</v>
      </c>
      <c r="N18" s="15">
        <v>0</v>
      </c>
      <c r="O18" s="58">
        <f t="shared" ref="O18" si="18">IF(L18=0,"0",N18/L18)</f>
        <v>0</v>
      </c>
      <c r="P18" s="39">
        <f t="shared" ref="P18" si="19">IF(L18=0,"0",(24-Q18))</f>
        <v>13</v>
      </c>
      <c r="Q18" s="40">
        <f t="shared" ref="Q18" si="20">SUM(R18:AA18)</f>
        <v>11</v>
      </c>
      <c r="R18" s="7"/>
      <c r="S18" s="6"/>
      <c r="T18" s="16">
        <v>11</v>
      </c>
      <c r="U18" s="16"/>
      <c r="V18" s="17"/>
      <c r="W18" s="5"/>
      <c r="X18" s="16"/>
      <c r="Y18" s="16"/>
      <c r="Z18" s="16"/>
      <c r="AA18" s="18"/>
      <c r="AB18" s="8">
        <f t="shared" ref="AB18" si="21">IF(J18=0,"0",(L18/J18))</f>
        <v>1</v>
      </c>
      <c r="AC18" s="9">
        <f t="shared" ref="AC18" si="22">IF(P18=0,"0",(P18/24))</f>
        <v>0.54166666666666663</v>
      </c>
      <c r="AD18" s="10">
        <f t="shared" ref="AD18" si="23">AC18*AB18*(1-O18)</f>
        <v>0.54166666666666663</v>
      </c>
      <c r="AE18" s="36">
        <f t="shared" si="6"/>
        <v>0.48878205128205121</v>
      </c>
      <c r="AF18" s="81">
        <f t="shared" ref="AF18" si="24">A18</f>
        <v>11</v>
      </c>
    </row>
    <row r="19" spans="1:32" ht="27" customHeight="1">
      <c r="A19" s="106">
        <v>12</v>
      </c>
      <c r="B19" s="11" t="s">
        <v>57</v>
      </c>
      <c r="C19" s="34" t="s">
        <v>164</v>
      </c>
      <c r="D19" s="52"/>
      <c r="E19" s="53" t="s">
        <v>644</v>
      </c>
      <c r="F19" s="30" t="s">
        <v>156</v>
      </c>
      <c r="G19" s="12">
        <v>1</v>
      </c>
      <c r="H19" s="13">
        <v>24</v>
      </c>
      <c r="I19" s="7">
        <v>5800</v>
      </c>
      <c r="J19" s="14">
        <v>5064</v>
      </c>
      <c r="K19" s="15">
        <f>L19+4507+5064</f>
        <v>9571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0.48878205128205121</v>
      </c>
      <c r="AF19" s="81">
        <f t="shared" si="7"/>
        <v>12</v>
      </c>
    </row>
    <row r="20" spans="1:32" ht="27" customHeight="1">
      <c r="A20" s="92">
        <v>13</v>
      </c>
      <c r="B20" s="11" t="s">
        <v>57</v>
      </c>
      <c r="C20" s="34" t="s">
        <v>164</v>
      </c>
      <c r="D20" s="52"/>
      <c r="E20" s="53" t="s">
        <v>764</v>
      </c>
      <c r="F20" s="30" t="s">
        <v>176</v>
      </c>
      <c r="G20" s="12">
        <v>1</v>
      </c>
      <c r="H20" s="13">
        <v>22</v>
      </c>
      <c r="I20" s="31">
        <v>6000</v>
      </c>
      <c r="J20" s="5">
        <v>5053</v>
      </c>
      <c r="K20" s="15">
        <f>L20+3016</f>
        <v>8069</v>
      </c>
      <c r="L20" s="15">
        <f>2652+2401</f>
        <v>5053</v>
      </c>
      <c r="M20" s="15">
        <f t="shared" si="0"/>
        <v>5053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0.48878205128205121</v>
      </c>
      <c r="AF20" s="81">
        <f t="shared" si="7"/>
        <v>13</v>
      </c>
    </row>
    <row r="21" spans="1:32" ht="27" customHeight="1">
      <c r="A21" s="92">
        <v>14</v>
      </c>
      <c r="B21" s="11" t="s">
        <v>57</v>
      </c>
      <c r="C21" s="11" t="s">
        <v>112</v>
      </c>
      <c r="D21" s="52" t="s">
        <v>144</v>
      </c>
      <c r="E21" s="53" t="s">
        <v>765</v>
      </c>
      <c r="F21" s="30" t="s">
        <v>122</v>
      </c>
      <c r="G21" s="33">
        <v>4</v>
      </c>
      <c r="H21" s="35">
        <v>24</v>
      </c>
      <c r="I21" s="7">
        <v>61000</v>
      </c>
      <c r="J21" s="14">
        <v>23388</v>
      </c>
      <c r="K21" s="15">
        <f>L21+21576</f>
        <v>44964</v>
      </c>
      <c r="L21" s="15">
        <f>3000*4+2847*4</f>
        <v>23388</v>
      </c>
      <c r="M21" s="15">
        <f t="shared" si="0"/>
        <v>23388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0.48878205128205121</v>
      </c>
      <c r="AF21" s="81">
        <f t="shared" si="7"/>
        <v>14</v>
      </c>
    </row>
    <row r="22" spans="1:32" ht="27" customHeight="1">
      <c r="A22" s="106">
        <v>15</v>
      </c>
      <c r="B22" s="11" t="s">
        <v>57</v>
      </c>
      <c r="C22" s="11" t="s">
        <v>116</v>
      </c>
      <c r="D22" s="52" t="s">
        <v>142</v>
      </c>
      <c r="E22" s="53" t="s">
        <v>232</v>
      </c>
      <c r="F22" s="30" t="s">
        <v>176</v>
      </c>
      <c r="G22" s="33">
        <v>1</v>
      </c>
      <c r="H22" s="35">
        <v>24</v>
      </c>
      <c r="I22" s="7">
        <v>37000</v>
      </c>
      <c r="J22" s="14">
        <v>5541</v>
      </c>
      <c r="K22" s="15">
        <f>L22+4347+5077+2902</f>
        <v>17867</v>
      </c>
      <c r="L22" s="15">
        <f>2819+2722</f>
        <v>5541</v>
      </c>
      <c r="M22" s="15">
        <f t="shared" si="0"/>
        <v>5541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0.48878205128205121</v>
      </c>
      <c r="AF22" s="81">
        <f t="shared" si="7"/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766</v>
      </c>
      <c r="F23" s="12" t="s">
        <v>114</v>
      </c>
      <c r="G23" s="12">
        <v>4</v>
      </c>
      <c r="H23" s="35">
        <v>20</v>
      </c>
      <c r="I23" s="7">
        <v>2000000</v>
      </c>
      <c r="J23" s="14">
        <v>54464</v>
      </c>
      <c r="K23" s="15">
        <f>L23+42564</f>
        <v>97028</v>
      </c>
      <c r="L23" s="15">
        <f>6944*4+6672*4</f>
        <v>54464</v>
      </c>
      <c r="M23" s="15">
        <f t="shared" si="0"/>
        <v>54464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0.48878205128205121</v>
      </c>
      <c r="AF23" s="81">
        <f t="shared" si="7"/>
        <v>16</v>
      </c>
    </row>
    <row r="24" spans="1:32" ht="26.25" customHeight="1">
      <c r="A24" s="115">
        <v>17</v>
      </c>
      <c r="B24" s="11" t="s">
        <v>57</v>
      </c>
      <c r="C24" s="11"/>
      <c r="D24" s="52"/>
      <c r="E24" s="53"/>
      <c r="F24" s="12"/>
      <c r="G24" s="12"/>
      <c r="H24" s="35"/>
      <c r="I24" s="7">
        <v>0</v>
      </c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0.48878205128205121</v>
      </c>
      <c r="AF24" s="81">
        <f t="shared" si="7"/>
        <v>17</v>
      </c>
    </row>
    <row r="25" spans="1:32" ht="26.25" customHeight="1">
      <c r="A25" s="115">
        <v>18</v>
      </c>
      <c r="B25" s="11" t="s">
        <v>57</v>
      </c>
      <c r="C25" s="11" t="s">
        <v>116</v>
      </c>
      <c r="D25" s="52" t="s">
        <v>152</v>
      </c>
      <c r="E25" s="53" t="s">
        <v>166</v>
      </c>
      <c r="F25" s="12" t="s">
        <v>153</v>
      </c>
      <c r="G25" s="12">
        <v>4</v>
      </c>
      <c r="H25" s="35">
        <v>15</v>
      </c>
      <c r="I25" s="7">
        <v>20000</v>
      </c>
      <c r="J25" s="14">
        <v>24024</v>
      </c>
      <c r="K25" s="15">
        <f>L25+14040+7084+2888+25304+4864+24024</f>
        <v>78204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/>
      <c r="X25" s="16"/>
      <c r="Y25" s="16"/>
      <c r="Z25" s="16"/>
      <c r="AA25" s="18">
        <v>24</v>
      </c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0.48878205128205121</v>
      </c>
      <c r="AF25" s="81">
        <f t="shared" si="7"/>
        <v>18</v>
      </c>
    </row>
    <row r="26" spans="1:32" ht="21.75" customHeight="1">
      <c r="A26" s="92">
        <v>31</v>
      </c>
      <c r="B26" s="11" t="s">
        <v>57</v>
      </c>
      <c r="C26" s="11" t="s">
        <v>116</v>
      </c>
      <c r="D26" s="52" t="s">
        <v>115</v>
      </c>
      <c r="E26" s="53" t="s">
        <v>139</v>
      </c>
      <c r="F26" s="12" t="s">
        <v>133</v>
      </c>
      <c r="G26" s="12">
        <v>4</v>
      </c>
      <c r="H26" s="35">
        <v>20</v>
      </c>
      <c r="I26" s="7">
        <v>100000</v>
      </c>
      <c r="J26" s="14">
        <v>1872</v>
      </c>
      <c r="K26" s="15">
        <f>L26+1872+6880</f>
        <v>8752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0.48878205128205121</v>
      </c>
      <c r="AF26" s="81">
        <f t="shared" si="7"/>
        <v>31</v>
      </c>
    </row>
    <row r="27" spans="1:32" ht="21.75" customHeight="1">
      <c r="A27" s="92">
        <v>32</v>
      </c>
      <c r="B27" s="11" t="s">
        <v>57</v>
      </c>
      <c r="C27" s="11" t="s">
        <v>150</v>
      </c>
      <c r="D27" s="52"/>
      <c r="E27" s="53" t="s">
        <v>149</v>
      </c>
      <c r="F27" s="12" t="s">
        <v>151</v>
      </c>
      <c r="G27" s="12">
        <v>30</v>
      </c>
      <c r="H27" s="35">
        <v>20</v>
      </c>
      <c r="I27" s="7">
        <v>2000000</v>
      </c>
      <c r="J27" s="14">
        <v>189476</v>
      </c>
      <c r="K27" s="15">
        <f>L27+322260+481964+478184+484736+189476</f>
        <v>1956620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7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0.48878205128205121</v>
      </c>
      <c r="AF27" s="81">
        <f t="shared" si="7"/>
        <v>32</v>
      </c>
    </row>
    <row r="28" spans="1:32" ht="21.75" customHeight="1">
      <c r="A28" s="92">
        <v>33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133</v>
      </c>
      <c r="G28" s="12">
        <v>4</v>
      </c>
      <c r="H28" s="35">
        <v>20</v>
      </c>
      <c r="I28" s="7">
        <f>180000+150000</f>
        <v>330000</v>
      </c>
      <c r="J28" s="14">
        <v>22760</v>
      </c>
      <c r="K28" s="15">
        <f>L28+20480+24108+23840+23940+22144+18434+21892+23604+20052+19824+24080+22760</f>
        <v>265158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0.48878205128205121</v>
      </c>
      <c r="AF28" s="81">
        <f t="shared" si="7"/>
        <v>33</v>
      </c>
    </row>
    <row r="29" spans="1:32" ht="21.75" customHeight="1">
      <c r="A29" s="92">
        <v>34</v>
      </c>
      <c r="B29" s="11" t="s">
        <v>57</v>
      </c>
      <c r="C29" s="11" t="s">
        <v>116</v>
      </c>
      <c r="D29" s="52" t="s">
        <v>157</v>
      </c>
      <c r="E29" s="53" t="s">
        <v>170</v>
      </c>
      <c r="F29" s="12" t="s">
        <v>123</v>
      </c>
      <c r="G29" s="12">
        <v>4</v>
      </c>
      <c r="H29" s="35">
        <v>20</v>
      </c>
      <c r="I29" s="7">
        <f t="shared" ref="I29:I30" si="25">180000+150000</f>
        <v>330000</v>
      </c>
      <c r="J29" s="14">
        <v>23324</v>
      </c>
      <c r="K29" s="15">
        <f>L29+22128+27588+27392+27540+25512+23844+27296+27604+27180+23324</f>
        <v>259408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0.48878205128205121</v>
      </c>
      <c r="AF29" s="81">
        <f t="shared" si="7"/>
        <v>34</v>
      </c>
    </row>
    <row r="30" spans="1:32" ht="21.75" customHeight="1">
      <c r="A30" s="92">
        <v>35</v>
      </c>
      <c r="B30" s="11" t="s">
        <v>57</v>
      </c>
      <c r="C30" s="11" t="s">
        <v>116</v>
      </c>
      <c r="D30" s="52" t="s">
        <v>121</v>
      </c>
      <c r="E30" s="53" t="s">
        <v>171</v>
      </c>
      <c r="F30" s="12" t="s">
        <v>123</v>
      </c>
      <c r="G30" s="12">
        <v>4</v>
      </c>
      <c r="H30" s="35">
        <v>20</v>
      </c>
      <c r="I30" s="7">
        <f t="shared" si="25"/>
        <v>330000</v>
      </c>
      <c r="J30" s="14">
        <v>25000</v>
      </c>
      <c r="K30" s="15">
        <f>L30+18992+29436+29448+29672+26652+25912+29256+29552+29404+25000</f>
        <v>273324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/>
      <c r="W30" s="5">
        <v>24</v>
      </c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0.48878205128205121</v>
      </c>
      <c r="AF30" s="81">
        <f t="shared" si="7"/>
        <v>35</v>
      </c>
    </row>
    <row r="31" spans="1:32" ht="21.75" customHeight="1" thickBot="1">
      <c r="A31" s="92">
        <v>36</v>
      </c>
      <c r="B31" s="11" t="s">
        <v>57</v>
      </c>
      <c r="C31" s="11" t="s">
        <v>113</v>
      </c>
      <c r="D31" s="52"/>
      <c r="E31" s="53" t="s">
        <v>140</v>
      </c>
      <c r="F31" s="12" t="s">
        <v>114</v>
      </c>
      <c r="G31" s="12">
        <v>4</v>
      </c>
      <c r="H31" s="35">
        <v>20</v>
      </c>
      <c r="I31" s="7">
        <v>1000000</v>
      </c>
      <c r="J31" s="14">
        <v>79328</v>
      </c>
      <c r="K31" s="15">
        <f>L31+28388+70816+76368+81764+83428+47688+53180+83092+82192+79328</f>
        <v>686244</v>
      </c>
      <c r="L31" s="15"/>
      <c r="M31" s="15">
        <f t="shared" si="0"/>
        <v>0</v>
      </c>
      <c r="N31" s="15">
        <v>0</v>
      </c>
      <c r="O31" s="58" t="str">
        <f t="shared" si="1"/>
        <v>0</v>
      </c>
      <c r="P31" s="39" t="str">
        <f t="shared" si="2"/>
        <v>0</v>
      </c>
      <c r="Q31" s="40">
        <f t="shared" si="3"/>
        <v>24</v>
      </c>
      <c r="R31" s="7"/>
      <c r="S31" s="6"/>
      <c r="T31" s="16"/>
      <c r="U31" s="16"/>
      <c r="V31" s="114">
        <v>24</v>
      </c>
      <c r="W31" s="5"/>
      <c r="X31" s="16"/>
      <c r="Y31" s="16"/>
      <c r="Z31" s="16"/>
      <c r="AA31" s="18"/>
      <c r="AB31" s="8">
        <f t="shared" si="4"/>
        <v>0</v>
      </c>
      <c r="AC31" s="9">
        <f t="shared" si="5"/>
        <v>0</v>
      </c>
      <c r="AD31" s="10">
        <f t="shared" si="8"/>
        <v>0</v>
      </c>
      <c r="AE31" s="36">
        <f t="shared" si="6"/>
        <v>0.48878205128205121</v>
      </c>
      <c r="AF31" s="81">
        <f t="shared" si="7"/>
        <v>36</v>
      </c>
    </row>
    <row r="32" spans="1:32" ht="19.5" thickBot="1">
      <c r="A32" s="420" t="s">
        <v>34</v>
      </c>
      <c r="B32" s="421"/>
      <c r="C32" s="421"/>
      <c r="D32" s="421"/>
      <c r="E32" s="421"/>
      <c r="F32" s="421"/>
      <c r="G32" s="421"/>
      <c r="H32" s="422"/>
      <c r="I32" s="22">
        <f t="shared" ref="I32:N32" si="26">SUM(I6:I31)</f>
        <v>7017800</v>
      </c>
      <c r="J32" s="19">
        <f t="shared" si="26"/>
        <v>561594</v>
      </c>
      <c r="K32" s="20">
        <f t="shared" si="26"/>
        <v>4185096</v>
      </c>
      <c r="L32" s="21">
        <f t="shared" si="26"/>
        <v>173802</v>
      </c>
      <c r="M32" s="20">
        <f t="shared" si="26"/>
        <v>173802</v>
      </c>
      <c r="N32" s="21">
        <f t="shared" si="26"/>
        <v>0</v>
      </c>
      <c r="O32" s="41">
        <f t="shared" si="1"/>
        <v>0</v>
      </c>
      <c r="P32" s="42">
        <f t="shared" ref="P32:AA32" si="27">SUM(P6:P31)</f>
        <v>305</v>
      </c>
      <c r="Q32" s="43">
        <f t="shared" si="27"/>
        <v>319</v>
      </c>
      <c r="R32" s="23">
        <f t="shared" si="27"/>
        <v>0</v>
      </c>
      <c r="S32" s="24">
        <f t="shared" si="27"/>
        <v>52</v>
      </c>
      <c r="T32" s="24">
        <f t="shared" si="27"/>
        <v>16</v>
      </c>
      <c r="U32" s="24">
        <f t="shared" si="27"/>
        <v>0</v>
      </c>
      <c r="V32" s="25">
        <f t="shared" si="27"/>
        <v>48</v>
      </c>
      <c r="W32" s="26">
        <f t="shared" si="27"/>
        <v>179</v>
      </c>
      <c r="X32" s="27">
        <f t="shared" si="27"/>
        <v>0</v>
      </c>
      <c r="Y32" s="27">
        <f t="shared" si="27"/>
        <v>0</v>
      </c>
      <c r="Z32" s="27">
        <f t="shared" si="27"/>
        <v>0</v>
      </c>
      <c r="AA32" s="27">
        <f t="shared" si="27"/>
        <v>24</v>
      </c>
      <c r="AB32" s="28">
        <f>AVERAGE(AB6:AB31)</f>
        <v>0.64</v>
      </c>
      <c r="AC32" s="4">
        <f>AVERAGE(AC6:AC31)</f>
        <v>0.48878205128205121</v>
      </c>
      <c r="AD32" s="4">
        <f>AVERAGE(AD6:AD31)</f>
        <v>0.48878205128205121</v>
      </c>
      <c r="AE32" s="29"/>
    </row>
    <row r="33" spans="1:32">
      <c r="T33" s="50" t="s">
        <v>125</v>
      </c>
    </row>
    <row r="34" spans="1:32" ht="18.75">
      <c r="A34" s="2"/>
      <c r="B34" s="2" t="s">
        <v>35</v>
      </c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 t="s">
        <v>36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1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 t="s">
        <v>126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82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7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7.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12" customHeight="1">
      <c r="A49" s="59"/>
      <c r="B49" s="59"/>
      <c r="C49" s="59"/>
      <c r="D49" s="59"/>
      <c r="E49" s="59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F49" s="50"/>
    </row>
    <row r="50" spans="1:32" ht="12" customHeight="1">
      <c r="A50" s="60"/>
      <c r="B50" s="60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2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2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36" thickBot="1">
      <c r="A59" s="484" t="s">
        <v>45</v>
      </c>
      <c r="B59" s="484"/>
      <c r="C59" s="484"/>
      <c r="D59" s="484"/>
      <c r="E59" s="484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26.25" thickBot="1">
      <c r="A60" s="424" t="s">
        <v>788</v>
      </c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6"/>
      <c r="N60" s="427" t="s">
        <v>794</v>
      </c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9"/>
    </row>
    <row r="61" spans="1:32" ht="27" customHeight="1">
      <c r="A61" s="430" t="s">
        <v>2</v>
      </c>
      <c r="B61" s="431"/>
      <c r="C61" s="368" t="s">
        <v>46</v>
      </c>
      <c r="D61" s="368" t="s">
        <v>47</v>
      </c>
      <c r="E61" s="368" t="s">
        <v>107</v>
      </c>
      <c r="F61" s="432" t="s">
        <v>106</v>
      </c>
      <c r="G61" s="433"/>
      <c r="H61" s="433"/>
      <c r="I61" s="433"/>
      <c r="J61" s="433"/>
      <c r="K61" s="433"/>
      <c r="L61" s="433"/>
      <c r="M61" s="434"/>
      <c r="N61" s="67" t="s">
        <v>110</v>
      </c>
      <c r="O61" s="368" t="s">
        <v>46</v>
      </c>
      <c r="P61" s="432" t="s">
        <v>47</v>
      </c>
      <c r="Q61" s="435"/>
      <c r="R61" s="432" t="s">
        <v>38</v>
      </c>
      <c r="S61" s="433"/>
      <c r="T61" s="433"/>
      <c r="U61" s="435"/>
      <c r="V61" s="432" t="s">
        <v>48</v>
      </c>
      <c r="W61" s="433"/>
      <c r="X61" s="433"/>
      <c r="Y61" s="433"/>
      <c r="Z61" s="433"/>
      <c r="AA61" s="433"/>
      <c r="AB61" s="433"/>
      <c r="AC61" s="433"/>
      <c r="AD61" s="434"/>
    </row>
    <row r="62" spans="1:32" ht="27" customHeight="1">
      <c r="A62" s="446" t="s">
        <v>116</v>
      </c>
      <c r="B62" s="447"/>
      <c r="C62" s="369" t="s">
        <v>138</v>
      </c>
      <c r="D62" s="369" t="s">
        <v>161</v>
      </c>
      <c r="E62" s="370" t="s">
        <v>182</v>
      </c>
      <c r="F62" s="448" t="s">
        <v>137</v>
      </c>
      <c r="G62" s="449"/>
      <c r="H62" s="449"/>
      <c r="I62" s="449"/>
      <c r="J62" s="449"/>
      <c r="K62" s="449"/>
      <c r="L62" s="449"/>
      <c r="M62" s="450"/>
      <c r="N62" s="116" t="s">
        <v>243</v>
      </c>
      <c r="O62" s="375" t="s">
        <v>159</v>
      </c>
      <c r="P62" s="451" t="s">
        <v>115</v>
      </c>
      <c r="Q62" s="452"/>
      <c r="R62" s="451" t="s">
        <v>740</v>
      </c>
      <c r="S62" s="453"/>
      <c r="T62" s="453"/>
      <c r="U62" s="452"/>
      <c r="V62" s="454" t="s">
        <v>137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124</v>
      </c>
      <c r="B63" s="447"/>
      <c r="C63" s="369" t="s">
        <v>141</v>
      </c>
      <c r="D63" s="369" t="s">
        <v>115</v>
      </c>
      <c r="E63" s="370" t="s">
        <v>330</v>
      </c>
      <c r="F63" s="448" t="s">
        <v>230</v>
      </c>
      <c r="G63" s="449"/>
      <c r="H63" s="449"/>
      <c r="I63" s="449"/>
      <c r="J63" s="449"/>
      <c r="K63" s="449"/>
      <c r="L63" s="449"/>
      <c r="M63" s="450"/>
      <c r="N63" s="116" t="s">
        <v>801</v>
      </c>
      <c r="O63" s="375" t="s">
        <v>802</v>
      </c>
      <c r="P63" s="451" t="s">
        <v>115</v>
      </c>
      <c r="Q63" s="452"/>
      <c r="R63" s="451" t="s">
        <v>800</v>
      </c>
      <c r="S63" s="453"/>
      <c r="T63" s="453"/>
      <c r="U63" s="452"/>
      <c r="V63" s="454" t="s">
        <v>137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243</v>
      </c>
      <c r="B64" s="447"/>
      <c r="C64" s="385" t="s">
        <v>159</v>
      </c>
      <c r="D64" s="385" t="s">
        <v>115</v>
      </c>
      <c r="E64" s="386" t="s">
        <v>740</v>
      </c>
      <c r="F64" s="448" t="s">
        <v>789</v>
      </c>
      <c r="G64" s="449"/>
      <c r="H64" s="449"/>
      <c r="I64" s="449"/>
      <c r="J64" s="449"/>
      <c r="K64" s="449"/>
      <c r="L64" s="449"/>
      <c r="M64" s="450"/>
      <c r="N64" s="116" t="s">
        <v>243</v>
      </c>
      <c r="O64" s="375" t="s">
        <v>790</v>
      </c>
      <c r="P64" s="451" t="s">
        <v>115</v>
      </c>
      <c r="Q64" s="452"/>
      <c r="R64" s="451" t="s">
        <v>803</v>
      </c>
      <c r="S64" s="453"/>
      <c r="T64" s="453"/>
      <c r="U64" s="452"/>
      <c r="V64" s="454" t="s">
        <v>780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369" t="s">
        <v>790</v>
      </c>
      <c r="D65" s="369" t="s">
        <v>791</v>
      </c>
      <c r="E65" s="370" t="s">
        <v>792</v>
      </c>
      <c r="F65" s="448" t="s">
        <v>146</v>
      </c>
      <c r="G65" s="449"/>
      <c r="H65" s="449"/>
      <c r="I65" s="449"/>
      <c r="J65" s="449"/>
      <c r="K65" s="449"/>
      <c r="L65" s="449"/>
      <c r="M65" s="450"/>
      <c r="N65" s="116" t="s">
        <v>805</v>
      </c>
      <c r="O65" s="375" t="s">
        <v>806</v>
      </c>
      <c r="P65" s="451" t="s">
        <v>807</v>
      </c>
      <c r="Q65" s="452"/>
      <c r="R65" s="451" t="s">
        <v>804</v>
      </c>
      <c r="S65" s="453"/>
      <c r="T65" s="453"/>
      <c r="U65" s="452"/>
      <c r="V65" s="454" t="s">
        <v>137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770</v>
      </c>
      <c r="B66" s="447"/>
      <c r="C66" s="369" t="s">
        <v>148</v>
      </c>
      <c r="D66" s="369" t="s">
        <v>793</v>
      </c>
      <c r="E66" s="370" t="s">
        <v>786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/>
      <c r="O66" s="375"/>
      <c r="P66" s="451"/>
      <c r="Q66" s="452"/>
      <c r="R66" s="451"/>
      <c r="S66" s="453"/>
      <c r="T66" s="453"/>
      <c r="U66" s="452"/>
      <c r="V66" s="454"/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797</v>
      </c>
      <c r="B67" s="447"/>
      <c r="C67" s="369" t="s">
        <v>798</v>
      </c>
      <c r="D67" s="369" t="s">
        <v>799</v>
      </c>
      <c r="E67" s="370" t="s">
        <v>795</v>
      </c>
      <c r="F67" s="448" t="s">
        <v>796</v>
      </c>
      <c r="G67" s="449"/>
      <c r="H67" s="449"/>
      <c r="I67" s="449"/>
      <c r="J67" s="449"/>
      <c r="K67" s="449"/>
      <c r="L67" s="449"/>
      <c r="M67" s="450"/>
      <c r="N67" s="116"/>
      <c r="O67" s="375"/>
      <c r="P67" s="451"/>
      <c r="Q67" s="452"/>
      <c r="R67" s="451"/>
      <c r="S67" s="453"/>
      <c r="T67" s="453"/>
      <c r="U67" s="452"/>
      <c r="V67" s="454"/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/>
      <c r="B68" s="447"/>
      <c r="C68" s="369"/>
      <c r="D68" s="369"/>
      <c r="E68" s="370"/>
      <c r="F68" s="448"/>
      <c r="G68" s="449"/>
      <c r="H68" s="449"/>
      <c r="I68" s="449"/>
      <c r="J68" s="449"/>
      <c r="K68" s="449"/>
      <c r="L68" s="449"/>
      <c r="M68" s="450"/>
      <c r="N68" s="116"/>
      <c r="O68" s="375"/>
      <c r="P68" s="451"/>
      <c r="Q68" s="452"/>
      <c r="R68" s="451"/>
      <c r="S68" s="453"/>
      <c r="T68" s="453"/>
      <c r="U68" s="452"/>
      <c r="V68" s="454"/>
      <c r="W68" s="455"/>
      <c r="X68" s="455"/>
      <c r="Y68" s="455"/>
      <c r="Z68" s="455"/>
      <c r="AA68" s="455"/>
      <c r="AB68" s="455"/>
      <c r="AC68" s="455"/>
      <c r="AD68" s="456"/>
    </row>
    <row r="69" spans="1:32" ht="27" customHeight="1">
      <c r="A69" s="446"/>
      <c r="B69" s="447"/>
      <c r="C69" s="369"/>
      <c r="D69" s="369"/>
      <c r="E69" s="370"/>
      <c r="F69" s="448"/>
      <c r="G69" s="449"/>
      <c r="H69" s="449"/>
      <c r="I69" s="449"/>
      <c r="J69" s="449"/>
      <c r="K69" s="449"/>
      <c r="L69" s="449"/>
      <c r="M69" s="450"/>
      <c r="N69" s="116"/>
      <c r="O69" s="375"/>
      <c r="P69" s="451"/>
      <c r="Q69" s="452"/>
      <c r="R69" s="451"/>
      <c r="S69" s="453"/>
      <c r="T69" s="453"/>
      <c r="U69" s="452"/>
      <c r="V69" s="454"/>
      <c r="W69" s="455"/>
      <c r="X69" s="455"/>
      <c r="Y69" s="455"/>
      <c r="Z69" s="455"/>
      <c r="AA69" s="455"/>
      <c r="AB69" s="455"/>
      <c r="AC69" s="455"/>
      <c r="AD69" s="456"/>
    </row>
    <row r="70" spans="1:32" ht="27" customHeight="1">
      <c r="A70" s="446"/>
      <c r="B70" s="447"/>
      <c r="C70" s="369"/>
      <c r="D70" s="369"/>
      <c r="E70" s="370"/>
      <c r="F70" s="448"/>
      <c r="G70" s="449"/>
      <c r="H70" s="449"/>
      <c r="I70" s="449"/>
      <c r="J70" s="449"/>
      <c r="K70" s="449"/>
      <c r="L70" s="449"/>
      <c r="M70" s="450"/>
      <c r="N70" s="116"/>
      <c r="O70" s="375"/>
      <c r="P70" s="457"/>
      <c r="Q70" s="457"/>
      <c r="R70" s="457"/>
      <c r="S70" s="457"/>
      <c r="T70" s="457"/>
      <c r="U70" s="457"/>
      <c r="V70" s="454"/>
      <c r="W70" s="455"/>
      <c r="X70" s="455"/>
      <c r="Y70" s="455"/>
      <c r="Z70" s="455"/>
      <c r="AA70" s="455"/>
      <c r="AB70" s="455"/>
      <c r="AC70" s="455"/>
      <c r="AD70" s="456"/>
      <c r="AF70" s="81">
        <f>8*3000</f>
        <v>24000</v>
      </c>
    </row>
    <row r="71" spans="1:32" ht="27" customHeight="1" thickBot="1">
      <c r="A71" s="458"/>
      <c r="B71" s="459"/>
      <c r="C71" s="371"/>
      <c r="D71" s="372"/>
      <c r="E71" s="371"/>
      <c r="F71" s="460"/>
      <c r="G71" s="461"/>
      <c r="H71" s="461"/>
      <c r="I71" s="461"/>
      <c r="J71" s="461"/>
      <c r="K71" s="461"/>
      <c r="L71" s="461"/>
      <c r="M71" s="462"/>
      <c r="N71" s="105"/>
      <c r="O71" s="97"/>
      <c r="P71" s="463"/>
      <c r="Q71" s="463"/>
      <c r="R71" s="463"/>
      <c r="S71" s="463"/>
      <c r="T71" s="463"/>
      <c r="U71" s="463"/>
      <c r="V71" s="464"/>
      <c r="W71" s="464"/>
      <c r="X71" s="464"/>
      <c r="Y71" s="464"/>
      <c r="Z71" s="464"/>
      <c r="AA71" s="464"/>
      <c r="AB71" s="464"/>
      <c r="AC71" s="464"/>
      <c r="AD71" s="465"/>
      <c r="AF71" s="81">
        <f>16*3000</f>
        <v>48000</v>
      </c>
    </row>
    <row r="72" spans="1:32" ht="27.75" thickBot="1">
      <c r="A72" s="466" t="s">
        <v>808</v>
      </c>
      <c r="B72" s="466"/>
      <c r="C72" s="466"/>
      <c r="D72" s="466"/>
      <c r="E72" s="46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81">
        <v>24000</v>
      </c>
    </row>
    <row r="73" spans="1:32" ht="29.25" customHeight="1" thickBot="1">
      <c r="A73" s="467" t="s">
        <v>111</v>
      </c>
      <c r="B73" s="468"/>
      <c r="C73" s="373" t="s">
        <v>2</v>
      </c>
      <c r="D73" s="373" t="s">
        <v>37</v>
      </c>
      <c r="E73" s="373" t="s">
        <v>3</v>
      </c>
      <c r="F73" s="468" t="s">
        <v>109</v>
      </c>
      <c r="G73" s="468"/>
      <c r="H73" s="468"/>
      <c r="I73" s="468"/>
      <c r="J73" s="468"/>
      <c r="K73" s="468" t="s">
        <v>39</v>
      </c>
      <c r="L73" s="468"/>
      <c r="M73" s="373" t="s">
        <v>40</v>
      </c>
      <c r="N73" s="468" t="s">
        <v>41</v>
      </c>
      <c r="O73" s="468"/>
      <c r="P73" s="469" t="s">
        <v>42</v>
      </c>
      <c r="Q73" s="470"/>
      <c r="R73" s="469" t="s">
        <v>43</v>
      </c>
      <c r="S73" s="471"/>
      <c r="T73" s="471"/>
      <c r="U73" s="471"/>
      <c r="V73" s="471"/>
      <c r="W73" s="471"/>
      <c r="X73" s="471"/>
      <c r="Y73" s="471"/>
      <c r="Z73" s="471"/>
      <c r="AA73" s="470"/>
      <c r="AB73" s="468" t="s">
        <v>44</v>
      </c>
      <c r="AC73" s="468"/>
      <c r="AD73" s="472"/>
      <c r="AF73" s="81">
        <f>SUM(AF70:AF72)</f>
        <v>96000</v>
      </c>
    </row>
    <row r="74" spans="1:32" ht="25.5" customHeight="1">
      <c r="A74" s="473">
        <v>1</v>
      </c>
      <c r="B74" s="474"/>
      <c r="C74" s="98"/>
      <c r="D74" s="377"/>
      <c r="E74" s="374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2</v>
      </c>
      <c r="B75" s="474"/>
      <c r="C75" s="98"/>
      <c r="D75" s="377"/>
      <c r="E75" s="374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3</v>
      </c>
      <c r="B76" s="474"/>
      <c r="C76" s="98"/>
      <c r="D76" s="377"/>
      <c r="E76" s="374"/>
      <c r="F76" s="475"/>
      <c r="G76" s="476"/>
      <c r="H76" s="476"/>
      <c r="I76" s="476"/>
      <c r="J76" s="476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4</v>
      </c>
      <c r="B77" s="474"/>
      <c r="C77" s="98"/>
      <c r="D77" s="377"/>
      <c r="E77" s="374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5</v>
      </c>
      <c r="B78" s="474"/>
      <c r="C78" s="98"/>
      <c r="D78" s="377"/>
      <c r="E78" s="374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6</v>
      </c>
      <c r="B79" s="474"/>
      <c r="C79" s="98"/>
      <c r="D79" s="377"/>
      <c r="E79" s="374"/>
      <c r="F79" s="481"/>
      <c r="G79" s="482"/>
      <c r="H79" s="482"/>
      <c r="I79" s="482"/>
      <c r="J79" s="483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7</v>
      </c>
      <c r="B80" s="474"/>
      <c r="C80" s="98"/>
      <c r="D80" s="377"/>
      <c r="E80" s="374"/>
      <c r="F80" s="481"/>
      <c r="G80" s="482"/>
      <c r="H80" s="482"/>
      <c r="I80" s="482"/>
      <c r="J80" s="483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8</v>
      </c>
      <c r="B81" s="474"/>
      <c r="C81" s="98"/>
      <c r="D81" s="377"/>
      <c r="E81" s="374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5.5" customHeight="1">
      <c r="A82" s="473">
        <v>9</v>
      </c>
      <c r="B82" s="474"/>
      <c r="C82" s="98"/>
      <c r="D82" s="377"/>
      <c r="E82" s="374"/>
      <c r="F82" s="475"/>
      <c r="G82" s="476"/>
      <c r="H82" s="476"/>
      <c r="I82" s="476"/>
      <c r="J82" s="476"/>
      <c r="K82" s="476"/>
      <c r="L82" s="476"/>
      <c r="M82" s="51"/>
      <c r="N82" s="477"/>
      <c r="O82" s="477"/>
      <c r="P82" s="478"/>
      <c r="Q82" s="478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6"/>
      <c r="AC82" s="476"/>
      <c r="AD82" s="480"/>
      <c r="AF82" s="50"/>
    </row>
    <row r="83" spans="1:32" ht="25.5" customHeight="1">
      <c r="A83" s="473">
        <v>10</v>
      </c>
      <c r="B83" s="474"/>
      <c r="C83" s="98"/>
      <c r="D83" s="377"/>
      <c r="E83" s="374"/>
      <c r="F83" s="475"/>
      <c r="G83" s="476"/>
      <c r="H83" s="476"/>
      <c r="I83" s="476"/>
      <c r="J83" s="476"/>
      <c r="K83" s="476"/>
      <c r="L83" s="476"/>
      <c r="M83" s="51"/>
      <c r="N83" s="477"/>
      <c r="O83" s="477"/>
      <c r="P83" s="478"/>
      <c r="Q83" s="478"/>
      <c r="R83" s="479"/>
      <c r="S83" s="479"/>
      <c r="T83" s="479"/>
      <c r="U83" s="479"/>
      <c r="V83" s="479"/>
      <c r="W83" s="479"/>
      <c r="X83" s="479"/>
      <c r="Y83" s="479"/>
      <c r="Z83" s="479"/>
      <c r="AA83" s="479"/>
      <c r="AB83" s="476"/>
      <c r="AC83" s="476"/>
      <c r="AD83" s="480"/>
      <c r="AF83" s="50"/>
    </row>
    <row r="84" spans="1:32" ht="26.25" customHeight="1" thickBot="1">
      <c r="A84" s="484" t="s">
        <v>809</v>
      </c>
      <c r="B84" s="484"/>
      <c r="C84" s="484"/>
      <c r="D84" s="484"/>
      <c r="E84" s="48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23.25" thickBot="1">
      <c r="A85" s="485" t="s">
        <v>111</v>
      </c>
      <c r="B85" s="486"/>
      <c r="C85" s="376" t="s">
        <v>2</v>
      </c>
      <c r="D85" s="376" t="s">
        <v>37</v>
      </c>
      <c r="E85" s="376" t="s">
        <v>120</v>
      </c>
      <c r="F85" s="487" t="s">
        <v>38</v>
      </c>
      <c r="G85" s="487"/>
      <c r="H85" s="487"/>
      <c r="I85" s="487"/>
      <c r="J85" s="487"/>
      <c r="K85" s="488" t="s">
        <v>58</v>
      </c>
      <c r="L85" s="489"/>
      <c r="M85" s="489"/>
      <c r="N85" s="489"/>
      <c r="O85" s="489"/>
      <c r="P85" s="489"/>
      <c r="Q85" s="489"/>
      <c r="R85" s="489"/>
      <c r="S85" s="490"/>
      <c r="T85" s="487" t="s">
        <v>49</v>
      </c>
      <c r="U85" s="487"/>
      <c r="V85" s="488" t="s">
        <v>50</v>
      </c>
      <c r="W85" s="490"/>
      <c r="X85" s="489" t="s">
        <v>51</v>
      </c>
      <c r="Y85" s="489"/>
      <c r="Z85" s="489"/>
      <c r="AA85" s="489"/>
      <c r="AB85" s="489"/>
      <c r="AC85" s="489"/>
      <c r="AD85" s="491"/>
      <c r="AF85" s="50"/>
    </row>
    <row r="86" spans="1:32" ht="33.75" customHeight="1">
      <c r="A86" s="500">
        <v>1</v>
      </c>
      <c r="B86" s="501"/>
      <c r="C86" s="378"/>
      <c r="D86" s="378"/>
      <c r="E86" s="65"/>
      <c r="F86" s="502"/>
      <c r="G86" s="503"/>
      <c r="H86" s="503"/>
      <c r="I86" s="503"/>
      <c r="J86" s="504"/>
      <c r="K86" s="505"/>
      <c r="L86" s="506"/>
      <c r="M86" s="506"/>
      <c r="N86" s="506"/>
      <c r="O86" s="506"/>
      <c r="P86" s="506"/>
      <c r="Q86" s="506"/>
      <c r="R86" s="506"/>
      <c r="S86" s="507"/>
      <c r="T86" s="508"/>
      <c r="U86" s="509"/>
      <c r="V86" s="510"/>
      <c r="W86" s="510"/>
      <c r="X86" s="511"/>
      <c r="Y86" s="511"/>
      <c r="Z86" s="511"/>
      <c r="AA86" s="511"/>
      <c r="AB86" s="511"/>
      <c r="AC86" s="511"/>
      <c r="AD86" s="512"/>
      <c r="AF86" s="50"/>
    </row>
    <row r="87" spans="1:32" ht="30" customHeight="1">
      <c r="A87" s="492">
        <f>A86+1</f>
        <v>2</v>
      </c>
      <c r="B87" s="493"/>
      <c r="C87" s="377"/>
      <c r="D87" s="377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ref="A88:A92" si="28">A87+1</f>
        <v>3</v>
      </c>
      <c r="B88" s="493"/>
      <c r="C88" s="377"/>
      <c r="D88" s="377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28"/>
        <v>4</v>
      </c>
      <c r="B89" s="493"/>
      <c r="C89" s="377"/>
      <c r="D89" s="377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28"/>
        <v>5</v>
      </c>
      <c r="B90" s="493"/>
      <c r="C90" s="377"/>
      <c r="D90" s="377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0" customHeight="1">
      <c r="A91" s="492">
        <f t="shared" si="28"/>
        <v>6</v>
      </c>
      <c r="B91" s="493"/>
      <c r="C91" s="377"/>
      <c r="D91" s="377"/>
      <c r="E91" s="32"/>
      <c r="F91" s="493"/>
      <c r="G91" s="493"/>
      <c r="H91" s="493"/>
      <c r="I91" s="493"/>
      <c r="J91" s="493"/>
      <c r="K91" s="494"/>
      <c r="L91" s="495"/>
      <c r="M91" s="495"/>
      <c r="N91" s="495"/>
      <c r="O91" s="495"/>
      <c r="P91" s="495"/>
      <c r="Q91" s="495"/>
      <c r="R91" s="495"/>
      <c r="S91" s="496"/>
      <c r="T91" s="497"/>
      <c r="U91" s="497"/>
      <c r="V91" s="497"/>
      <c r="W91" s="497"/>
      <c r="X91" s="498"/>
      <c r="Y91" s="498"/>
      <c r="Z91" s="498"/>
      <c r="AA91" s="498"/>
      <c r="AB91" s="498"/>
      <c r="AC91" s="498"/>
      <c r="AD91" s="499"/>
      <c r="AF91" s="50"/>
    </row>
    <row r="92" spans="1:32" ht="30" customHeight="1">
      <c r="A92" s="492">
        <f t="shared" si="28"/>
        <v>7</v>
      </c>
      <c r="B92" s="493"/>
      <c r="C92" s="377"/>
      <c r="D92" s="377"/>
      <c r="E92" s="32"/>
      <c r="F92" s="493"/>
      <c r="G92" s="493"/>
      <c r="H92" s="493"/>
      <c r="I92" s="493"/>
      <c r="J92" s="493"/>
      <c r="K92" s="494"/>
      <c r="L92" s="495"/>
      <c r="M92" s="495"/>
      <c r="N92" s="495"/>
      <c r="O92" s="495"/>
      <c r="P92" s="495"/>
      <c r="Q92" s="495"/>
      <c r="R92" s="495"/>
      <c r="S92" s="496"/>
      <c r="T92" s="497"/>
      <c r="U92" s="497"/>
      <c r="V92" s="497"/>
      <c r="W92" s="497"/>
      <c r="X92" s="498"/>
      <c r="Y92" s="498"/>
      <c r="Z92" s="498"/>
      <c r="AA92" s="498"/>
      <c r="AB92" s="498"/>
      <c r="AC92" s="498"/>
      <c r="AD92" s="499"/>
      <c r="AF92" s="50"/>
    </row>
    <row r="93" spans="1:32" ht="36" thickBot="1">
      <c r="A93" s="484" t="s">
        <v>810</v>
      </c>
      <c r="B93" s="484"/>
      <c r="C93" s="484"/>
      <c r="D93" s="484"/>
      <c r="E93" s="484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F93" s="50"/>
    </row>
    <row r="94" spans="1:32" ht="30.75" customHeight="1" thickBot="1">
      <c r="A94" s="513" t="s">
        <v>111</v>
      </c>
      <c r="B94" s="487"/>
      <c r="C94" s="514" t="s">
        <v>52</v>
      </c>
      <c r="D94" s="514"/>
      <c r="E94" s="514" t="s">
        <v>53</v>
      </c>
      <c r="F94" s="514"/>
      <c r="G94" s="514"/>
      <c r="H94" s="514"/>
      <c r="I94" s="514"/>
      <c r="J94" s="514"/>
      <c r="K94" s="514" t="s">
        <v>54</v>
      </c>
      <c r="L94" s="514"/>
      <c r="M94" s="514"/>
      <c r="N94" s="514"/>
      <c r="O94" s="514"/>
      <c r="P94" s="514"/>
      <c r="Q94" s="514"/>
      <c r="R94" s="514"/>
      <c r="S94" s="514"/>
      <c r="T94" s="514" t="s">
        <v>55</v>
      </c>
      <c r="U94" s="514"/>
      <c r="V94" s="514" t="s">
        <v>56</v>
      </c>
      <c r="W94" s="514"/>
      <c r="X94" s="514"/>
      <c r="Y94" s="514" t="s">
        <v>51</v>
      </c>
      <c r="Z94" s="514"/>
      <c r="AA94" s="514"/>
      <c r="AB94" s="514"/>
      <c r="AC94" s="514"/>
      <c r="AD94" s="515"/>
      <c r="AF94" s="50"/>
    </row>
    <row r="95" spans="1:32" ht="30.75" customHeight="1">
      <c r="A95" s="500">
        <v>1</v>
      </c>
      <c r="B95" s="501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  <c r="T95" s="516"/>
      <c r="U95" s="516"/>
      <c r="V95" s="517"/>
      <c r="W95" s="517"/>
      <c r="X95" s="517"/>
      <c r="Y95" s="518"/>
      <c r="Z95" s="518"/>
      <c r="AA95" s="518"/>
      <c r="AB95" s="518"/>
      <c r="AC95" s="518"/>
      <c r="AD95" s="519"/>
      <c r="AF95" s="50"/>
    </row>
    <row r="96" spans="1:32" ht="30.75" customHeight="1">
      <c r="A96" s="492">
        <v>2</v>
      </c>
      <c r="B96" s="493"/>
      <c r="C96" s="528"/>
      <c r="D96" s="528"/>
      <c r="E96" s="528"/>
      <c r="F96" s="528"/>
      <c r="G96" s="528"/>
      <c r="H96" s="528"/>
      <c r="I96" s="528"/>
      <c r="J96" s="528"/>
      <c r="K96" s="528"/>
      <c r="L96" s="528"/>
      <c r="M96" s="528"/>
      <c r="N96" s="528"/>
      <c r="O96" s="528"/>
      <c r="P96" s="528"/>
      <c r="Q96" s="528"/>
      <c r="R96" s="528"/>
      <c r="S96" s="528"/>
      <c r="T96" s="529"/>
      <c r="U96" s="529"/>
      <c r="V96" s="530"/>
      <c r="W96" s="530"/>
      <c r="X96" s="530"/>
      <c r="Y96" s="520"/>
      <c r="Z96" s="520"/>
      <c r="AA96" s="520"/>
      <c r="AB96" s="520"/>
      <c r="AC96" s="520"/>
      <c r="AD96" s="521"/>
      <c r="AF96" s="50"/>
    </row>
    <row r="97" spans="1:32" ht="30.75" customHeight="1" thickBot="1">
      <c r="A97" s="522">
        <v>3</v>
      </c>
      <c r="B97" s="523"/>
      <c r="C97" s="524"/>
      <c r="D97" s="524"/>
      <c r="E97" s="524"/>
      <c r="F97" s="524"/>
      <c r="G97" s="524"/>
      <c r="H97" s="524"/>
      <c r="I97" s="524"/>
      <c r="J97" s="524"/>
      <c r="K97" s="524"/>
      <c r="L97" s="524"/>
      <c r="M97" s="524"/>
      <c r="N97" s="524"/>
      <c r="O97" s="524"/>
      <c r="P97" s="524"/>
      <c r="Q97" s="524"/>
      <c r="R97" s="524"/>
      <c r="S97" s="524"/>
      <c r="T97" s="524"/>
      <c r="U97" s="524"/>
      <c r="V97" s="525"/>
      <c r="W97" s="525"/>
      <c r="X97" s="525"/>
      <c r="Y97" s="526"/>
      <c r="Z97" s="526"/>
      <c r="AA97" s="526"/>
      <c r="AB97" s="526"/>
      <c r="AC97" s="526"/>
      <c r="AD97" s="527"/>
      <c r="AF9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2:H32"/>
    <mergeCell ref="A59:E59"/>
    <mergeCell ref="A60:M60"/>
    <mergeCell ref="N60:AD60"/>
    <mergeCell ref="A61:B61"/>
    <mergeCell ref="F61:M61"/>
    <mergeCell ref="P61:Q61"/>
    <mergeCell ref="R61:U61"/>
    <mergeCell ref="V61:AD61"/>
    <mergeCell ref="I4:O4"/>
    <mergeCell ref="P4:Q4"/>
    <mergeCell ref="R4:V4"/>
    <mergeCell ref="W4:AA4"/>
    <mergeCell ref="AB4:AB5"/>
    <mergeCell ref="AC4:AC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R70:U70"/>
    <mergeCell ref="V70:AD70"/>
    <mergeCell ref="A71:B71"/>
    <mergeCell ref="F71:M71"/>
    <mergeCell ref="P71:Q71"/>
    <mergeCell ref="R71:U71"/>
    <mergeCell ref="V71:AD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72:E72"/>
    <mergeCell ref="A73:B73"/>
    <mergeCell ref="F73:J73"/>
    <mergeCell ref="K73:L73"/>
    <mergeCell ref="N73:O73"/>
    <mergeCell ref="P73:Q73"/>
    <mergeCell ref="A70:B70"/>
    <mergeCell ref="F70:M70"/>
    <mergeCell ref="P70:Q70"/>
    <mergeCell ref="R73:AA73"/>
    <mergeCell ref="AB73:AD73"/>
    <mergeCell ref="A74:B74"/>
    <mergeCell ref="F74:J74"/>
    <mergeCell ref="K74:L74"/>
    <mergeCell ref="N74:O74"/>
    <mergeCell ref="P74:Q74"/>
    <mergeCell ref="R74:AA74"/>
    <mergeCell ref="AB74:AD74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B82"/>
    <mergeCell ref="F82:J82"/>
    <mergeCell ref="K82:L82"/>
    <mergeCell ref="N82:O82"/>
    <mergeCell ref="P82:Q82"/>
    <mergeCell ref="R82:AA82"/>
    <mergeCell ref="AB82:AD82"/>
    <mergeCell ref="A81:B81"/>
    <mergeCell ref="F81:J81"/>
    <mergeCell ref="K81:L81"/>
    <mergeCell ref="N81:O81"/>
    <mergeCell ref="P81:Q81"/>
    <mergeCell ref="R81:AA81"/>
    <mergeCell ref="AB83:AD83"/>
    <mergeCell ref="A84:E84"/>
    <mergeCell ref="A85:B85"/>
    <mergeCell ref="F85:J85"/>
    <mergeCell ref="K85:S85"/>
    <mergeCell ref="T85:U85"/>
    <mergeCell ref="V85:W85"/>
    <mergeCell ref="X85:AD85"/>
    <mergeCell ref="A83:B83"/>
    <mergeCell ref="F83:J83"/>
    <mergeCell ref="K83:L83"/>
    <mergeCell ref="N83:O83"/>
    <mergeCell ref="P83:Q83"/>
    <mergeCell ref="R83:AA83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V92:W92"/>
    <mergeCell ref="X92:AD92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93:E93"/>
    <mergeCell ref="A94:B94"/>
    <mergeCell ref="C94:D94"/>
    <mergeCell ref="E94:J94"/>
    <mergeCell ref="K94:S94"/>
    <mergeCell ref="T94:U94"/>
    <mergeCell ref="A92:B92"/>
    <mergeCell ref="F92:J92"/>
    <mergeCell ref="K92:S92"/>
    <mergeCell ref="T92:U92"/>
    <mergeCell ref="V94:X94"/>
    <mergeCell ref="Y94:AD94"/>
    <mergeCell ref="A95:B95"/>
    <mergeCell ref="C95:D95"/>
    <mergeCell ref="E95:J95"/>
    <mergeCell ref="K95:S95"/>
    <mergeCell ref="T95:U95"/>
    <mergeCell ref="V95:X95"/>
    <mergeCell ref="Y95:AD95"/>
    <mergeCell ref="Y96:AD96"/>
    <mergeCell ref="A97:B97"/>
    <mergeCell ref="C97:D97"/>
    <mergeCell ref="E97:J97"/>
    <mergeCell ref="K97:S97"/>
    <mergeCell ref="T97:U97"/>
    <mergeCell ref="V97:X97"/>
    <mergeCell ref="Y97:AD97"/>
    <mergeCell ref="A96:B96"/>
    <mergeCell ref="C96:D96"/>
    <mergeCell ref="E96:J96"/>
    <mergeCell ref="K96:S96"/>
    <mergeCell ref="T96:U96"/>
    <mergeCell ref="V96:X9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9052-23F9-4378-8551-7F2B12E39D78}">
  <sheetPr>
    <pageSetUpPr fitToPage="1"/>
  </sheetPr>
  <dimension ref="A1:AF97"/>
  <sheetViews>
    <sheetView view="pageBreakPreview" topLeftCell="A76" zoomScale="70" zoomScaleNormal="72" zoomScaleSheetLayoutView="70" workbookViewId="0">
      <selection activeCell="A94" sqref="A94:B9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811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90" t="s">
        <v>17</v>
      </c>
      <c r="L5" s="390" t="s">
        <v>18</v>
      </c>
      <c r="M5" s="390" t="s">
        <v>19</v>
      </c>
      <c r="N5" s="39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112</v>
      </c>
      <c r="D6" s="52" t="s">
        <v>135</v>
      </c>
      <c r="E6" s="53" t="s">
        <v>739</v>
      </c>
      <c r="F6" s="30" t="s">
        <v>762</v>
      </c>
      <c r="G6" s="12">
        <v>4</v>
      </c>
      <c r="H6" s="13">
        <v>24</v>
      </c>
      <c r="I6" s="31">
        <v>59000</v>
      </c>
      <c r="J6" s="14">
        <v>9868</v>
      </c>
      <c r="K6" s="15">
        <f>L6+13484+23948</f>
        <v>47300</v>
      </c>
      <c r="L6" s="15">
        <f>2467*4</f>
        <v>9868</v>
      </c>
      <c r="M6" s="15">
        <f t="shared" ref="M6:M31" si="0">L6-N6</f>
        <v>9868</v>
      </c>
      <c r="N6" s="15">
        <v>0</v>
      </c>
      <c r="O6" s="58">
        <f t="shared" ref="O6:O32" si="1">IF(L6=0,"0",N6/L6)</f>
        <v>0</v>
      </c>
      <c r="P6" s="39">
        <f t="shared" ref="P6:P31" si="2">IF(L6=0,"0",(24-Q6))</f>
        <v>10</v>
      </c>
      <c r="Q6" s="40">
        <f t="shared" ref="Q6:Q31" si="3">SUM(R6:AA6)</f>
        <v>14</v>
      </c>
      <c r="R6" s="7"/>
      <c r="S6" s="6">
        <v>14</v>
      </c>
      <c r="T6" s="16"/>
      <c r="U6" s="16"/>
      <c r="V6" s="17"/>
      <c r="W6" s="5"/>
      <c r="X6" s="16"/>
      <c r="Y6" s="16"/>
      <c r="Z6" s="16"/>
      <c r="AA6" s="18"/>
      <c r="AB6" s="8">
        <f t="shared" ref="AB6:AB31" si="4">IF(J6=0,"0",(L6/J6))</f>
        <v>1</v>
      </c>
      <c r="AC6" s="9">
        <f t="shared" ref="AC6:AC31" si="5">IF(P6=0,"0",(P6/24))</f>
        <v>0.41666666666666669</v>
      </c>
      <c r="AD6" s="10">
        <f>AC6*AB6*(1-O6)</f>
        <v>0.41666666666666669</v>
      </c>
      <c r="AE6" s="36">
        <f t="shared" ref="AE6:AE31" si="6">$AD$32</f>
        <v>0.44070512820512825</v>
      </c>
      <c r="AF6" s="81">
        <f t="shared" ref="AF6:AF31" si="7">A6</f>
        <v>1</v>
      </c>
    </row>
    <row r="7" spans="1:32" ht="27" customHeight="1">
      <c r="A7" s="106">
        <v>2</v>
      </c>
      <c r="B7" s="11" t="s">
        <v>57</v>
      </c>
      <c r="C7" s="34" t="s">
        <v>124</v>
      </c>
      <c r="D7" s="52" t="s">
        <v>157</v>
      </c>
      <c r="E7" s="53" t="s">
        <v>649</v>
      </c>
      <c r="F7" s="30" t="s">
        <v>388</v>
      </c>
      <c r="G7" s="12">
        <v>1</v>
      </c>
      <c r="H7" s="13">
        <v>24</v>
      </c>
      <c r="I7" s="31">
        <v>40000</v>
      </c>
      <c r="J7" s="14">
        <v>3450</v>
      </c>
      <c r="K7" s="15">
        <f>L7+4743+6488+6404+6009+6055+6509</f>
        <v>39658</v>
      </c>
      <c r="L7" s="15">
        <f>315+3135</f>
        <v>3450</v>
      </c>
      <c r="M7" s="15">
        <f t="shared" si="0"/>
        <v>3450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/>
      <c r="T7" s="16"/>
      <c r="U7" s="16"/>
      <c r="V7" s="17"/>
      <c r="W7" s="5">
        <v>10</v>
      </c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ref="AD7:AD31" si="8">AC7*AB7*(1-O7)</f>
        <v>0.58333333333333337</v>
      </c>
      <c r="AE7" s="36">
        <f t="shared" si="6"/>
        <v>0.44070512820512825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116</v>
      </c>
      <c r="D8" s="52" t="s">
        <v>115</v>
      </c>
      <c r="E8" s="53" t="s">
        <v>477</v>
      </c>
      <c r="F8" s="30" t="s">
        <v>143</v>
      </c>
      <c r="G8" s="12">
        <v>1</v>
      </c>
      <c r="H8" s="13">
        <v>24</v>
      </c>
      <c r="I8" s="7">
        <v>3000</v>
      </c>
      <c r="J8" s="14">
        <v>3182</v>
      </c>
      <c r="K8" s="15">
        <f>L8</f>
        <v>3182</v>
      </c>
      <c r="L8" s="15">
        <f>730+2342+110</f>
        <v>3182</v>
      </c>
      <c r="M8" s="15">
        <f t="shared" si="0"/>
        <v>3182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8"/>
        <v>0.75</v>
      </c>
      <c r="AE8" s="36">
        <f t="shared" si="6"/>
        <v>0.44070512820512825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161</v>
      </c>
      <c r="E9" s="53" t="s">
        <v>182</v>
      </c>
      <c r="F9" s="30" t="s">
        <v>133</v>
      </c>
      <c r="G9" s="12">
        <v>1</v>
      </c>
      <c r="H9" s="13">
        <v>24</v>
      </c>
      <c r="I9" s="7">
        <v>20000</v>
      </c>
      <c r="J9" s="14">
        <v>3653</v>
      </c>
      <c r="K9" s="15">
        <f>L9+5204+5759+4449</f>
        <v>19065</v>
      </c>
      <c r="L9" s="15">
        <f>776+2877</f>
        <v>3653</v>
      </c>
      <c r="M9" s="15">
        <f t="shared" si="0"/>
        <v>3653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8"/>
        <v>0.70833333333333337</v>
      </c>
      <c r="AE9" s="36">
        <f t="shared" si="6"/>
        <v>0.44070512820512825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174</v>
      </c>
      <c r="F10" s="30" t="s">
        <v>175</v>
      </c>
      <c r="G10" s="33">
        <v>2</v>
      </c>
      <c r="H10" s="35">
        <v>24</v>
      </c>
      <c r="I10" s="7">
        <v>230000</v>
      </c>
      <c r="J10" s="14">
        <v>13190</v>
      </c>
      <c r="K10" s="15">
        <f>L10+12038+12846+12974+12804+12060+12144+13106</f>
        <v>101162</v>
      </c>
      <c r="L10" s="15">
        <f>3439*2+3156*2</f>
        <v>13190</v>
      </c>
      <c r="M10" s="15">
        <f t="shared" si="0"/>
        <v>13190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0.44070512820512825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135</v>
      </c>
      <c r="E11" s="53" t="s">
        <v>786</v>
      </c>
      <c r="F11" s="30" t="s">
        <v>176</v>
      </c>
      <c r="G11" s="33" t="s">
        <v>787</v>
      </c>
      <c r="H11" s="35">
        <v>24</v>
      </c>
      <c r="I11" s="7">
        <v>12000</v>
      </c>
      <c r="J11" s="14">
        <v>5755</v>
      </c>
      <c r="K11" s="15">
        <f>L11+4643</f>
        <v>10398</v>
      </c>
      <c r="L11" s="15">
        <f>3028+2727</f>
        <v>5755</v>
      </c>
      <c r="M11" s="15">
        <f t="shared" si="0"/>
        <v>5755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0.44070512820512825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9894</v>
      </c>
      <c r="K12" s="15">
        <f>L12+9010+9624+9178+9374+9224+9780+9636+9016+9380+9816</f>
        <v>103932</v>
      </c>
      <c r="L12" s="15">
        <f>2585*2+2362*2</f>
        <v>9894</v>
      </c>
      <c r="M12" s="15">
        <f t="shared" si="0"/>
        <v>9894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0.44070512820512825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34" t="s">
        <v>112</v>
      </c>
      <c r="D13" s="52" t="s">
        <v>115</v>
      </c>
      <c r="E13" s="53" t="s">
        <v>593</v>
      </c>
      <c r="F13" s="30" t="s">
        <v>360</v>
      </c>
      <c r="G13" s="12">
        <v>2</v>
      </c>
      <c r="H13" s="13">
        <v>22</v>
      </c>
      <c r="I13" s="31">
        <v>61000</v>
      </c>
      <c r="J13" s="5">
        <v>11884</v>
      </c>
      <c r="K13" s="15">
        <f>L13+4420+2978+11134+10824+11094+11678</f>
        <v>64012</v>
      </c>
      <c r="L13" s="15">
        <f>3106*2+2836*2</f>
        <v>11884</v>
      </c>
      <c r="M13" s="15">
        <f t="shared" si="0"/>
        <v>11884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0.44070512820512825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243</v>
      </c>
      <c r="D14" s="52" t="s">
        <v>115</v>
      </c>
      <c r="E14" s="53" t="s">
        <v>740</v>
      </c>
      <c r="F14" s="30" t="s">
        <v>143</v>
      </c>
      <c r="G14" s="33">
        <v>1</v>
      </c>
      <c r="H14" s="35">
        <v>50</v>
      </c>
      <c r="I14" s="7">
        <v>1500</v>
      </c>
      <c r="J14" s="5">
        <v>203</v>
      </c>
      <c r="K14" s="15">
        <f>L14+329+146</f>
        <v>678</v>
      </c>
      <c r="L14" s="15">
        <v>203</v>
      </c>
      <c r="M14" s="15">
        <f t="shared" si="0"/>
        <v>203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>
        <v>19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8"/>
        <v>0.20833333333333334</v>
      </c>
      <c r="AE14" s="36">
        <f t="shared" si="6"/>
        <v>0.44070512820512825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482</v>
      </c>
      <c r="E15" s="53" t="s">
        <v>741</v>
      </c>
      <c r="F15" s="30" t="s">
        <v>136</v>
      </c>
      <c r="G15" s="12">
        <v>1</v>
      </c>
      <c r="H15" s="13">
        <v>24</v>
      </c>
      <c r="I15" s="31">
        <v>7000</v>
      </c>
      <c r="J15" s="14">
        <v>16944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0.44070512820512825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243</v>
      </c>
      <c r="D16" s="52" t="s">
        <v>135</v>
      </c>
      <c r="E16" s="53" t="s">
        <v>812</v>
      </c>
      <c r="F16" s="30" t="s">
        <v>143</v>
      </c>
      <c r="G16" s="12">
        <v>1</v>
      </c>
      <c r="H16" s="13">
        <v>22</v>
      </c>
      <c r="I16" s="31">
        <v>500</v>
      </c>
      <c r="J16" s="5">
        <v>1317</v>
      </c>
      <c r="K16" s="15">
        <f>L16</f>
        <v>1317</v>
      </c>
      <c r="L16" s="15">
        <f>1317</f>
        <v>1317</v>
      </c>
      <c r="M16" s="15">
        <f t="shared" si="0"/>
        <v>1317</v>
      </c>
      <c r="N16" s="15">
        <v>0</v>
      </c>
      <c r="O16" s="58">
        <f t="shared" si="1"/>
        <v>0</v>
      </c>
      <c r="P16" s="39">
        <f t="shared" si="2"/>
        <v>7</v>
      </c>
      <c r="Q16" s="40">
        <f t="shared" si="3"/>
        <v>17</v>
      </c>
      <c r="R16" s="7"/>
      <c r="S16" s="6"/>
      <c r="T16" s="16"/>
      <c r="U16" s="16"/>
      <c r="V16" s="17"/>
      <c r="W16" s="5">
        <v>17</v>
      </c>
      <c r="X16" s="16"/>
      <c r="Y16" s="16"/>
      <c r="Z16" s="16"/>
      <c r="AA16" s="18"/>
      <c r="AB16" s="8">
        <f t="shared" si="4"/>
        <v>1</v>
      </c>
      <c r="AC16" s="9">
        <f t="shared" si="5"/>
        <v>0.29166666666666669</v>
      </c>
      <c r="AD16" s="10">
        <f t="shared" si="8"/>
        <v>0.29166666666666669</v>
      </c>
      <c r="AE16" s="36">
        <f t="shared" si="6"/>
        <v>0.44070512820512825</v>
      </c>
      <c r="AF16" s="81">
        <f t="shared" si="7"/>
        <v>11</v>
      </c>
    </row>
    <row r="17" spans="1:32" ht="27" customHeight="1">
      <c r="A17" s="92">
        <v>11</v>
      </c>
      <c r="B17" s="11" t="s">
        <v>57</v>
      </c>
      <c r="C17" s="34" t="s">
        <v>116</v>
      </c>
      <c r="D17" s="52" t="s">
        <v>142</v>
      </c>
      <c r="E17" s="53" t="s">
        <v>813</v>
      </c>
      <c r="F17" s="30" t="s">
        <v>143</v>
      </c>
      <c r="G17" s="12">
        <v>1</v>
      </c>
      <c r="H17" s="13">
        <v>22</v>
      </c>
      <c r="I17" s="31">
        <v>2500</v>
      </c>
      <c r="J17" s="5">
        <v>3539</v>
      </c>
      <c r="K17" s="15">
        <f>L17</f>
        <v>3539</v>
      </c>
      <c r="L17" s="15">
        <f>482+3057</f>
        <v>3539</v>
      </c>
      <c r="M17" s="15">
        <f t="shared" si="0"/>
        <v>3539</v>
      </c>
      <c r="N17" s="15">
        <v>0</v>
      </c>
      <c r="O17" s="58">
        <f t="shared" si="1"/>
        <v>0</v>
      </c>
      <c r="P17" s="39">
        <f t="shared" si="2"/>
        <v>15</v>
      </c>
      <c r="Q17" s="40">
        <f t="shared" si="3"/>
        <v>9</v>
      </c>
      <c r="R17" s="7"/>
      <c r="S17" s="6"/>
      <c r="T17" s="16">
        <v>9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0.625</v>
      </c>
      <c r="AD17" s="10">
        <f t="shared" si="8"/>
        <v>0.625</v>
      </c>
      <c r="AE17" s="36">
        <f t="shared" si="6"/>
        <v>0.44070512820512825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164</v>
      </c>
      <c r="D18" s="52"/>
      <c r="E18" s="53" t="s">
        <v>644</v>
      </c>
      <c r="F18" s="30" t="s">
        <v>156</v>
      </c>
      <c r="G18" s="12">
        <v>1</v>
      </c>
      <c r="H18" s="13">
        <v>24</v>
      </c>
      <c r="I18" s="7">
        <v>5800</v>
      </c>
      <c r="J18" s="14">
        <v>5064</v>
      </c>
      <c r="K18" s="15">
        <f>L18+4507+5064</f>
        <v>9571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0.44070512820512825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121</v>
      </c>
      <c r="E19" s="53" t="s">
        <v>713</v>
      </c>
      <c r="F19" s="30" t="s">
        <v>437</v>
      </c>
      <c r="G19" s="12">
        <v>1</v>
      </c>
      <c r="H19" s="13">
        <v>22</v>
      </c>
      <c r="I19" s="31">
        <v>500</v>
      </c>
      <c r="J19" s="5">
        <v>750</v>
      </c>
      <c r="K19" s="15">
        <f>L19</f>
        <v>750</v>
      </c>
      <c r="L19" s="15">
        <v>750</v>
      </c>
      <c r="M19" s="15">
        <f t="shared" ref="M19" si="9">L19-N19</f>
        <v>750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5</v>
      </c>
      <c r="Q19" s="40">
        <f t="shared" ref="Q19" si="12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6">
        <f t="shared" si="6"/>
        <v>0.44070512820512825</v>
      </c>
      <c r="AF19" s="81">
        <f t="shared" ref="AF19" si="16">A19</f>
        <v>13</v>
      </c>
    </row>
    <row r="20" spans="1:32" ht="27" customHeight="1">
      <c r="A20" s="92">
        <v>13</v>
      </c>
      <c r="B20" s="11" t="s">
        <v>57</v>
      </c>
      <c r="C20" s="34" t="s">
        <v>116</v>
      </c>
      <c r="D20" s="52" t="s">
        <v>121</v>
      </c>
      <c r="E20" s="53" t="s">
        <v>814</v>
      </c>
      <c r="F20" s="30" t="s">
        <v>437</v>
      </c>
      <c r="G20" s="12">
        <v>1</v>
      </c>
      <c r="H20" s="13">
        <v>22</v>
      </c>
      <c r="I20" s="31">
        <v>2500</v>
      </c>
      <c r="J20" s="5">
        <v>3387</v>
      </c>
      <c r="K20" s="15">
        <f>L20</f>
        <v>3387</v>
      </c>
      <c r="L20" s="15">
        <f>689+2698</f>
        <v>3387</v>
      </c>
      <c r="M20" s="15">
        <f t="shared" si="0"/>
        <v>3387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/>
      <c r="T20" s="16">
        <v>8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 t="shared" si="8"/>
        <v>0.66666666666666663</v>
      </c>
      <c r="AE20" s="36">
        <f t="shared" si="6"/>
        <v>0.44070512820512825</v>
      </c>
      <c r="AF20" s="81">
        <f t="shared" si="7"/>
        <v>13</v>
      </c>
    </row>
    <row r="21" spans="1:32" ht="27" customHeight="1">
      <c r="A21" s="92">
        <v>14</v>
      </c>
      <c r="B21" s="11" t="s">
        <v>57</v>
      </c>
      <c r="C21" s="11" t="s">
        <v>112</v>
      </c>
      <c r="D21" s="52" t="s">
        <v>144</v>
      </c>
      <c r="E21" s="53" t="s">
        <v>747</v>
      </c>
      <c r="F21" s="30" t="s">
        <v>122</v>
      </c>
      <c r="G21" s="33">
        <v>4</v>
      </c>
      <c r="H21" s="35">
        <v>24</v>
      </c>
      <c r="I21" s="7">
        <v>61000</v>
      </c>
      <c r="J21" s="14">
        <v>23704</v>
      </c>
      <c r="K21" s="15">
        <f>L21+21576+23388</f>
        <v>68668</v>
      </c>
      <c r="L21" s="15">
        <f>3093*4+2833*4</f>
        <v>23704</v>
      </c>
      <c r="M21" s="15">
        <f t="shared" si="0"/>
        <v>23704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0.44070512820512825</v>
      </c>
      <c r="AF21" s="81">
        <f t="shared" si="7"/>
        <v>14</v>
      </c>
    </row>
    <row r="22" spans="1:32" ht="27" customHeight="1">
      <c r="A22" s="106">
        <v>15</v>
      </c>
      <c r="B22" s="11" t="s">
        <v>57</v>
      </c>
      <c r="C22" s="11" t="s">
        <v>116</v>
      </c>
      <c r="D22" s="52" t="s">
        <v>142</v>
      </c>
      <c r="E22" s="53" t="s">
        <v>232</v>
      </c>
      <c r="F22" s="30" t="s">
        <v>176</v>
      </c>
      <c r="G22" s="33">
        <v>1</v>
      </c>
      <c r="H22" s="35">
        <v>24</v>
      </c>
      <c r="I22" s="7">
        <v>37000</v>
      </c>
      <c r="J22" s="14">
        <v>5595</v>
      </c>
      <c r="K22" s="15">
        <f>L22+4347+5077+2902+5541</f>
        <v>23462</v>
      </c>
      <c r="L22" s="15">
        <f>2929+2666</f>
        <v>5595</v>
      </c>
      <c r="M22" s="15">
        <f t="shared" si="0"/>
        <v>5595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0.44070512820512825</v>
      </c>
      <c r="AF22" s="81">
        <f t="shared" si="7"/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766</v>
      </c>
      <c r="F23" s="12" t="s">
        <v>114</v>
      </c>
      <c r="G23" s="12">
        <v>4</v>
      </c>
      <c r="H23" s="35">
        <v>20</v>
      </c>
      <c r="I23" s="7">
        <v>2000000</v>
      </c>
      <c r="J23" s="14">
        <v>54940</v>
      </c>
      <c r="K23" s="15">
        <f>L23+42564+54464</f>
        <v>151968</v>
      </c>
      <c r="L23" s="15">
        <f>7188*4+6547*4</f>
        <v>54940</v>
      </c>
      <c r="M23" s="15">
        <f t="shared" si="0"/>
        <v>54940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0.44070512820512825</v>
      </c>
      <c r="AF23" s="81">
        <f t="shared" si="7"/>
        <v>16</v>
      </c>
    </row>
    <row r="24" spans="1:32" ht="26.25" customHeight="1">
      <c r="A24" s="115">
        <v>17</v>
      </c>
      <c r="B24" s="11" t="s">
        <v>57</v>
      </c>
      <c r="C24" s="11"/>
      <c r="D24" s="52"/>
      <c r="E24" s="53"/>
      <c r="F24" s="12"/>
      <c r="G24" s="12"/>
      <c r="H24" s="35"/>
      <c r="I24" s="7">
        <v>0</v>
      </c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0.44070512820512825</v>
      </c>
      <c r="AF24" s="81">
        <f t="shared" si="7"/>
        <v>17</v>
      </c>
    </row>
    <row r="25" spans="1:32" ht="26.25" customHeight="1">
      <c r="A25" s="115">
        <v>18</v>
      </c>
      <c r="B25" s="11" t="s">
        <v>57</v>
      </c>
      <c r="C25" s="11" t="s">
        <v>116</v>
      </c>
      <c r="D25" s="52" t="s">
        <v>152</v>
      </c>
      <c r="E25" s="53" t="s">
        <v>166</v>
      </c>
      <c r="F25" s="12" t="s">
        <v>153</v>
      </c>
      <c r="G25" s="12">
        <v>4</v>
      </c>
      <c r="H25" s="35">
        <v>15</v>
      </c>
      <c r="I25" s="7">
        <v>20000</v>
      </c>
      <c r="J25" s="14">
        <v>24024</v>
      </c>
      <c r="K25" s="15">
        <f>L25+14040+7084+2888+25304+4864+24024</f>
        <v>78204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/>
      <c r="X25" s="16"/>
      <c r="Y25" s="16"/>
      <c r="Z25" s="16"/>
      <c r="AA25" s="18">
        <v>24</v>
      </c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0.44070512820512825</v>
      </c>
      <c r="AF25" s="81">
        <f t="shared" si="7"/>
        <v>18</v>
      </c>
    </row>
    <row r="26" spans="1:32" ht="21.75" customHeight="1">
      <c r="A26" s="92">
        <v>31</v>
      </c>
      <c r="B26" s="11" t="s">
        <v>57</v>
      </c>
      <c r="C26" s="11" t="s">
        <v>116</v>
      </c>
      <c r="D26" s="52" t="s">
        <v>115</v>
      </c>
      <c r="E26" s="53" t="s">
        <v>139</v>
      </c>
      <c r="F26" s="12" t="s">
        <v>133</v>
      </c>
      <c r="G26" s="12">
        <v>4</v>
      </c>
      <c r="H26" s="35">
        <v>20</v>
      </c>
      <c r="I26" s="7">
        <v>100000</v>
      </c>
      <c r="J26" s="14">
        <v>1872</v>
      </c>
      <c r="K26" s="15">
        <f>L26+1872+6880</f>
        <v>8752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0.44070512820512825</v>
      </c>
      <c r="AF26" s="81">
        <f t="shared" si="7"/>
        <v>31</v>
      </c>
    </row>
    <row r="27" spans="1:32" ht="21.75" customHeight="1">
      <c r="A27" s="92">
        <v>32</v>
      </c>
      <c r="B27" s="11" t="s">
        <v>57</v>
      </c>
      <c r="C27" s="11" t="s">
        <v>150</v>
      </c>
      <c r="D27" s="52"/>
      <c r="E27" s="53" t="s">
        <v>149</v>
      </c>
      <c r="F27" s="12" t="s">
        <v>151</v>
      </c>
      <c r="G27" s="12">
        <v>30</v>
      </c>
      <c r="H27" s="35">
        <v>20</v>
      </c>
      <c r="I27" s="7">
        <v>2000000</v>
      </c>
      <c r="J27" s="14">
        <v>189476</v>
      </c>
      <c r="K27" s="15">
        <f>L27+322260+481964+478184+484736+189476</f>
        <v>1956620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7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0.44070512820512825</v>
      </c>
      <c r="AF27" s="81">
        <f t="shared" si="7"/>
        <v>32</v>
      </c>
    </row>
    <row r="28" spans="1:32" ht="21.75" customHeight="1">
      <c r="A28" s="92">
        <v>33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133</v>
      </c>
      <c r="G28" s="12">
        <v>4</v>
      </c>
      <c r="H28" s="35">
        <v>20</v>
      </c>
      <c r="I28" s="7">
        <f>180000+150000</f>
        <v>330000</v>
      </c>
      <c r="J28" s="14">
        <v>22760</v>
      </c>
      <c r="K28" s="15">
        <f>L28+20480+24108+23840+23940+22144+18434+21892+23604+20052+19824+24080+22760</f>
        <v>265158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0.44070512820512825</v>
      </c>
      <c r="AF28" s="81">
        <f t="shared" si="7"/>
        <v>33</v>
      </c>
    </row>
    <row r="29" spans="1:32" ht="21.75" customHeight="1">
      <c r="A29" s="92">
        <v>34</v>
      </c>
      <c r="B29" s="11" t="s">
        <v>57</v>
      </c>
      <c r="C29" s="11" t="s">
        <v>116</v>
      </c>
      <c r="D29" s="52" t="s">
        <v>157</v>
      </c>
      <c r="E29" s="53" t="s">
        <v>170</v>
      </c>
      <c r="F29" s="12" t="s">
        <v>123</v>
      </c>
      <c r="G29" s="12">
        <v>4</v>
      </c>
      <c r="H29" s="35">
        <v>20</v>
      </c>
      <c r="I29" s="7">
        <f t="shared" ref="I29:I30" si="17">180000+150000</f>
        <v>330000</v>
      </c>
      <c r="J29" s="14">
        <v>23324</v>
      </c>
      <c r="K29" s="15">
        <f>L29+22128+27588+27392+27540+25512+23844+27296+27604+27180+23324</f>
        <v>259408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0.44070512820512825</v>
      </c>
      <c r="AF29" s="81">
        <f t="shared" si="7"/>
        <v>34</v>
      </c>
    </row>
    <row r="30" spans="1:32" ht="21.75" customHeight="1">
      <c r="A30" s="92">
        <v>35</v>
      </c>
      <c r="B30" s="11" t="s">
        <v>57</v>
      </c>
      <c r="C30" s="11" t="s">
        <v>116</v>
      </c>
      <c r="D30" s="52" t="s">
        <v>121</v>
      </c>
      <c r="E30" s="53" t="s">
        <v>171</v>
      </c>
      <c r="F30" s="12" t="s">
        <v>123</v>
      </c>
      <c r="G30" s="12">
        <v>4</v>
      </c>
      <c r="H30" s="35">
        <v>20</v>
      </c>
      <c r="I30" s="7">
        <f t="shared" si="17"/>
        <v>330000</v>
      </c>
      <c r="J30" s="14">
        <v>25000</v>
      </c>
      <c r="K30" s="15">
        <f>L30+18992+29436+29448+29672+26652+25912+29256+29552+29404+25000</f>
        <v>273324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/>
      <c r="W30" s="5">
        <v>24</v>
      </c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0.44070512820512825</v>
      </c>
      <c r="AF30" s="81">
        <f t="shared" si="7"/>
        <v>35</v>
      </c>
    </row>
    <row r="31" spans="1:32" ht="21.75" customHeight="1" thickBot="1">
      <c r="A31" s="92">
        <v>36</v>
      </c>
      <c r="B31" s="11" t="s">
        <v>57</v>
      </c>
      <c r="C31" s="11" t="s">
        <v>113</v>
      </c>
      <c r="D31" s="52"/>
      <c r="E31" s="53" t="s">
        <v>140</v>
      </c>
      <c r="F31" s="12" t="s">
        <v>114</v>
      </c>
      <c r="G31" s="12">
        <v>4</v>
      </c>
      <c r="H31" s="35">
        <v>20</v>
      </c>
      <c r="I31" s="7">
        <v>1000000</v>
      </c>
      <c r="J31" s="14">
        <v>79328</v>
      </c>
      <c r="K31" s="15">
        <f>L31+28388+70816+76368+81764+83428+47688+53180+83092+82192+79328</f>
        <v>686244</v>
      </c>
      <c r="L31" s="15"/>
      <c r="M31" s="15">
        <f t="shared" si="0"/>
        <v>0</v>
      </c>
      <c r="N31" s="15">
        <v>0</v>
      </c>
      <c r="O31" s="58" t="str">
        <f t="shared" si="1"/>
        <v>0</v>
      </c>
      <c r="P31" s="39" t="str">
        <f t="shared" si="2"/>
        <v>0</v>
      </c>
      <c r="Q31" s="40">
        <f t="shared" si="3"/>
        <v>24</v>
      </c>
      <c r="R31" s="7"/>
      <c r="S31" s="6"/>
      <c r="T31" s="16"/>
      <c r="U31" s="16"/>
      <c r="V31" s="114">
        <v>24</v>
      </c>
      <c r="W31" s="5"/>
      <c r="X31" s="16"/>
      <c r="Y31" s="16"/>
      <c r="Z31" s="16"/>
      <c r="AA31" s="18"/>
      <c r="AB31" s="8">
        <f t="shared" si="4"/>
        <v>0</v>
      </c>
      <c r="AC31" s="9">
        <f t="shared" si="5"/>
        <v>0</v>
      </c>
      <c r="AD31" s="10">
        <f t="shared" si="8"/>
        <v>0</v>
      </c>
      <c r="AE31" s="36">
        <f t="shared" si="6"/>
        <v>0.44070512820512825</v>
      </c>
      <c r="AF31" s="81">
        <f t="shared" si="7"/>
        <v>36</v>
      </c>
    </row>
    <row r="32" spans="1:32" ht="19.5" thickBot="1">
      <c r="A32" s="420" t="s">
        <v>34</v>
      </c>
      <c r="B32" s="421"/>
      <c r="C32" s="421"/>
      <c r="D32" s="421"/>
      <c r="E32" s="421"/>
      <c r="F32" s="421"/>
      <c r="G32" s="421"/>
      <c r="H32" s="422"/>
      <c r="I32" s="22">
        <f t="shared" ref="I32:N32" si="18">SUM(I6:I31)</f>
        <v>6883300</v>
      </c>
      <c r="J32" s="19">
        <f t="shared" si="18"/>
        <v>542103</v>
      </c>
      <c r="K32" s="20">
        <f t="shared" si="18"/>
        <v>4179759</v>
      </c>
      <c r="L32" s="21">
        <f t="shared" si="18"/>
        <v>154311</v>
      </c>
      <c r="M32" s="20">
        <f t="shared" si="18"/>
        <v>154311</v>
      </c>
      <c r="N32" s="21">
        <f t="shared" si="18"/>
        <v>0</v>
      </c>
      <c r="O32" s="41">
        <f t="shared" si="1"/>
        <v>0</v>
      </c>
      <c r="P32" s="42">
        <f t="shared" ref="P32:AA32" si="19">SUM(P6:P31)</f>
        <v>275</v>
      </c>
      <c r="Q32" s="43">
        <f t="shared" si="19"/>
        <v>349</v>
      </c>
      <c r="R32" s="23">
        <f t="shared" si="19"/>
        <v>0</v>
      </c>
      <c r="S32" s="24">
        <f t="shared" si="19"/>
        <v>70</v>
      </c>
      <c r="T32" s="24">
        <f t="shared" si="19"/>
        <v>17</v>
      </c>
      <c r="U32" s="24">
        <f t="shared" si="19"/>
        <v>0</v>
      </c>
      <c r="V32" s="25">
        <f t="shared" si="19"/>
        <v>48</v>
      </c>
      <c r="W32" s="26">
        <f t="shared" si="19"/>
        <v>190</v>
      </c>
      <c r="X32" s="27">
        <f t="shared" si="19"/>
        <v>0</v>
      </c>
      <c r="Y32" s="27">
        <f t="shared" si="19"/>
        <v>0</v>
      </c>
      <c r="Z32" s="27">
        <f t="shared" si="19"/>
        <v>0</v>
      </c>
      <c r="AA32" s="27">
        <f t="shared" si="19"/>
        <v>24</v>
      </c>
      <c r="AB32" s="28">
        <f>AVERAGE(AB6:AB31)</f>
        <v>0.64</v>
      </c>
      <c r="AC32" s="4">
        <f>AVERAGE(AC6:AC31)</f>
        <v>0.44070512820512825</v>
      </c>
      <c r="AD32" s="4">
        <f>AVERAGE(AD6:AD31)</f>
        <v>0.44070512820512825</v>
      </c>
      <c r="AE32" s="29"/>
    </row>
    <row r="33" spans="1:32">
      <c r="T33" s="50" t="s">
        <v>125</v>
      </c>
    </row>
    <row r="34" spans="1:32" ht="18.75">
      <c r="A34" s="2"/>
      <c r="B34" s="2" t="s">
        <v>35</v>
      </c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 t="s">
        <v>36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1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 t="s">
        <v>126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82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7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7.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12" customHeight="1">
      <c r="A49" s="59"/>
      <c r="B49" s="59"/>
      <c r="C49" s="59"/>
      <c r="D49" s="59"/>
      <c r="E49" s="59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F49" s="50"/>
    </row>
    <row r="50" spans="1:32" ht="12" customHeight="1">
      <c r="A50" s="60"/>
      <c r="B50" s="60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2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2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36" thickBot="1">
      <c r="A59" s="484" t="s">
        <v>45</v>
      </c>
      <c r="B59" s="484"/>
      <c r="C59" s="484"/>
      <c r="D59" s="484"/>
      <c r="E59" s="484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26.25" thickBot="1">
      <c r="A60" s="424" t="s">
        <v>815</v>
      </c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6"/>
      <c r="N60" s="427" t="s">
        <v>823</v>
      </c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9"/>
    </row>
    <row r="61" spans="1:32" ht="27" customHeight="1">
      <c r="A61" s="430" t="s">
        <v>2</v>
      </c>
      <c r="B61" s="431"/>
      <c r="C61" s="389" t="s">
        <v>46</v>
      </c>
      <c r="D61" s="389" t="s">
        <v>47</v>
      </c>
      <c r="E61" s="389" t="s">
        <v>107</v>
      </c>
      <c r="F61" s="432" t="s">
        <v>106</v>
      </c>
      <c r="G61" s="433"/>
      <c r="H61" s="433"/>
      <c r="I61" s="433"/>
      <c r="J61" s="433"/>
      <c r="K61" s="433"/>
      <c r="L61" s="433"/>
      <c r="M61" s="434"/>
      <c r="N61" s="67" t="s">
        <v>110</v>
      </c>
      <c r="O61" s="389" t="s">
        <v>46</v>
      </c>
      <c r="P61" s="432" t="s">
        <v>47</v>
      </c>
      <c r="Q61" s="435"/>
      <c r="R61" s="432" t="s">
        <v>38</v>
      </c>
      <c r="S61" s="433"/>
      <c r="T61" s="433"/>
      <c r="U61" s="435"/>
      <c r="V61" s="432" t="s">
        <v>48</v>
      </c>
      <c r="W61" s="433"/>
      <c r="X61" s="433"/>
      <c r="Y61" s="433"/>
      <c r="Z61" s="433"/>
      <c r="AA61" s="433"/>
      <c r="AB61" s="433"/>
      <c r="AC61" s="433"/>
      <c r="AD61" s="434"/>
    </row>
    <row r="62" spans="1:32" ht="27" customHeight="1">
      <c r="A62" s="446" t="s">
        <v>116</v>
      </c>
      <c r="B62" s="447"/>
      <c r="C62" s="385" t="s">
        <v>138</v>
      </c>
      <c r="D62" s="385" t="s">
        <v>161</v>
      </c>
      <c r="E62" s="386" t="s">
        <v>182</v>
      </c>
      <c r="F62" s="448" t="s">
        <v>248</v>
      </c>
      <c r="G62" s="449"/>
      <c r="H62" s="449"/>
      <c r="I62" s="449"/>
      <c r="J62" s="449"/>
      <c r="K62" s="449"/>
      <c r="L62" s="449"/>
      <c r="M62" s="450"/>
      <c r="N62" s="116" t="s">
        <v>243</v>
      </c>
      <c r="O62" s="383" t="s">
        <v>159</v>
      </c>
      <c r="P62" s="451" t="s">
        <v>115</v>
      </c>
      <c r="Q62" s="452"/>
      <c r="R62" s="451" t="s">
        <v>740</v>
      </c>
      <c r="S62" s="453"/>
      <c r="T62" s="453"/>
      <c r="U62" s="452"/>
      <c r="V62" s="454" t="s">
        <v>137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116</v>
      </c>
      <c r="B63" s="447"/>
      <c r="C63" s="385" t="s">
        <v>141</v>
      </c>
      <c r="D63" s="385" t="s">
        <v>115</v>
      </c>
      <c r="E63" s="386" t="s">
        <v>816</v>
      </c>
      <c r="F63" s="448" t="s">
        <v>146</v>
      </c>
      <c r="G63" s="449"/>
      <c r="H63" s="449"/>
      <c r="I63" s="449"/>
      <c r="J63" s="449"/>
      <c r="K63" s="449"/>
      <c r="L63" s="449"/>
      <c r="M63" s="450"/>
      <c r="N63" s="116" t="s">
        <v>243</v>
      </c>
      <c r="O63" s="399" t="s">
        <v>443</v>
      </c>
      <c r="P63" s="451" t="s">
        <v>115</v>
      </c>
      <c r="Q63" s="452"/>
      <c r="R63" s="451" t="s">
        <v>803</v>
      </c>
      <c r="S63" s="453"/>
      <c r="T63" s="453"/>
      <c r="U63" s="452"/>
      <c r="V63" s="454" t="s">
        <v>137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243</v>
      </c>
      <c r="B64" s="447"/>
      <c r="C64" s="385" t="s">
        <v>159</v>
      </c>
      <c r="D64" s="385" t="s">
        <v>115</v>
      </c>
      <c r="E64" s="386" t="s">
        <v>740</v>
      </c>
      <c r="F64" s="448" t="s">
        <v>201</v>
      </c>
      <c r="G64" s="449"/>
      <c r="H64" s="449"/>
      <c r="I64" s="449"/>
      <c r="J64" s="449"/>
      <c r="K64" s="449"/>
      <c r="L64" s="449"/>
      <c r="M64" s="450"/>
      <c r="N64" s="116" t="s">
        <v>825</v>
      </c>
      <c r="O64" s="383" t="s">
        <v>826</v>
      </c>
      <c r="P64" s="451" t="s">
        <v>827</v>
      </c>
      <c r="Q64" s="452"/>
      <c r="R64" s="451" t="s">
        <v>824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243</v>
      </c>
      <c r="B65" s="447"/>
      <c r="C65" s="385" t="s">
        <v>790</v>
      </c>
      <c r="D65" s="385" t="s">
        <v>115</v>
      </c>
      <c r="E65" s="386" t="s">
        <v>803</v>
      </c>
      <c r="F65" s="448" t="s">
        <v>660</v>
      </c>
      <c r="G65" s="449"/>
      <c r="H65" s="449"/>
      <c r="I65" s="449"/>
      <c r="J65" s="449"/>
      <c r="K65" s="449"/>
      <c r="L65" s="449"/>
      <c r="M65" s="450"/>
      <c r="N65" s="116" t="s">
        <v>825</v>
      </c>
      <c r="O65" s="383" t="s">
        <v>819</v>
      </c>
      <c r="P65" s="451" t="s">
        <v>115</v>
      </c>
      <c r="Q65" s="452"/>
      <c r="R65" s="451" t="s">
        <v>828</v>
      </c>
      <c r="S65" s="453"/>
      <c r="T65" s="453"/>
      <c r="U65" s="452"/>
      <c r="V65" s="454" t="s">
        <v>146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243</v>
      </c>
      <c r="B66" s="447"/>
      <c r="C66" s="393" t="s">
        <v>443</v>
      </c>
      <c r="D66" s="393" t="s">
        <v>135</v>
      </c>
      <c r="E66" s="394" t="s">
        <v>812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 t="s">
        <v>830</v>
      </c>
      <c r="O66" s="383" t="s">
        <v>831</v>
      </c>
      <c r="P66" s="451" t="s">
        <v>115</v>
      </c>
      <c r="Q66" s="452"/>
      <c r="R66" s="451" t="s">
        <v>829</v>
      </c>
      <c r="S66" s="453"/>
      <c r="T66" s="453"/>
      <c r="U66" s="452"/>
      <c r="V66" s="454" t="s">
        <v>146</v>
      </c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116</v>
      </c>
      <c r="B67" s="447"/>
      <c r="C67" s="385" t="s">
        <v>443</v>
      </c>
      <c r="D67" s="385" t="s">
        <v>142</v>
      </c>
      <c r="E67" s="386" t="s">
        <v>817</v>
      </c>
      <c r="F67" s="448" t="s">
        <v>146</v>
      </c>
      <c r="G67" s="449"/>
      <c r="H67" s="449"/>
      <c r="I67" s="449"/>
      <c r="J67" s="449"/>
      <c r="K67" s="449"/>
      <c r="L67" s="449"/>
      <c r="M67" s="450"/>
      <c r="N67" s="116" t="s">
        <v>825</v>
      </c>
      <c r="O67" s="383" t="s">
        <v>833</v>
      </c>
      <c r="P67" s="451" t="s">
        <v>834</v>
      </c>
      <c r="Q67" s="452"/>
      <c r="R67" s="451" t="s">
        <v>832</v>
      </c>
      <c r="S67" s="453"/>
      <c r="T67" s="453"/>
      <c r="U67" s="452"/>
      <c r="V67" s="454" t="s">
        <v>137</v>
      </c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 t="s">
        <v>116</v>
      </c>
      <c r="B68" s="447"/>
      <c r="C68" s="385" t="s">
        <v>819</v>
      </c>
      <c r="D68" s="385" t="s">
        <v>820</v>
      </c>
      <c r="E68" s="386" t="s">
        <v>818</v>
      </c>
      <c r="F68" s="448" t="s">
        <v>146</v>
      </c>
      <c r="G68" s="449"/>
      <c r="H68" s="449"/>
      <c r="I68" s="449"/>
      <c r="J68" s="449"/>
      <c r="K68" s="449"/>
      <c r="L68" s="449"/>
      <c r="M68" s="450"/>
      <c r="N68" s="116"/>
      <c r="O68" s="383"/>
      <c r="P68" s="451"/>
      <c r="Q68" s="452"/>
      <c r="R68" s="451"/>
      <c r="S68" s="453"/>
      <c r="T68" s="453"/>
      <c r="U68" s="452"/>
      <c r="V68" s="454"/>
      <c r="W68" s="455"/>
      <c r="X68" s="455"/>
      <c r="Y68" s="455"/>
      <c r="Z68" s="455"/>
      <c r="AA68" s="455"/>
      <c r="AB68" s="455"/>
      <c r="AC68" s="455"/>
      <c r="AD68" s="456"/>
    </row>
    <row r="69" spans="1:32" ht="27" customHeight="1">
      <c r="A69" s="446" t="s">
        <v>116</v>
      </c>
      <c r="B69" s="447"/>
      <c r="C69" s="385" t="s">
        <v>822</v>
      </c>
      <c r="D69" s="385" t="s">
        <v>820</v>
      </c>
      <c r="E69" s="386" t="s">
        <v>821</v>
      </c>
      <c r="F69" s="448" t="s">
        <v>146</v>
      </c>
      <c r="G69" s="449"/>
      <c r="H69" s="449"/>
      <c r="I69" s="449"/>
      <c r="J69" s="449"/>
      <c r="K69" s="449"/>
      <c r="L69" s="449"/>
      <c r="M69" s="450"/>
      <c r="N69" s="116"/>
      <c r="O69" s="383"/>
      <c r="P69" s="451"/>
      <c r="Q69" s="452"/>
      <c r="R69" s="451"/>
      <c r="S69" s="453"/>
      <c r="T69" s="453"/>
      <c r="U69" s="452"/>
      <c r="V69" s="454"/>
      <c r="W69" s="455"/>
      <c r="X69" s="455"/>
      <c r="Y69" s="455"/>
      <c r="Z69" s="455"/>
      <c r="AA69" s="455"/>
      <c r="AB69" s="455"/>
      <c r="AC69" s="455"/>
      <c r="AD69" s="456"/>
    </row>
    <row r="70" spans="1:32" ht="27" customHeight="1">
      <c r="A70" s="446"/>
      <c r="B70" s="447"/>
      <c r="C70" s="385"/>
      <c r="D70" s="385"/>
      <c r="E70" s="386"/>
      <c r="F70" s="448"/>
      <c r="G70" s="449"/>
      <c r="H70" s="449"/>
      <c r="I70" s="449"/>
      <c r="J70" s="449"/>
      <c r="K70" s="449"/>
      <c r="L70" s="449"/>
      <c r="M70" s="450"/>
      <c r="N70" s="116"/>
      <c r="O70" s="383"/>
      <c r="P70" s="457"/>
      <c r="Q70" s="457"/>
      <c r="R70" s="457"/>
      <c r="S70" s="457"/>
      <c r="T70" s="457"/>
      <c r="U70" s="457"/>
      <c r="V70" s="454"/>
      <c r="W70" s="455"/>
      <c r="X70" s="455"/>
      <c r="Y70" s="455"/>
      <c r="Z70" s="455"/>
      <c r="AA70" s="455"/>
      <c r="AB70" s="455"/>
      <c r="AC70" s="455"/>
      <c r="AD70" s="456"/>
      <c r="AF70" s="81">
        <f>8*3000</f>
        <v>24000</v>
      </c>
    </row>
    <row r="71" spans="1:32" ht="27" customHeight="1" thickBot="1">
      <c r="A71" s="458"/>
      <c r="B71" s="459"/>
      <c r="C71" s="387"/>
      <c r="D71" s="388"/>
      <c r="E71" s="387"/>
      <c r="F71" s="460"/>
      <c r="G71" s="461"/>
      <c r="H71" s="461"/>
      <c r="I71" s="461"/>
      <c r="J71" s="461"/>
      <c r="K71" s="461"/>
      <c r="L71" s="461"/>
      <c r="M71" s="462"/>
      <c r="N71" s="105"/>
      <c r="O71" s="97"/>
      <c r="P71" s="463"/>
      <c r="Q71" s="463"/>
      <c r="R71" s="463"/>
      <c r="S71" s="463"/>
      <c r="T71" s="463"/>
      <c r="U71" s="463"/>
      <c r="V71" s="464"/>
      <c r="W71" s="464"/>
      <c r="X71" s="464"/>
      <c r="Y71" s="464"/>
      <c r="Z71" s="464"/>
      <c r="AA71" s="464"/>
      <c r="AB71" s="464"/>
      <c r="AC71" s="464"/>
      <c r="AD71" s="465"/>
      <c r="AF71" s="81">
        <f>16*3000</f>
        <v>48000</v>
      </c>
    </row>
    <row r="72" spans="1:32" ht="27.75" thickBot="1">
      <c r="A72" s="466" t="s">
        <v>835</v>
      </c>
      <c r="B72" s="466"/>
      <c r="C72" s="466"/>
      <c r="D72" s="466"/>
      <c r="E72" s="46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81">
        <v>24000</v>
      </c>
    </row>
    <row r="73" spans="1:32" ht="29.25" customHeight="1" thickBot="1">
      <c r="A73" s="467" t="s">
        <v>111</v>
      </c>
      <c r="B73" s="468"/>
      <c r="C73" s="384" t="s">
        <v>2</v>
      </c>
      <c r="D73" s="384" t="s">
        <v>37</v>
      </c>
      <c r="E73" s="384" t="s">
        <v>3</v>
      </c>
      <c r="F73" s="468" t="s">
        <v>109</v>
      </c>
      <c r="G73" s="468"/>
      <c r="H73" s="468"/>
      <c r="I73" s="468"/>
      <c r="J73" s="468"/>
      <c r="K73" s="468" t="s">
        <v>39</v>
      </c>
      <c r="L73" s="468"/>
      <c r="M73" s="384" t="s">
        <v>40</v>
      </c>
      <c r="N73" s="468" t="s">
        <v>41</v>
      </c>
      <c r="O73" s="468"/>
      <c r="P73" s="469" t="s">
        <v>42</v>
      </c>
      <c r="Q73" s="470"/>
      <c r="R73" s="469" t="s">
        <v>43</v>
      </c>
      <c r="S73" s="471"/>
      <c r="T73" s="471"/>
      <c r="U73" s="471"/>
      <c r="V73" s="471"/>
      <c r="W73" s="471"/>
      <c r="X73" s="471"/>
      <c r="Y73" s="471"/>
      <c r="Z73" s="471"/>
      <c r="AA73" s="470"/>
      <c r="AB73" s="468" t="s">
        <v>44</v>
      </c>
      <c r="AC73" s="468"/>
      <c r="AD73" s="472"/>
      <c r="AF73" s="81">
        <f>SUM(AF70:AF72)</f>
        <v>96000</v>
      </c>
    </row>
    <row r="74" spans="1:32" ht="25.5" customHeight="1">
      <c r="A74" s="473">
        <v>1</v>
      </c>
      <c r="B74" s="474"/>
      <c r="C74" s="98" t="s">
        <v>825</v>
      </c>
      <c r="D74" s="379"/>
      <c r="E74" s="382" t="s">
        <v>840</v>
      </c>
      <c r="F74" s="475" t="s">
        <v>836</v>
      </c>
      <c r="G74" s="476"/>
      <c r="H74" s="476"/>
      <c r="I74" s="476"/>
      <c r="J74" s="476"/>
      <c r="K74" s="476" t="s">
        <v>841</v>
      </c>
      <c r="L74" s="476"/>
      <c r="M74" s="51" t="s">
        <v>843</v>
      </c>
      <c r="N74" s="477" t="s">
        <v>845</v>
      </c>
      <c r="O74" s="477"/>
      <c r="P74" s="478">
        <v>50</v>
      </c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2</v>
      </c>
      <c r="B75" s="474"/>
      <c r="C75" s="98" t="s">
        <v>839</v>
      </c>
      <c r="D75" s="379"/>
      <c r="E75" s="382" t="s">
        <v>820</v>
      </c>
      <c r="F75" s="481" t="s">
        <v>837</v>
      </c>
      <c r="G75" s="482"/>
      <c r="H75" s="482"/>
      <c r="I75" s="482"/>
      <c r="J75" s="483"/>
      <c r="K75" s="476" t="s">
        <v>842</v>
      </c>
      <c r="L75" s="476"/>
      <c r="M75" s="51" t="s">
        <v>843</v>
      </c>
      <c r="N75" s="477" t="s">
        <v>819</v>
      </c>
      <c r="O75" s="477"/>
      <c r="P75" s="478">
        <v>100</v>
      </c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3</v>
      </c>
      <c r="B76" s="474"/>
      <c r="C76" s="98" t="s">
        <v>830</v>
      </c>
      <c r="D76" s="379"/>
      <c r="E76" s="382" t="s">
        <v>820</v>
      </c>
      <c r="F76" s="475" t="s">
        <v>838</v>
      </c>
      <c r="G76" s="476"/>
      <c r="H76" s="476"/>
      <c r="I76" s="476"/>
      <c r="J76" s="476"/>
      <c r="K76" s="476" t="s">
        <v>842</v>
      </c>
      <c r="L76" s="476"/>
      <c r="M76" s="51" t="s">
        <v>844</v>
      </c>
      <c r="N76" s="477" t="s">
        <v>819</v>
      </c>
      <c r="O76" s="477"/>
      <c r="P76" s="478">
        <v>50</v>
      </c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4</v>
      </c>
      <c r="B77" s="474"/>
      <c r="C77" s="98"/>
      <c r="D77" s="379"/>
      <c r="E77" s="382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5</v>
      </c>
      <c r="B78" s="474"/>
      <c r="C78" s="98"/>
      <c r="D78" s="379"/>
      <c r="E78" s="382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6</v>
      </c>
      <c r="B79" s="474"/>
      <c r="C79" s="98"/>
      <c r="D79" s="379"/>
      <c r="E79" s="382"/>
      <c r="F79" s="481"/>
      <c r="G79" s="482"/>
      <c r="H79" s="482"/>
      <c r="I79" s="482"/>
      <c r="J79" s="483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7</v>
      </c>
      <c r="B80" s="474"/>
      <c r="C80" s="98"/>
      <c r="D80" s="379"/>
      <c r="E80" s="382"/>
      <c r="F80" s="481"/>
      <c r="G80" s="482"/>
      <c r="H80" s="482"/>
      <c r="I80" s="482"/>
      <c r="J80" s="483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8</v>
      </c>
      <c r="B81" s="474"/>
      <c r="C81" s="98"/>
      <c r="D81" s="379"/>
      <c r="E81" s="382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5.5" customHeight="1">
      <c r="A82" s="473">
        <v>9</v>
      </c>
      <c r="B82" s="474"/>
      <c r="C82" s="98"/>
      <c r="D82" s="379"/>
      <c r="E82" s="382"/>
      <c r="F82" s="475"/>
      <c r="G82" s="476"/>
      <c r="H82" s="476"/>
      <c r="I82" s="476"/>
      <c r="J82" s="476"/>
      <c r="K82" s="476"/>
      <c r="L82" s="476"/>
      <c r="M82" s="51"/>
      <c r="N82" s="477"/>
      <c r="O82" s="477"/>
      <c r="P82" s="478"/>
      <c r="Q82" s="478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6"/>
      <c r="AC82" s="476"/>
      <c r="AD82" s="480"/>
      <c r="AF82" s="50"/>
    </row>
    <row r="83" spans="1:32" ht="25.5" customHeight="1">
      <c r="A83" s="473">
        <v>10</v>
      </c>
      <c r="B83" s="474"/>
      <c r="C83" s="98"/>
      <c r="D83" s="379"/>
      <c r="E83" s="382"/>
      <c r="F83" s="475"/>
      <c r="G83" s="476"/>
      <c r="H83" s="476"/>
      <c r="I83" s="476"/>
      <c r="J83" s="476"/>
      <c r="K83" s="476"/>
      <c r="L83" s="476"/>
      <c r="M83" s="51"/>
      <c r="N83" s="477"/>
      <c r="O83" s="477"/>
      <c r="P83" s="478"/>
      <c r="Q83" s="478"/>
      <c r="R83" s="479"/>
      <c r="S83" s="479"/>
      <c r="T83" s="479"/>
      <c r="U83" s="479"/>
      <c r="V83" s="479"/>
      <c r="W83" s="479"/>
      <c r="X83" s="479"/>
      <c r="Y83" s="479"/>
      <c r="Z83" s="479"/>
      <c r="AA83" s="479"/>
      <c r="AB83" s="476"/>
      <c r="AC83" s="476"/>
      <c r="AD83" s="480"/>
      <c r="AF83" s="50"/>
    </row>
    <row r="84" spans="1:32" ht="26.25" customHeight="1" thickBot="1">
      <c r="A84" s="484" t="s">
        <v>846</v>
      </c>
      <c r="B84" s="484"/>
      <c r="C84" s="484"/>
      <c r="D84" s="484"/>
      <c r="E84" s="48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23.25" thickBot="1">
      <c r="A85" s="485" t="s">
        <v>111</v>
      </c>
      <c r="B85" s="486"/>
      <c r="C85" s="381" t="s">
        <v>2</v>
      </c>
      <c r="D85" s="381" t="s">
        <v>37</v>
      </c>
      <c r="E85" s="381" t="s">
        <v>120</v>
      </c>
      <c r="F85" s="487" t="s">
        <v>38</v>
      </c>
      <c r="G85" s="487"/>
      <c r="H85" s="487"/>
      <c r="I85" s="487"/>
      <c r="J85" s="487"/>
      <c r="K85" s="488" t="s">
        <v>58</v>
      </c>
      <c r="L85" s="489"/>
      <c r="M85" s="489"/>
      <c r="N85" s="489"/>
      <c r="O85" s="489"/>
      <c r="P85" s="489"/>
      <c r="Q85" s="489"/>
      <c r="R85" s="489"/>
      <c r="S85" s="490"/>
      <c r="T85" s="487" t="s">
        <v>49</v>
      </c>
      <c r="U85" s="487"/>
      <c r="V85" s="488" t="s">
        <v>50</v>
      </c>
      <c r="W85" s="490"/>
      <c r="X85" s="489" t="s">
        <v>51</v>
      </c>
      <c r="Y85" s="489"/>
      <c r="Z85" s="489"/>
      <c r="AA85" s="489"/>
      <c r="AB85" s="489"/>
      <c r="AC85" s="489"/>
      <c r="AD85" s="491"/>
      <c r="AF85" s="50"/>
    </row>
    <row r="86" spans="1:32" ht="33.75" customHeight="1">
      <c r="A86" s="500">
        <v>1</v>
      </c>
      <c r="B86" s="501"/>
      <c r="C86" s="380"/>
      <c r="D86" s="380"/>
      <c r="E86" s="65"/>
      <c r="F86" s="502"/>
      <c r="G86" s="503"/>
      <c r="H86" s="503"/>
      <c r="I86" s="503"/>
      <c r="J86" s="504"/>
      <c r="K86" s="505"/>
      <c r="L86" s="506"/>
      <c r="M86" s="506"/>
      <c r="N86" s="506"/>
      <c r="O86" s="506"/>
      <c r="P86" s="506"/>
      <c r="Q86" s="506"/>
      <c r="R86" s="506"/>
      <c r="S86" s="507"/>
      <c r="T86" s="508"/>
      <c r="U86" s="509"/>
      <c r="V86" s="510"/>
      <c r="W86" s="510"/>
      <c r="X86" s="511"/>
      <c r="Y86" s="511"/>
      <c r="Z86" s="511"/>
      <c r="AA86" s="511"/>
      <c r="AB86" s="511"/>
      <c r="AC86" s="511"/>
      <c r="AD86" s="512"/>
      <c r="AF86" s="50"/>
    </row>
    <row r="87" spans="1:32" ht="30" customHeight="1">
      <c r="A87" s="492">
        <f>A86+1</f>
        <v>2</v>
      </c>
      <c r="B87" s="493"/>
      <c r="C87" s="379"/>
      <c r="D87" s="379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ref="A88:A92" si="20">A87+1</f>
        <v>3</v>
      </c>
      <c r="B88" s="493"/>
      <c r="C88" s="379"/>
      <c r="D88" s="379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20"/>
        <v>4</v>
      </c>
      <c r="B89" s="493"/>
      <c r="C89" s="379"/>
      <c r="D89" s="379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20"/>
        <v>5</v>
      </c>
      <c r="B90" s="493"/>
      <c r="C90" s="379"/>
      <c r="D90" s="379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0" customHeight="1">
      <c r="A91" s="492">
        <f t="shared" si="20"/>
        <v>6</v>
      </c>
      <c r="B91" s="493"/>
      <c r="C91" s="379"/>
      <c r="D91" s="379"/>
      <c r="E91" s="32"/>
      <c r="F91" s="493"/>
      <c r="G91" s="493"/>
      <c r="H91" s="493"/>
      <c r="I91" s="493"/>
      <c r="J91" s="493"/>
      <c r="K91" s="494"/>
      <c r="L91" s="495"/>
      <c r="M91" s="495"/>
      <c r="N91" s="495"/>
      <c r="O91" s="495"/>
      <c r="P91" s="495"/>
      <c r="Q91" s="495"/>
      <c r="R91" s="495"/>
      <c r="S91" s="496"/>
      <c r="T91" s="497"/>
      <c r="U91" s="497"/>
      <c r="V91" s="497"/>
      <c r="W91" s="497"/>
      <c r="X91" s="498"/>
      <c r="Y91" s="498"/>
      <c r="Z91" s="498"/>
      <c r="AA91" s="498"/>
      <c r="AB91" s="498"/>
      <c r="AC91" s="498"/>
      <c r="AD91" s="499"/>
      <c r="AF91" s="50"/>
    </row>
    <row r="92" spans="1:32" ht="30" customHeight="1">
      <c r="A92" s="492">
        <f t="shared" si="20"/>
        <v>7</v>
      </c>
      <c r="B92" s="493"/>
      <c r="C92" s="379"/>
      <c r="D92" s="379"/>
      <c r="E92" s="32"/>
      <c r="F92" s="493"/>
      <c r="G92" s="493"/>
      <c r="H92" s="493"/>
      <c r="I92" s="493"/>
      <c r="J92" s="493"/>
      <c r="K92" s="494"/>
      <c r="L92" s="495"/>
      <c r="M92" s="495"/>
      <c r="N92" s="495"/>
      <c r="O92" s="495"/>
      <c r="P92" s="495"/>
      <c r="Q92" s="495"/>
      <c r="R92" s="495"/>
      <c r="S92" s="496"/>
      <c r="T92" s="497"/>
      <c r="U92" s="497"/>
      <c r="V92" s="497"/>
      <c r="W92" s="497"/>
      <c r="X92" s="498"/>
      <c r="Y92" s="498"/>
      <c r="Z92" s="498"/>
      <c r="AA92" s="498"/>
      <c r="AB92" s="498"/>
      <c r="AC92" s="498"/>
      <c r="AD92" s="499"/>
      <c r="AF92" s="50"/>
    </row>
    <row r="93" spans="1:32" ht="36" thickBot="1">
      <c r="A93" s="484" t="s">
        <v>847</v>
      </c>
      <c r="B93" s="484"/>
      <c r="C93" s="484"/>
      <c r="D93" s="484"/>
      <c r="E93" s="484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F93" s="50"/>
    </row>
    <row r="94" spans="1:32" ht="30.75" customHeight="1" thickBot="1">
      <c r="A94" s="513" t="s">
        <v>111</v>
      </c>
      <c r="B94" s="487"/>
      <c r="C94" s="514" t="s">
        <v>52</v>
      </c>
      <c r="D94" s="514"/>
      <c r="E94" s="514" t="s">
        <v>53</v>
      </c>
      <c r="F94" s="514"/>
      <c r="G94" s="514"/>
      <c r="H94" s="514"/>
      <c r="I94" s="514"/>
      <c r="J94" s="514"/>
      <c r="K94" s="514" t="s">
        <v>54</v>
      </c>
      <c r="L94" s="514"/>
      <c r="M94" s="514"/>
      <c r="N94" s="514"/>
      <c r="O94" s="514"/>
      <c r="P94" s="514"/>
      <c r="Q94" s="514"/>
      <c r="R94" s="514"/>
      <c r="S94" s="514"/>
      <c r="T94" s="514" t="s">
        <v>55</v>
      </c>
      <c r="U94" s="514"/>
      <c r="V94" s="514" t="s">
        <v>56</v>
      </c>
      <c r="W94" s="514"/>
      <c r="X94" s="514"/>
      <c r="Y94" s="514" t="s">
        <v>51</v>
      </c>
      <c r="Z94" s="514"/>
      <c r="AA94" s="514"/>
      <c r="AB94" s="514"/>
      <c r="AC94" s="514"/>
      <c r="AD94" s="515"/>
      <c r="AF94" s="50"/>
    </row>
    <row r="95" spans="1:32" ht="30.75" customHeight="1">
      <c r="A95" s="500">
        <v>1</v>
      </c>
      <c r="B95" s="501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  <c r="T95" s="516"/>
      <c r="U95" s="516"/>
      <c r="V95" s="517"/>
      <c r="W95" s="517"/>
      <c r="X95" s="517"/>
      <c r="Y95" s="518"/>
      <c r="Z95" s="518"/>
      <c r="AA95" s="518"/>
      <c r="AB95" s="518"/>
      <c r="AC95" s="518"/>
      <c r="AD95" s="519"/>
      <c r="AF95" s="50"/>
    </row>
    <row r="96" spans="1:32" ht="30.75" customHeight="1">
      <c r="A96" s="492">
        <v>2</v>
      </c>
      <c r="B96" s="493"/>
      <c r="C96" s="528"/>
      <c r="D96" s="528"/>
      <c r="E96" s="528"/>
      <c r="F96" s="528"/>
      <c r="G96" s="528"/>
      <c r="H96" s="528"/>
      <c r="I96" s="528"/>
      <c r="J96" s="528"/>
      <c r="K96" s="528"/>
      <c r="L96" s="528"/>
      <c r="M96" s="528"/>
      <c r="N96" s="528"/>
      <c r="O96" s="528"/>
      <c r="P96" s="528"/>
      <c r="Q96" s="528"/>
      <c r="R96" s="528"/>
      <c r="S96" s="528"/>
      <c r="T96" s="529"/>
      <c r="U96" s="529"/>
      <c r="V96" s="530"/>
      <c r="W96" s="530"/>
      <c r="X96" s="530"/>
      <c r="Y96" s="520"/>
      <c r="Z96" s="520"/>
      <c r="AA96" s="520"/>
      <c r="AB96" s="520"/>
      <c r="AC96" s="520"/>
      <c r="AD96" s="521"/>
      <c r="AF96" s="50"/>
    </row>
    <row r="97" spans="1:32" ht="30.75" customHeight="1" thickBot="1">
      <c r="A97" s="522">
        <v>3</v>
      </c>
      <c r="B97" s="523"/>
      <c r="C97" s="524"/>
      <c r="D97" s="524"/>
      <c r="E97" s="524"/>
      <c r="F97" s="524"/>
      <c r="G97" s="524"/>
      <c r="H97" s="524"/>
      <c r="I97" s="524"/>
      <c r="J97" s="524"/>
      <c r="K97" s="524"/>
      <c r="L97" s="524"/>
      <c r="M97" s="524"/>
      <c r="N97" s="524"/>
      <c r="O97" s="524"/>
      <c r="P97" s="524"/>
      <c r="Q97" s="524"/>
      <c r="R97" s="524"/>
      <c r="S97" s="524"/>
      <c r="T97" s="524"/>
      <c r="U97" s="524"/>
      <c r="V97" s="525"/>
      <c r="W97" s="525"/>
      <c r="X97" s="525"/>
      <c r="Y97" s="526"/>
      <c r="Z97" s="526"/>
      <c r="AA97" s="526"/>
      <c r="AB97" s="526"/>
      <c r="AC97" s="526"/>
      <c r="AD97" s="527"/>
      <c r="AF97" s="50"/>
    </row>
  </sheetData>
  <mergeCells count="232">
    <mergeCell ref="Y96:AD96"/>
    <mergeCell ref="A97:B97"/>
    <mergeCell ref="C97:D97"/>
    <mergeCell ref="E97:J97"/>
    <mergeCell ref="K97:S97"/>
    <mergeCell ref="T97:U97"/>
    <mergeCell ref="V97:X97"/>
    <mergeCell ref="Y97:AD97"/>
    <mergeCell ref="A96:B96"/>
    <mergeCell ref="C96:D96"/>
    <mergeCell ref="E96:J96"/>
    <mergeCell ref="K96:S96"/>
    <mergeCell ref="T96:U96"/>
    <mergeCell ref="V96:X96"/>
    <mergeCell ref="V94:X94"/>
    <mergeCell ref="Y94:AD94"/>
    <mergeCell ref="A95:B95"/>
    <mergeCell ref="C95:D95"/>
    <mergeCell ref="E95:J95"/>
    <mergeCell ref="K95:S95"/>
    <mergeCell ref="T95:U95"/>
    <mergeCell ref="V95:X95"/>
    <mergeCell ref="Y95:AD95"/>
    <mergeCell ref="A93:E93"/>
    <mergeCell ref="A94:B94"/>
    <mergeCell ref="C94:D94"/>
    <mergeCell ref="E94:J94"/>
    <mergeCell ref="K94:S94"/>
    <mergeCell ref="T94:U94"/>
    <mergeCell ref="A92:B92"/>
    <mergeCell ref="F92:J92"/>
    <mergeCell ref="K92:S92"/>
    <mergeCell ref="T92:U92"/>
    <mergeCell ref="V92:W92"/>
    <mergeCell ref="X92:AD92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B83:AD83"/>
    <mergeCell ref="A84:E84"/>
    <mergeCell ref="A85:B85"/>
    <mergeCell ref="F85:J85"/>
    <mergeCell ref="K85:S85"/>
    <mergeCell ref="T85:U85"/>
    <mergeCell ref="V85:W85"/>
    <mergeCell ref="X85:AD85"/>
    <mergeCell ref="A83:B83"/>
    <mergeCell ref="F83:J83"/>
    <mergeCell ref="K83:L83"/>
    <mergeCell ref="N83:O83"/>
    <mergeCell ref="P83:Q83"/>
    <mergeCell ref="R83:AA83"/>
    <mergeCell ref="AB81:AD81"/>
    <mergeCell ref="A82:B82"/>
    <mergeCell ref="F82:J82"/>
    <mergeCell ref="K82:L82"/>
    <mergeCell ref="N82:O82"/>
    <mergeCell ref="P82:Q82"/>
    <mergeCell ref="R82:AA82"/>
    <mergeCell ref="AB82:AD82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R73:AA73"/>
    <mergeCell ref="AB73:AD73"/>
    <mergeCell ref="A74:B74"/>
    <mergeCell ref="F74:J74"/>
    <mergeCell ref="K74:L74"/>
    <mergeCell ref="N74:O74"/>
    <mergeCell ref="P74:Q74"/>
    <mergeCell ref="R74:AA74"/>
    <mergeCell ref="AB74:AD74"/>
    <mergeCell ref="A72:E72"/>
    <mergeCell ref="A73:B73"/>
    <mergeCell ref="F73:J73"/>
    <mergeCell ref="K73:L73"/>
    <mergeCell ref="N73:O73"/>
    <mergeCell ref="P73:Q73"/>
    <mergeCell ref="A70:B70"/>
    <mergeCell ref="F70:M70"/>
    <mergeCell ref="P70:Q70"/>
    <mergeCell ref="R70:U70"/>
    <mergeCell ref="V70:AD70"/>
    <mergeCell ref="A71:B71"/>
    <mergeCell ref="F71:M71"/>
    <mergeCell ref="P71:Q71"/>
    <mergeCell ref="R71:U71"/>
    <mergeCell ref="V71:AD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D4:AD5"/>
    <mergeCell ref="A32:H32"/>
    <mergeCell ref="A59:E59"/>
    <mergeCell ref="A60:M60"/>
    <mergeCell ref="N60:AD60"/>
    <mergeCell ref="A61:B61"/>
    <mergeCell ref="F61:M61"/>
    <mergeCell ref="P61:Q61"/>
    <mergeCell ref="R61:U61"/>
    <mergeCell ref="V61:AD6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C8F4-A3E1-4E2A-960F-506895363AAB}">
  <sheetPr>
    <pageSetUpPr fitToPage="1"/>
  </sheetPr>
  <dimension ref="A1:AF97"/>
  <sheetViews>
    <sheetView tabSelected="1" view="pageBreakPreview" zoomScale="70" zoomScaleNormal="72" zoomScaleSheetLayoutView="70" workbookViewId="0">
      <selection activeCell="K89" sqref="K89:S8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8.7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406" t="s">
        <v>848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7"/>
      <c r="B3" s="407"/>
      <c r="C3" s="407"/>
      <c r="D3" s="407"/>
      <c r="E3" s="407"/>
      <c r="F3" s="407"/>
      <c r="G3" s="40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08" t="s">
        <v>0</v>
      </c>
      <c r="B4" s="410" t="s">
        <v>1</v>
      </c>
      <c r="C4" s="410" t="s">
        <v>2</v>
      </c>
      <c r="D4" s="413" t="s">
        <v>3</v>
      </c>
      <c r="E4" s="415" t="s">
        <v>4</v>
      </c>
      <c r="F4" s="413" t="s">
        <v>5</v>
      </c>
      <c r="G4" s="410" t="s">
        <v>6</v>
      </c>
      <c r="H4" s="416" t="s">
        <v>7</v>
      </c>
      <c r="I4" s="436" t="s">
        <v>8</v>
      </c>
      <c r="J4" s="437"/>
      <c r="K4" s="437"/>
      <c r="L4" s="437"/>
      <c r="M4" s="437"/>
      <c r="N4" s="437"/>
      <c r="O4" s="438"/>
      <c r="P4" s="439" t="s">
        <v>9</v>
      </c>
      <c r="Q4" s="440"/>
      <c r="R4" s="441" t="s">
        <v>10</v>
      </c>
      <c r="S4" s="442"/>
      <c r="T4" s="442"/>
      <c r="U4" s="442"/>
      <c r="V4" s="443"/>
      <c r="W4" s="442" t="s">
        <v>11</v>
      </c>
      <c r="X4" s="442"/>
      <c r="Y4" s="442"/>
      <c r="Z4" s="442"/>
      <c r="AA4" s="443"/>
      <c r="AB4" s="444" t="s">
        <v>12</v>
      </c>
      <c r="AC4" s="418" t="s">
        <v>13</v>
      </c>
      <c r="AD4" s="418" t="s">
        <v>14</v>
      </c>
      <c r="AE4" s="54"/>
    </row>
    <row r="5" spans="1:32" ht="51" customHeight="1" thickBot="1">
      <c r="A5" s="409"/>
      <c r="B5" s="411"/>
      <c r="C5" s="412"/>
      <c r="D5" s="414"/>
      <c r="E5" s="414"/>
      <c r="F5" s="414"/>
      <c r="G5" s="411"/>
      <c r="H5" s="417"/>
      <c r="I5" s="55" t="s">
        <v>15</v>
      </c>
      <c r="J5" s="56" t="s">
        <v>16</v>
      </c>
      <c r="K5" s="391" t="s">
        <v>17</v>
      </c>
      <c r="L5" s="391" t="s">
        <v>18</v>
      </c>
      <c r="M5" s="391" t="s">
        <v>19</v>
      </c>
      <c r="N5" s="3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5"/>
      <c r="AC5" s="419"/>
      <c r="AD5" s="419"/>
      <c r="AE5" s="54"/>
    </row>
    <row r="6" spans="1:32" ht="27" customHeight="1">
      <c r="A6" s="106">
        <v>1</v>
      </c>
      <c r="B6" s="11" t="s">
        <v>57</v>
      </c>
      <c r="C6" s="34" t="s">
        <v>112</v>
      </c>
      <c r="D6" s="52" t="s">
        <v>135</v>
      </c>
      <c r="E6" s="53" t="s">
        <v>739</v>
      </c>
      <c r="F6" s="30" t="s">
        <v>762</v>
      </c>
      <c r="G6" s="12">
        <v>4</v>
      </c>
      <c r="H6" s="13">
        <v>24</v>
      </c>
      <c r="I6" s="31">
        <v>59000</v>
      </c>
      <c r="J6" s="14">
        <v>9868</v>
      </c>
      <c r="K6" s="15">
        <f>L6+13484+23948+9868</f>
        <v>47300</v>
      </c>
      <c r="L6" s="15"/>
      <c r="M6" s="15">
        <f t="shared" ref="M6:M31" si="0">L6-N6</f>
        <v>0</v>
      </c>
      <c r="N6" s="15">
        <v>0</v>
      </c>
      <c r="O6" s="58" t="str">
        <f t="shared" ref="O6:O32" si="1">IF(L6=0,"0",N6/L6)</f>
        <v>0</v>
      </c>
      <c r="P6" s="39" t="str">
        <f t="shared" ref="P6:P31" si="2">IF(L6=0,"0",(24-Q6))</f>
        <v>0</v>
      </c>
      <c r="Q6" s="40">
        <f t="shared" ref="Q6:Q31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31" si="4">IF(J6=0,"0",(L6/J6))</f>
        <v>0</v>
      </c>
      <c r="AC6" s="9">
        <f t="shared" ref="AC6:AC31" si="5">IF(P6=0,"0",(P6/24))</f>
        <v>0</v>
      </c>
      <c r="AD6" s="10">
        <f>AC6*AB6*(1-O6)</f>
        <v>0</v>
      </c>
      <c r="AE6" s="36">
        <f>$AD$32</f>
        <v>0.39082159892786594</v>
      </c>
      <c r="AF6" s="81">
        <f t="shared" ref="AF6:AF31" si="6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135</v>
      </c>
      <c r="E7" s="53" t="s">
        <v>849</v>
      </c>
      <c r="F7" s="30" t="s">
        <v>850</v>
      </c>
      <c r="G7" s="12">
        <v>1</v>
      </c>
      <c r="H7" s="13">
        <v>24</v>
      </c>
      <c r="I7" s="31">
        <v>2500</v>
      </c>
      <c r="J7" s="14">
        <v>4271</v>
      </c>
      <c r="K7" s="15">
        <f>L7</f>
        <v>4271</v>
      </c>
      <c r="L7" s="15">
        <f>2614+1657</f>
        <v>4271</v>
      </c>
      <c r="M7" s="15">
        <f t="shared" si="0"/>
        <v>4271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/>
      <c r="T7" s="16">
        <v>3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ref="AD7:AD31" si="7">AC7*AB7*(1-O7)</f>
        <v>0.875</v>
      </c>
      <c r="AE7" s="36">
        <f>$AD$32</f>
        <v>0.39082159892786594</v>
      </c>
      <c r="AF7" s="81">
        <f t="shared" si="6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851</v>
      </c>
      <c r="F8" s="30" t="s">
        <v>145</v>
      </c>
      <c r="G8" s="12">
        <v>1</v>
      </c>
      <c r="H8" s="13">
        <v>24</v>
      </c>
      <c r="I8" s="7">
        <v>3000</v>
      </c>
      <c r="J8" s="14">
        <v>3182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7"/>
        <v>0</v>
      </c>
      <c r="AE8" s="36">
        <f>$AD$32</f>
        <v>0.39082159892786594</v>
      </c>
      <c r="AF8" s="81">
        <f t="shared" si="6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161</v>
      </c>
      <c r="E9" s="53" t="s">
        <v>182</v>
      </c>
      <c r="F9" s="30" t="s">
        <v>133</v>
      </c>
      <c r="G9" s="12">
        <v>1</v>
      </c>
      <c r="H9" s="13">
        <v>24</v>
      </c>
      <c r="I9" s="7">
        <v>20000</v>
      </c>
      <c r="J9" s="14">
        <v>1851</v>
      </c>
      <c r="K9" s="15">
        <f>L9+5204+5759+4449+3653</f>
        <v>20916</v>
      </c>
      <c r="L9" s="15">
        <f>1262+589</f>
        <v>1851</v>
      </c>
      <c r="M9" s="15">
        <f t="shared" si="0"/>
        <v>1851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7"/>
        <v>0.41666666666666669</v>
      </c>
      <c r="AE9" s="36">
        <f>$AD$32</f>
        <v>0.39082159892786594</v>
      </c>
      <c r="AF9" s="81">
        <f t="shared" si="6"/>
        <v>4</v>
      </c>
    </row>
    <row r="10" spans="1:32" ht="27" customHeight="1">
      <c r="A10" s="92">
        <v>5</v>
      </c>
      <c r="B10" s="11" t="s">
        <v>57</v>
      </c>
      <c r="C10" s="11" t="s">
        <v>116</v>
      </c>
      <c r="D10" s="52" t="s">
        <v>142</v>
      </c>
      <c r="E10" s="53" t="s">
        <v>174</v>
      </c>
      <c r="F10" s="30" t="s">
        <v>175</v>
      </c>
      <c r="G10" s="33">
        <v>2</v>
      </c>
      <c r="H10" s="35">
        <v>24</v>
      </c>
      <c r="I10" s="7">
        <v>230000</v>
      </c>
      <c r="J10" s="14">
        <v>11532</v>
      </c>
      <c r="K10" s="15">
        <f>L10+12038+12846+12974+12804+12060+12144+13106+13190</f>
        <v>112694</v>
      </c>
      <c r="L10" s="15">
        <f>3048*2+2718*2</f>
        <v>11532</v>
      </c>
      <c r="M10" s="15">
        <f t="shared" si="0"/>
        <v>11532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7"/>
        <v>1</v>
      </c>
      <c r="AE10" s="36">
        <f>$AD$32</f>
        <v>0.39082159892786594</v>
      </c>
      <c r="AF10" s="81">
        <f t="shared" si="6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135</v>
      </c>
      <c r="E11" s="53" t="s">
        <v>779</v>
      </c>
      <c r="F11" s="30" t="s">
        <v>176</v>
      </c>
      <c r="G11" s="33" t="s">
        <v>654</v>
      </c>
      <c r="H11" s="35">
        <v>24</v>
      </c>
      <c r="I11" s="7">
        <v>12000</v>
      </c>
      <c r="J11" s="14">
        <v>4927</v>
      </c>
      <c r="K11" s="15">
        <f>L11+4643+5755</f>
        <v>15325</v>
      </c>
      <c r="L11" s="15">
        <f>2535+2392</f>
        <v>4927</v>
      </c>
      <c r="M11" s="15">
        <f t="shared" si="0"/>
        <v>4927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7"/>
        <v>1</v>
      </c>
      <c r="AE11" s="36">
        <f>$AD$32</f>
        <v>0.39082159892786594</v>
      </c>
      <c r="AF11" s="81">
        <f t="shared" si="6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173</v>
      </c>
      <c r="F12" s="30" t="s">
        <v>147</v>
      </c>
      <c r="G12" s="12">
        <v>2</v>
      </c>
      <c r="H12" s="13">
        <v>22</v>
      </c>
      <c r="I12" s="31">
        <v>230000</v>
      </c>
      <c r="J12" s="5">
        <v>8074</v>
      </c>
      <c r="K12" s="15">
        <f>L12+9010+9624+9178+9374+9224+9780+9636+9016+9380+9816+9894</f>
        <v>112636</v>
      </c>
      <c r="L12" s="15">
        <f>2276*2+2076*2</f>
        <v>8704</v>
      </c>
      <c r="M12" s="15">
        <f t="shared" si="0"/>
        <v>8704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1.0780282387911815</v>
      </c>
      <c r="AC12" s="9">
        <f t="shared" si="5"/>
        <v>1</v>
      </c>
      <c r="AD12" s="10">
        <f t="shared" si="7"/>
        <v>1.0780282387911815</v>
      </c>
      <c r="AE12" s="36">
        <f>$AD$32</f>
        <v>0.39082159892786594</v>
      </c>
      <c r="AF12" s="81">
        <f t="shared" si="6"/>
        <v>7</v>
      </c>
    </row>
    <row r="13" spans="1:32" ht="27" customHeight="1">
      <c r="A13" s="92">
        <v>8</v>
      </c>
      <c r="B13" s="11" t="s">
        <v>57</v>
      </c>
      <c r="C13" s="34" t="s">
        <v>112</v>
      </c>
      <c r="D13" s="52" t="s">
        <v>115</v>
      </c>
      <c r="E13" s="53" t="s">
        <v>593</v>
      </c>
      <c r="F13" s="30" t="s">
        <v>360</v>
      </c>
      <c r="G13" s="12">
        <v>2</v>
      </c>
      <c r="H13" s="13">
        <v>22</v>
      </c>
      <c r="I13" s="31">
        <v>61000</v>
      </c>
      <c r="J13" s="5">
        <v>10138</v>
      </c>
      <c r="K13" s="15">
        <f>L13+4420+2978+11134+10824+11094+11678+11884</f>
        <v>74150</v>
      </c>
      <c r="L13" s="15">
        <f>2738*2+2331*2</f>
        <v>10138</v>
      </c>
      <c r="M13" s="15">
        <f t="shared" si="0"/>
        <v>10138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7"/>
        <v>1</v>
      </c>
      <c r="AE13" s="36">
        <f>$AD$32</f>
        <v>0.39082159892786594</v>
      </c>
      <c r="AF13" s="81">
        <f t="shared" si="6"/>
        <v>8</v>
      </c>
    </row>
    <row r="14" spans="1:32" ht="27" customHeight="1">
      <c r="A14" s="99">
        <v>9</v>
      </c>
      <c r="B14" s="11" t="s">
        <v>57</v>
      </c>
      <c r="C14" s="34" t="s">
        <v>243</v>
      </c>
      <c r="D14" s="52" t="s">
        <v>115</v>
      </c>
      <c r="E14" s="53" t="s">
        <v>740</v>
      </c>
      <c r="F14" s="30" t="s">
        <v>143</v>
      </c>
      <c r="G14" s="33">
        <v>1</v>
      </c>
      <c r="H14" s="35">
        <v>50</v>
      </c>
      <c r="I14" s="7">
        <v>1500</v>
      </c>
      <c r="J14" s="5">
        <v>203</v>
      </c>
      <c r="K14" s="15">
        <f>L14+329+146+203</f>
        <v>678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7"/>
        <v>0</v>
      </c>
      <c r="AE14" s="36">
        <f>$AD$32</f>
        <v>0.39082159892786594</v>
      </c>
      <c r="AF14" s="81">
        <f t="shared" si="6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482</v>
      </c>
      <c r="E15" s="53" t="s">
        <v>741</v>
      </c>
      <c r="F15" s="30" t="s">
        <v>136</v>
      </c>
      <c r="G15" s="12">
        <v>1</v>
      </c>
      <c r="H15" s="13">
        <v>24</v>
      </c>
      <c r="I15" s="31">
        <v>7000</v>
      </c>
      <c r="J15" s="14">
        <v>16944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7"/>
        <v>0</v>
      </c>
      <c r="AE15" s="36">
        <f>$AD$32</f>
        <v>0.39082159892786594</v>
      </c>
      <c r="AF15" s="81">
        <f t="shared" si="6"/>
        <v>10</v>
      </c>
    </row>
    <row r="16" spans="1:32" ht="27" customHeight="1">
      <c r="A16" s="92">
        <v>11</v>
      </c>
      <c r="B16" s="11" t="s">
        <v>57</v>
      </c>
      <c r="C16" s="34" t="s">
        <v>243</v>
      </c>
      <c r="D16" s="52" t="s">
        <v>115</v>
      </c>
      <c r="E16" s="53" t="s">
        <v>852</v>
      </c>
      <c r="F16" s="30" t="s">
        <v>143</v>
      </c>
      <c r="G16" s="12">
        <v>1</v>
      </c>
      <c r="H16" s="13">
        <v>22</v>
      </c>
      <c r="I16" s="31">
        <v>500</v>
      </c>
      <c r="J16" s="5">
        <v>740</v>
      </c>
      <c r="K16" s="15">
        <f>L16</f>
        <v>740</v>
      </c>
      <c r="L16" s="15">
        <v>740</v>
      </c>
      <c r="M16" s="15">
        <f t="shared" si="0"/>
        <v>740</v>
      </c>
      <c r="N16" s="15">
        <v>0</v>
      </c>
      <c r="O16" s="58">
        <f t="shared" si="1"/>
        <v>0</v>
      </c>
      <c r="P16" s="39">
        <f t="shared" si="2"/>
        <v>6</v>
      </c>
      <c r="Q16" s="40">
        <f t="shared" si="3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4"/>
        <v>1</v>
      </c>
      <c r="AC16" s="9">
        <f t="shared" si="5"/>
        <v>0.25</v>
      </c>
      <c r="AD16" s="10">
        <f t="shared" si="7"/>
        <v>0.25</v>
      </c>
      <c r="AE16" s="36">
        <f>$AD$32</f>
        <v>0.39082159892786594</v>
      </c>
      <c r="AF16" s="81">
        <f t="shared" si="6"/>
        <v>11</v>
      </c>
    </row>
    <row r="17" spans="1:32" ht="27" customHeight="1">
      <c r="A17" s="92">
        <v>11</v>
      </c>
      <c r="B17" s="11" t="s">
        <v>57</v>
      </c>
      <c r="C17" s="34" t="s">
        <v>116</v>
      </c>
      <c r="D17" s="52" t="s">
        <v>157</v>
      </c>
      <c r="E17" s="53" t="s">
        <v>853</v>
      </c>
      <c r="F17" s="30" t="s">
        <v>221</v>
      </c>
      <c r="G17" s="12">
        <v>1</v>
      </c>
      <c r="H17" s="13">
        <v>22</v>
      </c>
      <c r="I17" s="31">
        <v>2500</v>
      </c>
      <c r="J17" s="5">
        <v>3183</v>
      </c>
      <c r="K17" s="15">
        <f>L17</f>
        <v>3183</v>
      </c>
      <c r="L17" s="15">
        <f>2475+708</f>
        <v>3183</v>
      </c>
      <c r="M17" s="15">
        <f t="shared" si="0"/>
        <v>3183</v>
      </c>
      <c r="N17" s="15">
        <v>0</v>
      </c>
      <c r="O17" s="58">
        <f t="shared" si="1"/>
        <v>0</v>
      </c>
      <c r="P17" s="39">
        <f t="shared" si="2"/>
        <v>17</v>
      </c>
      <c r="Q17" s="40">
        <f t="shared" si="3"/>
        <v>7</v>
      </c>
      <c r="R17" s="7"/>
      <c r="S17" s="6"/>
      <c r="T17" s="16">
        <v>7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0.70833333333333337</v>
      </c>
      <c r="AD17" s="10">
        <f t="shared" si="7"/>
        <v>0.70833333333333337</v>
      </c>
      <c r="AE17" s="36">
        <f>$AD$32</f>
        <v>0.39082159892786594</v>
      </c>
      <c r="AF17" s="81">
        <f t="shared" si="6"/>
        <v>11</v>
      </c>
    </row>
    <row r="18" spans="1:32" ht="27" customHeight="1">
      <c r="A18" s="106">
        <v>12</v>
      </c>
      <c r="B18" s="11" t="s">
        <v>57</v>
      </c>
      <c r="C18" s="34" t="s">
        <v>164</v>
      </c>
      <c r="D18" s="52"/>
      <c r="E18" s="53" t="s">
        <v>644</v>
      </c>
      <c r="F18" s="30" t="s">
        <v>156</v>
      </c>
      <c r="G18" s="12">
        <v>1</v>
      </c>
      <c r="H18" s="13">
        <v>24</v>
      </c>
      <c r="I18" s="7">
        <v>5800</v>
      </c>
      <c r="J18" s="14">
        <v>5064</v>
      </c>
      <c r="K18" s="15">
        <f>L18+4507+5064</f>
        <v>9571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7"/>
        <v>0</v>
      </c>
      <c r="AE18" s="36">
        <f>$AD$32</f>
        <v>0.39082159892786594</v>
      </c>
      <c r="AF18" s="81">
        <f t="shared" si="6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115</v>
      </c>
      <c r="E19" s="53" t="s">
        <v>854</v>
      </c>
      <c r="F19" s="30" t="s">
        <v>147</v>
      </c>
      <c r="G19" s="12">
        <v>1</v>
      </c>
      <c r="H19" s="13">
        <v>22</v>
      </c>
      <c r="I19" s="31">
        <v>2500</v>
      </c>
      <c r="J19" s="5">
        <v>4104</v>
      </c>
      <c r="K19" s="15">
        <f>L19</f>
        <v>4104</v>
      </c>
      <c r="L19" s="15">
        <f>1765+2339</f>
        <v>4104</v>
      </c>
      <c r="M19" s="15">
        <f t="shared" si="0"/>
        <v>4104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7"/>
        <v>0.875</v>
      </c>
      <c r="AE19" s="36">
        <f>$AD$32</f>
        <v>0.39082159892786594</v>
      </c>
      <c r="AF19" s="81">
        <f t="shared" si="6"/>
        <v>13</v>
      </c>
    </row>
    <row r="20" spans="1:32" ht="27" customHeight="1">
      <c r="A20" s="92">
        <v>14</v>
      </c>
      <c r="B20" s="11" t="s">
        <v>57</v>
      </c>
      <c r="C20" s="11" t="s">
        <v>112</v>
      </c>
      <c r="D20" s="52" t="s">
        <v>144</v>
      </c>
      <c r="E20" s="53" t="s">
        <v>747</v>
      </c>
      <c r="F20" s="30" t="s">
        <v>122</v>
      </c>
      <c r="G20" s="33">
        <v>4</v>
      </c>
      <c r="H20" s="35">
        <v>24</v>
      </c>
      <c r="I20" s="7">
        <v>61000</v>
      </c>
      <c r="J20" s="14">
        <v>19672</v>
      </c>
      <c r="K20" s="15">
        <f>L20+21576+23388+23704</f>
        <v>88340</v>
      </c>
      <c r="L20" s="15">
        <f>2727*4+2191*4</f>
        <v>19672</v>
      </c>
      <c r="M20" s="15">
        <f t="shared" si="0"/>
        <v>19672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7"/>
        <v>1</v>
      </c>
      <c r="AE20" s="36">
        <f>$AD$32</f>
        <v>0.39082159892786594</v>
      </c>
      <c r="AF20" s="81">
        <f t="shared" si="6"/>
        <v>14</v>
      </c>
    </row>
    <row r="21" spans="1:32" ht="27" customHeight="1">
      <c r="A21" s="106">
        <v>15</v>
      </c>
      <c r="B21" s="11" t="s">
        <v>57</v>
      </c>
      <c r="C21" s="11" t="s">
        <v>116</v>
      </c>
      <c r="D21" s="52" t="s">
        <v>142</v>
      </c>
      <c r="E21" s="53" t="s">
        <v>232</v>
      </c>
      <c r="F21" s="30" t="s">
        <v>176</v>
      </c>
      <c r="G21" s="33">
        <v>1</v>
      </c>
      <c r="H21" s="35">
        <v>24</v>
      </c>
      <c r="I21" s="7">
        <v>37000</v>
      </c>
      <c r="J21" s="14">
        <v>1869</v>
      </c>
      <c r="K21" s="15">
        <f>L21+4347+5077+2902+5541+5595</f>
        <v>25331</v>
      </c>
      <c r="L21" s="15">
        <v>1869</v>
      </c>
      <c r="M21" s="15">
        <f t="shared" si="0"/>
        <v>1869</v>
      </c>
      <c r="N21" s="15">
        <v>0</v>
      </c>
      <c r="O21" s="58">
        <f t="shared" si="1"/>
        <v>0</v>
      </c>
      <c r="P21" s="39">
        <f t="shared" si="2"/>
        <v>8</v>
      </c>
      <c r="Q21" s="40">
        <f t="shared" si="3"/>
        <v>16</v>
      </c>
      <c r="R21" s="7"/>
      <c r="S21" s="6">
        <v>16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0.33333333333333331</v>
      </c>
      <c r="AD21" s="10">
        <f t="shared" si="7"/>
        <v>0.33333333333333331</v>
      </c>
      <c r="AE21" s="36">
        <f>$AD$32</f>
        <v>0.39082159892786594</v>
      </c>
      <c r="AF21" s="81">
        <f t="shared" si="6"/>
        <v>15</v>
      </c>
    </row>
    <row r="22" spans="1:32" ht="27" customHeight="1">
      <c r="A22" s="106">
        <v>15</v>
      </c>
      <c r="B22" s="11" t="s">
        <v>57</v>
      </c>
      <c r="C22" s="11" t="s">
        <v>116</v>
      </c>
      <c r="D22" s="52" t="s">
        <v>855</v>
      </c>
      <c r="E22" s="53" t="s">
        <v>856</v>
      </c>
      <c r="F22" s="30" t="s">
        <v>437</v>
      </c>
      <c r="G22" s="33">
        <v>1</v>
      </c>
      <c r="H22" s="35">
        <v>24</v>
      </c>
      <c r="I22" s="7">
        <v>5000</v>
      </c>
      <c r="J22" s="14">
        <v>6298</v>
      </c>
      <c r="K22" s="15">
        <f>L22</f>
        <v>6298</v>
      </c>
      <c r="L22" s="15">
        <f>2814*2+335*2</f>
        <v>6298</v>
      </c>
      <c r="M22" s="15">
        <f t="shared" ref="M22" si="8">L22-N22</f>
        <v>6298</v>
      </c>
      <c r="N22" s="15">
        <v>0</v>
      </c>
      <c r="O22" s="58">
        <f t="shared" ref="O22" si="9">IF(L22=0,"0",N22/L22)</f>
        <v>0</v>
      </c>
      <c r="P22" s="39">
        <f t="shared" ref="P22" si="10">IF(L22=0,"0",(24-Q22))</f>
        <v>15</v>
      </c>
      <c r="Q22" s="40">
        <f t="shared" ref="Q22" si="11">SUM(R22:AA22)</f>
        <v>9</v>
      </c>
      <c r="R22" s="7"/>
      <c r="S22" s="6"/>
      <c r="T22" s="16">
        <v>9</v>
      </c>
      <c r="U22" s="16"/>
      <c r="V22" s="17"/>
      <c r="W22" s="5"/>
      <c r="X22" s="16"/>
      <c r="Y22" s="16"/>
      <c r="Z22" s="16"/>
      <c r="AA22" s="18"/>
      <c r="AB22" s="8">
        <f t="shared" ref="AB22" si="12">IF(J22=0,"0",(L22/J22))</f>
        <v>1</v>
      </c>
      <c r="AC22" s="9">
        <f t="shared" ref="AC22" si="13">IF(P22=0,"0",(P22/24))</f>
        <v>0.625</v>
      </c>
      <c r="AD22" s="10">
        <f t="shared" ref="AD22" si="14">AC22*AB22*(1-O22)</f>
        <v>0.625</v>
      </c>
      <c r="AE22" s="36">
        <f>$AD$32</f>
        <v>0.39082159892786594</v>
      </c>
      <c r="AF22" s="81">
        <f t="shared" ref="AF22" si="15">A22</f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766</v>
      </c>
      <c r="F23" s="12" t="s">
        <v>114</v>
      </c>
      <c r="G23" s="12">
        <v>4</v>
      </c>
      <c r="H23" s="35">
        <v>20</v>
      </c>
      <c r="I23" s="7">
        <v>2000000</v>
      </c>
      <c r="J23" s="14">
        <v>48648</v>
      </c>
      <c r="K23" s="15">
        <f>L23+42564+54464+54940</f>
        <v>200616</v>
      </c>
      <c r="L23" s="15">
        <f>5823*4+6339*4</f>
        <v>48648</v>
      </c>
      <c r="M23" s="15">
        <f t="shared" si="0"/>
        <v>48648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7"/>
        <v>1</v>
      </c>
      <c r="AE23" s="36">
        <f>$AD$32</f>
        <v>0.39082159892786594</v>
      </c>
      <c r="AF23" s="81">
        <f t="shared" si="6"/>
        <v>16</v>
      </c>
    </row>
    <row r="24" spans="1:32" ht="26.25" customHeight="1">
      <c r="A24" s="115">
        <v>17</v>
      </c>
      <c r="B24" s="11" t="s">
        <v>57</v>
      </c>
      <c r="C24" s="11"/>
      <c r="D24" s="52"/>
      <c r="E24" s="53"/>
      <c r="F24" s="12"/>
      <c r="G24" s="12"/>
      <c r="H24" s="35"/>
      <c r="I24" s="7">
        <v>0</v>
      </c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7"/>
        <v>0</v>
      </c>
      <c r="AE24" s="36">
        <f>$AD$32</f>
        <v>0.39082159892786594</v>
      </c>
      <c r="AF24" s="81">
        <f t="shared" si="6"/>
        <v>17</v>
      </c>
    </row>
    <row r="25" spans="1:32" ht="26.25" customHeight="1">
      <c r="A25" s="115">
        <v>18</v>
      </c>
      <c r="B25" s="11" t="s">
        <v>57</v>
      </c>
      <c r="C25" s="11" t="s">
        <v>116</v>
      </c>
      <c r="D25" s="52" t="s">
        <v>152</v>
      </c>
      <c r="E25" s="53" t="s">
        <v>166</v>
      </c>
      <c r="F25" s="12" t="s">
        <v>153</v>
      </c>
      <c r="G25" s="12">
        <v>4</v>
      </c>
      <c r="H25" s="35">
        <v>15</v>
      </c>
      <c r="I25" s="7">
        <v>20000</v>
      </c>
      <c r="J25" s="14">
        <v>24024</v>
      </c>
      <c r="K25" s="15">
        <f>L25+14040+7084+2888+25304+4864+24024</f>
        <v>78204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/>
      <c r="X25" s="16"/>
      <c r="Y25" s="16"/>
      <c r="Z25" s="16"/>
      <c r="AA25" s="18">
        <v>24</v>
      </c>
      <c r="AB25" s="8">
        <f t="shared" si="4"/>
        <v>0</v>
      </c>
      <c r="AC25" s="9">
        <f t="shared" si="5"/>
        <v>0</v>
      </c>
      <c r="AD25" s="10">
        <f t="shared" si="7"/>
        <v>0</v>
      </c>
      <c r="AE25" s="36">
        <f>$AD$32</f>
        <v>0.39082159892786594</v>
      </c>
      <c r="AF25" s="81">
        <f t="shared" si="6"/>
        <v>18</v>
      </c>
    </row>
    <row r="26" spans="1:32" ht="21.75" customHeight="1">
      <c r="A26" s="92">
        <v>31</v>
      </c>
      <c r="B26" s="11" t="s">
        <v>57</v>
      </c>
      <c r="C26" s="11" t="s">
        <v>116</v>
      </c>
      <c r="D26" s="52" t="s">
        <v>115</v>
      </c>
      <c r="E26" s="53" t="s">
        <v>139</v>
      </c>
      <c r="F26" s="12" t="s">
        <v>133</v>
      </c>
      <c r="G26" s="12">
        <v>4</v>
      </c>
      <c r="H26" s="35">
        <v>20</v>
      </c>
      <c r="I26" s="7">
        <v>100000</v>
      </c>
      <c r="J26" s="14">
        <v>1872</v>
      </c>
      <c r="K26" s="15">
        <f>L26+1872+6880</f>
        <v>8752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7"/>
        <v>0</v>
      </c>
      <c r="AE26" s="36">
        <f>$AD$32</f>
        <v>0.39082159892786594</v>
      </c>
      <c r="AF26" s="81">
        <f t="shared" si="6"/>
        <v>31</v>
      </c>
    </row>
    <row r="27" spans="1:32" ht="21.75" customHeight="1">
      <c r="A27" s="92">
        <v>32</v>
      </c>
      <c r="B27" s="11" t="s">
        <v>57</v>
      </c>
      <c r="C27" s="11" t="s">
        <v>150</v>
      </c>
      <c r="D27" s="52"/>
      <c r="E27" s="53" t="s">
        <v>149</v>
      </c>
      <c r="F27" s="12" t="s">
        <v>151</v>
      </c>
      <c r="G27" s="12">
        <v>30</v>
      </c>
      <c r="H27" s="35">
        <v>20</v>
      </c>
      <c r="I27" s="7">
        <v>2000000</v>
      </c>
      <c r="J27" s="14">
        <v>189476</v>
      </c>
      <c r="K27" s="15">
        <f>L27+322260+481964+478184+484736+189476</f>
        <v>1956620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7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7"/>
        <v>0</v>
      </c>
      <c r="AE27" s="36">
        <f>$AD$32</f>
        <v>0.39082159892786594</v>
      </c>
      <c r="AF27" s="81">
        <f t="shared" si="6"/>
        <v>32</v>
      </c>
    </row>
    <row r="28" spans="1:32" ht="21.75" customHeight="1">
      <c r="A28" s="92">
        <v>33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133</v>
      </c>
      <c r="G28" s="12">
        <v>4</v>
      </c>
      <c r="H28" s="35">
        <v>20</v>
      </c>
      <c r="I28" s="7">
        <f>180000+150000</f>
        <v>330000</v>
      </c>
      <c r="J28" s="14">
        <v>22760</v>
      </c>
      <c r="K28" s="15">
        <f>L28+20480+24108+23840+23940+22144+18434+21892+23604+20052+19824+24080+22760</f>
        <v>265158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7"/>
        <v>0</v>
      </c>
      <c r="AE28" s="36">
        <f>$AD$32</f>
        <v>0.39082159892786594</v>
      </c>
      <c r="AF28" s="81">
        <f t="shared" si="6"/>
        <v>33</v>
      </c>
    </row>
    <row r="29" spans="1:32" ht="21.75" customHeight="1">
      <c r="A29" s="92">
        <v>34</v>
      </c>
      <c r="B29" s="11" t="s">
        <v>57</v>
      </c>
      <c r="C29" s="11" t="s">
        <v>116</v>
      </c>
      <c r="D29" s="52" t="s">
        <v>157</v>
      </c>
      <c r="E29" s="53" t="s">
        <v>170</v>
      </c>
      <c r="F29" s="12" t="s">
        <v>123</v>
      </c>
      <c r="G29" s="12">
        <v>4</v>
      </c>
      <c r="H29" s="35">
        <v>20</v>
      </c>
      <c r="I29" s="7">
        <f t="shared" ref="I29:I30" si="16">180000+150000</f>
        <v>330000</v>
      </c>
      <c r="J29" s="14">
        <v>23324</v>
      </c>
      <c r="K29" s="15">
        <f>L29+22128+27588+27392+27540+25512+23844+27296+27604+27180+23324</f>
        <v>259408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7"/>
        <v>0</v>
      </c>
      <c r="AE29" s="36">
        <f>$AD$32</f>
        <v>0.39082159892786594</v>
      </c>
      <c r="AF29" s="81">
        <f t="shared" si="6"/>
        <v>34</v>
      </c>
    </row>
    <row r="30" spans="1:32" ht="21.75" customHeight="1">
      <c r="A30" s="92">
        <v>35</v>
      </c>
      <c r="B30" s="11" t="s">
        <v>57</v>
      </c>
      <c r="C30" s="11" t="s">
        <v>116</v>
      </c>
      <c r="D30" s="52" t="s">
        <v>121</v>
      </c>
      <c r="E30" s="53" t="s">
        <v>171</v>
      </c>
      <c r="F30" s="12" t="s">
        <v>123</v>
      </c>
      <c r="G30" s="12">
        <v>4</v>
      </c>
      <c r="H30" s="35">
        <v>20</v>
      </c>
      <c r="I30" s="7">
        <f t="shared" si="16"/>
        <v>330000</v>
      </c>
      <c r="J30" s="14">
        <v>25000</v>
      </c>
      <c r="K30" s="15">
        <f>L30+18992+29436+29448+29672+26652+25912+29256+29552+29404+25000</f>
        <v>273324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/>
      <c r="W30" s="5">
        <v>24</v>
      </c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7"/>
        <v>0</v>
      </c>
      <c r="AE30" s="36">
        <f>$AD$32</f>
        <v>0.39082159892786594</v>
      </c>
      <c r="AF30" s="81">
        <f t="shared" si="6"/>
        <v>35</v>
      </c>
    </row>
    <row r="31" spans="1:32" ht="21.75" customHeight="1" thickBot="1">
      <c r="A31" s="92">
        <v>36</v>
      </c>
      <c r="B31" s="11" t="s">
        <v>57</v>
      </c>
      <c r="C31" s="11" t="s">
        <v>113</v>
      </c>
      <c r="D31" s="52"/>
      <c r="E31" s="53" t="s">
        <v>140</v>
      </c>
      <c r="F31" s="12" t="s">
        <v>114</v>
      </c>
      <c r="G31" s="12">
        <v>4</v>
      </c>
      <c r="H31" s="35">
        <v>20</v>
      </c>
      <c r="I31" s="7">
        <v>1000000</v>
      </c>
      <c r="J31" s="14">
        <v>79328</v>
      </c>
      <c r="K31" s="15">
        <f>L31+28388+70816+76368+81764+83428+47688+53180+83092+82192+79328</f>
        <v>686244</v>
      </c>
      <c r="L31" s="15"/>
      <c r="M31" s="15">
        <f t="shared" si="0"/>
        <v>0</v>
      </c>
      <c r="N31" s="15">
        <v>0</v>
      </c>
      <c r="O31" s="58" t="str">
        <f t="shared" si="1"/>
        <v>0</v>
      </c>
      <c r="P31" s="39" t="str">
        <f t="shared" si="2"/>
        <v>0</v>
      </c>
      <c r="Q31" s="40">
        <f t="shared" si="3"/>
        <v>24</v>
      </c>
      <c r="R31" s="7"/>
      <c r="S31" s="6"/>
      <c r="T31" s="16"/>
      <c r="U31" s="16"/>
      <c r="V31" s="114">
        <v>24</v>
      </c>
      <c r="W31" s="5"/>
      <c r="X31" s="16"/>
      <c r="Y31" s="16"/>
      <c r="Z31" s="16"/>
      <c r="AA31" s="18"/>
      <c r="AB31" s="8">
        <f t="shared" si="4"/>
        <v>0</v>
      </c>
      <c r="AC31" s="9">
        <f t="shared" si="5"/>
        <v>0</v>
      </c>
      <c r="AD31" s="10">
        <f t="shared" si="7"/>
        <v>0</v>
      </c>
      <c r="AE31" s="36">
        <f>$AD$32</f>
        <v>0.39082159892786594</v>
      </c>
      <c r="AF31" s="81">
        <f t="shared" si="6"/>
        <v>36</v>
      </c>
    </row>
    <row r="32" spans="1:32" ht="19.5" thickBot="1">
      <c r="A32" s="420" t="s">
        <v>34</v>
      </c>
      <c r="B32" s="421"/>
      <c r="C32" s="421"/>
      <c r="D32" s="421"/>
      <c r="E32" s="421"/>
      <c r="F32" s="421"/>
      <c r="G32" s="421"/>
      <c r="H32" s="422"/>
      <c r="I32" s="22">
        <f>SUM(I6:I31)</f>
        <v>6850300</v>
      </c>
      <c r="J32" s="19">
        <f>SUM(J6:J31)</f>
        <v>526352</v>
      </c>
      <c r="K32" s="20">
        <f>SUM(K6:K31)</f>
        <v>4253863</v>
      </c>
      <c r="L32" s="21">
        <f>SUM(L6:L31)</f>
        <v>125937</v>
      </c>
      <c r="M32" s="20">
        <f>SUM(M6:M31)</f>
        <v>125937</v>
      </c>
      <c r="N32" s="21">
        <f>SUM(N6:N31)</f>
        <v>0</v>
      </c>
      <c r="O32" s="41">
        <f t="shared" si="1"/>
        <v>0</v>
      </c>
      <c r="P32" s="42">
        <f>SUM(P6:P31)</f>
        <v>242</v>
      </c>
      <c r="Q32" s="43">
        <f>SUM(Q6:Q31)</f>
        <v>382</v>
      </c>
      <c r="R32" s="23">
        <f>SUM(R6:R31)</f>
        <v>0</v>
      </c>
      <c r="S32" s="24">
        <f>SUM(S6:S31)</f>
        <v>129</v>
      </c>
      <c r="T32" s="24">
        <f>SUM(T6:T31)</f>
        <v>19</v>
      </c>
      <c r="U32" s="24">
        <f>SUM(U6:U31)</f>
        <v>0</v>
      </c>
      <c r="V32" s="25">
        <f>SUM(V6:V31)</f>
        <v>48</v>
      </c>
      <c r="W32" s="26">
        <f>SUM(W6:W31)</f>
        <v>162</v>
      </c>
      <c r="X32" s="27">
        <f>SUM(X6:X31)</f>
        <v>0</v>
      </c>
      <c r="Y32" s="27">
        <f>SUM(Y6:Y31)</f>
        <v>0</v>
      </c>
      <c r="Z32" s="27">
        <f>SUM(Z6:Z31)</f>
        <v>0</v>
      </c>
      <c r="AA32" s="27">
        <f>SUM(AA6:AA31)</f>
        <v>24</v>
      </c>
      <c r="AB32" s="28">
        <f>AVERAGE(AB6:AB31)</f>
        <v>0.52312112955164725</v>
      </c>
      <c r="AC32" s="4">
        <f>AVERAGE(AC6:AC31)</f>
        <v>0.38782051282051283</v>
      </c>
      <c r="AD32" s="4">
        <f>AVERAGE(AD6:AD31)</f>
        <v>0.39082159892786594</v>
      </c>
      <c r="AE32" s="29"/>
    </row>
    <row r="33" spans="1:32">
      <c r="T33" s="50" t="s">
        <v>125</v>
      </c>
    </row>
    <row r="34" spans="1:32" ht="18.75">
      <c r="A34" s="2"/>
      <c r="B34" s="2" t="s">
        <v>35</v>
      </c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 t="s">
        <v>36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2" ht="7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1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 ht="7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 ht="7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 ht="7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 ht="7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 ht="7.5" customHeight="1">
      <c r="A40" s="49"/>
      <c r="B40" s="49" t="s">
        <v>126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 ht="7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 ht="7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 ht="7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82"/>
    </row>
    <row r="44" spans="1:32" ht="7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7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7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7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7.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12" customHeight="1">
      <c r="A49" s="59"/>
      <c r="B49" s="59"/>
      <c r="C49" s="59"/>
      <c r="D49" s="59"/>
      <c r="E49" s="59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F49" s="50"/>
    </row>
    <row r="50" spans="1:32" ht="12" customHeight="1">
      <c r="A50" s="60"/>
      <c r="B50" s="60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F50" s="50"/>
    </row>
    <row r="51" spans="1:32" ht="12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2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2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2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2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2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2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36" thickBot="1">
      <c r="A59" s="484" t="s">
        <v>45</v>
      </c>
      <c r="B59" s="484"/>
      <c r="C59" s="484"/>
      <c r="D59" s="484"/>
      <c r="E59" s="484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26.25" thickBot="1">
      <c r="A60" s="424" t="s">
        <v>857</v>
      </c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6"/>
      <c r="N60" s="427" t="s">
        <v>239</v>
      </c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9"/>
    </row>
    <row r="61" spans="1:32" ht="27" customHeight="1">
      <c r="A61" s="430" t="s">
        <v>2</v>
      </c>
      <c r="B61" s="431"/>
      <c r="C61" s="392" t="s">
        <v>46</v>
      </c>
      <c r="D61" s="392" t="s">
        <v>47</v>
      </c>
      <c r="E61" s="392" t="s">
        <v>107</v>
      </c>
      <c r="F61" s="432" t="s">
        <v>106</v>
      </c>
      <c r="G61" s="433"/>
      <c r="H61" s="433"/>
      <c r="I61" s="433"/>
      <c r="J61" s="433"/>
      <c r="K61" s="433"/>
      <c r="L61" s="433"/>
      <c r="M61" s="434"/>
      <c r="N61" s="67" t="s">
        <v>110</v>
      </c>
      <c r="O61" s="392" t="s">
        <v>46</v>
      </c>
      <c r="P61" s="432" t="s">
        <v>47</v>
      </c>
      <c r="Q61" s="435"/>
      <c r="R61" s="432" t="s">
        <v>38</v>
      </c>
      <c r="S61" s="433"/>
      <c r="T61" s="433"/>
      <c r="U61" s="435"/>
      <c r="V61" s="432" t="s">
        <v>48</v>
      </c>
      <c r="W61" s="433"/>
      <c r="X61" s="433"/>
      <c r="Y61" s="433"/>
      <c r="Z61" s="433"/>
      <c r="AA61" s="433"/>
      <c r="AB61" s="433"/>
      <c r="AC61" s="433"/>
      <c r="AD61" s="434"/>
    </row>
    <row r="62" spans="1:32" ht="27" customHeight="1">
      <c r="A62" s="446" t="s">
        <v>116</v>
      </c>
      <c r="B62" s="447"/>
      <c r="C62" s="393" t="s">
        <v>138</v>
      </c>
      <c r="D62" s="393" t="s">
        <v>161</v>
      </c>
      <c r="E62" s="394" t="s">
        <v>182</v>
      </c>
      <c r="F62" s="448" t="s">
        <v>200</v>
      </c>
      <c r="G62" s="449"/>
      <c r="H62" s="449"/>
      <c r="I62" s="449"/>
      <c r="J62" s="449"/>
      <c r="K62" s="449"/>
      <c r="L62" s="449"/>
      <c r="M62" s="450"/>
      <c r="N62" s="116" t="s">
        <v>112</v>
      </c>
      <c r="O62" s="403" t="s">
        <v>141</v>
      </c>
      <c r="P62" s="451" t="s">
        <v>115</v>
      </c>
      <c r="Q62" s="452"/>
      <c r="R62" s="451" t="s">
        <v>829</v>
      </c>
      <c r="S62" s="453"/>
      <c r="T62" s="453"/>
      <c r="U62" s="452"/>
      <c r="V62" s="454" t="s">
        <v>137</v>
      </c>
      <c r="W62" s="455"/>
      <c r="X62" s="455"/>
      <c r="Y62" s="455"/>
      <c r="Z62" s="455"/>
      <c r="AA62" s="455"/>
      <c r="AB62" s="455"/>
      <c r="AC62" s="455"/>
      <c r="AD62" s="456"/>
    </row>
    <row r="63" spans="1:32" ht="27" customHeight="1">
      <c r="A63" s="446" t="s">
        <v>112</v>
      </c>
      <c r="B63" s="447"/>
      <c r="C63" s="393" t="s">
        <v>141</v>
      </c>
      <c r="D63" s="393" t="s">
        <v>115</v>
      </c>
      <c r="E63" s="394" t="s">
        <v>851</v>
      </c>
      <c r="F63" s="448" t="s">
        <v>858</v>
      </c>
      <c r="G63" s="449"/>
      <c r="H63" s="449"/>
      <c r="I63" s="449"/>
      <c r="J63" s="449"/>
      <c r="K63" s="449"/>
      <c r="L63" s="449"/>
      <c r="M63" s="450"/>
      <c r="N63" s="116" t="s">
        <v>112</v>
      </c>
      <c r="O63" s="399" t="s">
        <v>868</v>
      </c>
      <c r="P63" s="451" t="s">
        <v>866</v>
      </c>
      <c r="Q63" s="452"/>
      <c r="R63" s="451" t="s">
        <v>867</v>
      </c>
      <c r="S63" s="453"/>
      <c r="T63" s="453"/>
      <c r="U63" s="452"/>
      <c r="V63" s="454" t="s">
        <v>137</v>
      </c>
      <c r="W63" s="455"/>
      <c r="X63" s="455"/>
      <c r="Y63" s="455"/>
      <c r="Z63" s="455"/>
      <c r="AA63" s="455"/>
      <c r="AB63" s="455"/>
      <c r="AC63" s="455"/>
      <c r="AD63" s="456"/>
    </row>
    <row r="64" spans="1:32" ht="27" customHeight="1">
      <c r="A64" s="446" t="s">
        <v>243</v>
      </c>
      <c r="B64" s="447"/>
      <c r="C64" s="404" t="s">
        <v>443</v>
      </c>
      <c r="D64" s="404" t="s">
        <v>115</v>
      </c>
      <c r="E64" s="405" t="s">
        <v>803</v>
      </c>
      <c r="F64" s="448" t="s">
        <v>859</v>
      </c>
      <c r="G64" s="449"/>
      <c r="H64" s="449"/>
      <c r="I64" s="449"/>
      <c r="J64" s="449"/>
      <c r="K64" s="449"/>
      <c r="L64" s="449"/>
      <c r="M64" s="450"/>
      <c r="N64" s="116" t="s">
        <v>870</v>
      </c>
      <c r="O64" s="399" t="s">
        <v>871</v>
      </c>
      <c r="P64" s="451" t="s">
        <v>872</v>
      </c>
      <c r="Q64" s="452"/>
      <c r="R64" s="451" t="s">
        <v>869</v>
      </c>
      <c r="S64" s="453"/>
      <c r="T64" s="453"/>
      <c r="U64" s="452"/>
      <c r="V64" s="454" t="s">
        <v>146</v>
      </c>
      <c r="W64" s="455"/>
      <c r="X64" s="455"/>
      <c r="Y64" s="455"/>
      <c r="Z64" s="455"/>
      <c r="AA64" s="455"/>
      <c r="AB64" s="455"/>
      <c r="AC64" s="455"/>
      <c r="AD64" s="456"/>
    </row>
    <row r="65" spans="1:32" ht="27" customHeight="1">
      <c r="A65" s="446" t="s">
        <v>116</v>
      </c>
      <c r="B65" s="447"/>
      <c r="C65" s="393" t="s">
        <v>860</v>
      </c>
      <c r="D65" s="393" t="s">
        <v>861</v>
      </c>
      <c r="E65" s="394" t="s">
        <v>853</v>
      </c>
      <c r="F65" s="448" t="s">
        <v>146</v>
      </c>
      <c r="G65" s="449"/>
      <c r="H65" s="449"/>
      <c r="I65" s="449"/>
      <c r="J65" s="449"/>
      <c r="K65" s="449"/>
      <c r="L65" s="449"/>
      <c r="M65" s="450"/>
      <c r="N65" s="116" t="s">
        <v>112</v>
      </c>
      <c r="O65" s="399" t="s">
        <v>874</v>
      </c>
      <c r="P65" s="451" t="s">
        <v>115</v>
      </c>
      <c r="Q65" s="452"/>
      <c r="R65" s="451" t="s">
        <v>873</v>
      </c>
      <c r="S65" s="453"/>
      <c r="T65" s="453"/>
      <c r="U65" s="452"/>
      <c r="V65" s="454" t="s">
        <v>146</v>
      </c>
      <c r="W65" s="455"/>
      <c r="X65" s="455"/>
      <c r="Y65" s="455"/>
      <c r="Z65" s="455"/>
      <c r="AA65" s="455"/>
      <c r="AB65" s="455"/>
      <c r="AC65" s="455"/>
      <c r="AD65" s="456"/>
    </row>
    <row r="66" spans="1:32" ht="27" customHeight="1">
      <c r="A66" s="446" t="s">
        <v>116</v>
      </c>
      <c r="B66" s="447"/>
      <c r="C66" s="393" t="s">
        <v>862</v>
      </c>
      <c r="D66" s="393" t="s">
        <v>115</v>
      </c>
      <c r="E66" s="394" t="s">
        <v>854</v>
      </c>
      <c r="F66" s="448" t="s">
        <v>146</v>
      </c>
      <c r="G66" s="449"/>
      <c r="H66" s="449"/>
      <c r="I66" s="449"/>
      <c r="J66" s="449"/>
      <c r="K66" s="449"/>
      <c r="L66" s="449"/>
      <c r="M66" s="450"/>
      <c r="N66" s="116" t="s">
        <v>112</v>
      </c>
      <c r="O66" s="399" t="s">
        <v>860</v>
      </c>
      <c r="P66" s="451" t="s">
        <v>876</v>
      </c>
      <c r="Q66" s="452"/>
      <c r="R66" s="451" t="s">
        <v>875</v>
      </c>
      <c r="S66" s="453"/>
      <c r="T66" s="453"/>
      <c r="U66" s="452"/>
      <c r="V66" s="454" t="s">
        <v>146</v>
      </c>
      <c r="W66" s="455"/>
      <c r="X66" s="455"/>
      <c r="Y66" s="455"/>
      <c r="Z66" s="455"/>
      <c r="AA66" s="455"/>
      <c r="AB66" s="455"/>
      <c r="AC66" s="455"/>
      <c r="AD66" s="456"/>
    </row>
    <row r="67" spans="1:32" ht="27" customHeight="1">
      <c r="A67" s="446" t="s">
        <v>116</v>
      </c>
      <c r="B67" s="447"/>
      <c r="C67" s="393" t="s">
        <v>863</v>
      </c>
      <c r="D67" s="393" t="s">
        <v>864</v>
      </c>
      <c r="E67" s="394" t="s">
        <v>856</v>
      </c>
      <c r="F67" s="448" t="s">
        <v>146</v>
      </c>
      <c r="G67" s="449"/>
      <c r="H67" s="449"/>
      <c r="I67" s="449"/>
      <c r="J67" s="449"/>
      <c r="K67" s="449"/>
      <c r="L67" s="449"/>
      <c r="M67" s="450"/>
      <c r="N67" s="116" t="s">
        <v>112</v>
      </c>
      <c r="O67" s="399" t="s">
        <v>878</v>
      </c>
      <c r="P67" s="451" t="s">
        <v>879</v>
      </c>
      <c r="Q67" s="452"/>
      <c r="R67" s="451" t="s">
        <v>877</v>
      </c>
      <c r="S67" s="453"/>
      <c r="T67" s="453"/>
      <c r="U67" s="452"/>
      <c r="V67" s="454" t="s">
        <v>137</v>
      </c>
      <c r="W67" s="455"/>
      <c r="X67" s="455"/>
      <c r="Y67" s="455"/>
      <c r="Z67" s="455"/>
      <c r="AA67" s="455"/>
      <c r="AB67" s="455"/>
      <c r="AC67" s="455"/>
      <c r="AD67" s="456"/>
    </row>
    <row r="68" spans="1:32" ht="27" customHeight="1">
      <c r="A68" s="446" t="s">
        <v>116</v>
      </c>
      <c r="B68" s="447"/>
      <c r="C68" s="393" t="s">
        <v>865</v>
      </c>
      <c r="D68" s="393" t="s">
        <v>866</v>
      </c>
      <c r="E68" s="394" t="s">
        <v>849</v>
      </c>
      <c r="F68" s="448" t="s">
        <v>146</v>
      </c>
      <c r="G68" s="449"/>
      <c r="H68" s="449"/>
      <c r="I68" s="449"/>
      <c r="J68" s="449"/>
      <c r="K68" s="449"/>
      <c r="L68" s="449"/>
      <c r="M68" s="450"/>
      <c r="N68" s="116" t="s">
        <v>112</v>
      </c>
      <c r="O68" s="399" t="s">
        <v>863</v>
      </c>
      <c r="P68" s="451" t="s">
        <v>115</v>
      </c>
      <c r="Q68" s="452"/>
      <c r="R68" s="451" t="s">
        <v>880</v>
      </c>
      <c r="S68" s="453"/>
      <c r="T68" s="453"/>
      <c r="U68" s="452"/>
      <c r="V68" s="454" t="s">
        <v>146</v>
      </c>
      <c r="W68" s="455"/>
      <c r="X68" s="455"/>
      <c r="Y68" s="455"/>
      <c r="Z68" s="455"/>
      <c r="AA68" s="455"/>
      <c r="AB68" s="455"/>
      <c r="AC68" s="455"/>
      <c r="AD68" s="456"/>
    </row>
    <row r="69" spans="1:32" ht="27" customHeight="1">
      <c r="A69" s="446"/>
      <c r="B69" s="447"/>
      <c r="C69" s="393"/>
      <c r="D69" s="393"/>
      <c r="E69" s="394"/>
      <c r="F69" s="448"/>
      <c r="G69" s="449"/>
      <c r="H69" s="449"/>
      <c r="I69" s="449"/>
      <c r="J69" s="449"/>
      <c r="K69" s="449"/>
      <c r="L69" s="449"/>
      <c r="M69" s="450"/>
      <c r="N69" s="116"/>
      <c r="O69" s="399"/>
      <c r="P69" s="451"/>
      <c r="Q69" s="452"/>
      <c r="R69" s="451"/>
      <c r="S69" s="453"/>
      <c r="T69" s="453"/>
      <c r="U69" s="452"/>
      <c r="V69" s="454"/>
      <c r="W69" s="455"/>
      <c r="X69" s="455"/>
      <c r="Y69" s="455"/>
      <c r="Z69" s="455"/>
      <c r="AA69" s="455"/>
      <c r="AB69" s="455"/>
      <c r="AC69" s="455"/>
      <c r="AD69" s="456"/>
    </row>
    <row r="70" spans="1:32" ht="27" customHeight="1">
      <c r="A70" s="446"/>
      <c r="B70" s="447"/>
      <c r="C70" s="393"/>
      <c r="D70" s="393"/>
      <c r="E70" s="394"/>
      <c r="F70" s="448"/>
      <c r="G70" s="449"/>
      <c r="H70" s="449"/>
      <c r="I70" s="449"/>
      <c r="J70" s="449"/>
      <c r="K70" s="449"/>
      <c r="L70" s="449"/>
      <c r="M70" s="450"/>
      <c r="N70" s="116"/>
      <c r="O70" s="399"/>
      <c r="P70" s="457"/>
      <c r="Q70" s="457"/>
      <c r="R70" s="457"/>
      <c r="S70" s="457"/>
      <c r="T70" s="457"/>
      <c r="U70" s="457"/>
      <c r="V70" s="454"/>
      <c r="W70" s="455"/>
      <c r="X70" s="455"/>
      <c r="Y70" s="455"/>
      <c r="Z70" s="455"/>
      <c r="AA70" s="455"/>
      <c r="AB70" s="455"/>
      <c r="AC70" s="455"/>
      <c r="AD70" s="456"/>
      <c r="AF70" s="81">
        <f>8*3000</f>
        <v>24000</v>
      </c>
    </row>
    <row r="71" spans="1:32" ht="27" customHeight="1" thickBot="1">
      <c r="A71" s="458"/>
      <c r="B71" s="459"/>
      <c r="C71" s="395"/>
      <c r="D71" s="396"/>
      <c r="E71" s="395"/>
      <c r="F71" s="460"/>
      <c r="G71" s="461"/>
      <c r="H71" s="461"/>
      <c r="I71" s="461"/>
      <c r="J71" s="461"/>
      <c r="K71" s="461"/>
      <c r="L71" s="461"/>
      <c r="M71" s="462"/>
      <c r="N71" s="105"/>
      <c r="O71" s="97"/>
      <c r="P71" s="463"/>
      <c r="Q71" s="463"/>
      <c r="R71" s="463"/>
      <c r="S71" s="463"/>
      <c r="T71" s="463"/>
      <c r="U71" s="463"/>
      <c r="V71" s="464"/>
      <c r="W71" s="464"/>
      <c r="X71" s="464"/>
      <c r="Y71" s="464"/>
      <c r="Z71" s="464"/>
      <c r="AA71" s="464"/>
      <c r="AB71" s="464"/>
      <c r="AC71" s="464"/>
      <c r="AD71" s="465"/>
      <c r="AF71" s="81">
        <f>16*3000</f>
        <v>48000</v>
      </c>
    </row>
    <row r="72" spans="1:32" ht="27.75" thickBot="1">
      <c r="A72" s="466" t="s">
        <v>881</v>
      </c>
      <c r="B72" s="466"/>
      <c r="C72" s="466"/>
      <c r="D72" s="466"/>
      <c r="E72" s="46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81">
        <v>24000</v>
      </c>
    </row>
    <row r="73" spans="1:32" ht="29.25" customHeight="1" thickBot="1">
      <c r="A73" s="467" t="s">
        <v>111</v>
      </c>
      <c r="B73" s="468"/>
      <c r="C73" s="397" t="s">
        <v>2</v>
      </c>
      <c r="D73" s="397" t="s">
        <v>37</v>
      </c>
      <c r="E73" s="397" t="s">
        <v>3</v>
      </c>
      <c r="F73" s="468" t="s">
        <v>109</v>
      </c>
      <c r="G73" s="468"/>
      <c r="H73" s="468"/>
      <c r="I73" s="468"/>
      <c r="J73" s="468"/>
      <c r="K73" s="468" t="s">
        <v>39</v>
      </c>
      <c r="L73" s="468"/>
      <c r="M73" s="397" t="s">
        <v>40</v>
      </c>
      <c r="N73" s="468" t="s">
        <v>41</v>
      </c>
      <c r="O73" s="468"/>
      <c r="P73" s="469" t="s">
        <v>42</v>
      </c>
      <c r="Q73" s="470"/>
      <c r="R73" s="469" t="s">
        <v>43</v>
      </c>
      <c r="S73" s="471"/>
      <c r="T73" s="471"/>
      <c r="U73" s="471"/>
      <c r="V73" s="471"/>
      <c r="W73" s="471"/>
      <c r="X73" s="471"/>
      <c r="Y73" s="471"/>
      <c r="Z73" s="471"/>
      <c r="AA73" s="470"/>
      <c r="AB73" s="468" t="s">
        <v>44</v>
      </c>
      <c r="AC73" s="468"/>
      <c r="AD73" s="472"/>
      <c r="AF73" s="81">
        <f>SUM(AF70:AF72)</f>
        <v>96000</v>
      </c>
    </row>
    <row r="74" spans="1:32" ht="25.5" customHeight="1">
      <c r="A74" s="473">
        <v>1</v>
      </c>
      <c r="B74" s="474"/>
      <c r="C74" s="98"/>
      <c r="D74" s="401"/>
      <c r="E74" s="398"/>
      <c r="F74" s="475"/>
      <c r="G74" s="476"/>
      <c r="H74" s="476"/>
      <c r="I74" s="476"/>
      <c r="J74" s="476"/>
      <c r="K74" s="476"/>
      <c r="L74" s="476"/>
      <c r="M74" s="51"/>
      <c r="N74" s="477"/>
      <c r="O74" s="477"/>
      <c r="P74" s="478"/>
      <c r="Q74" s="478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6"/>
      <c r="AC74" s="476"/>
      <c r="AD74" s="480"/>
      <c r="AF74" s="50"/>
    </row>
    <row r="75" spans="1:32" ht="25.5" customHeight="1">
      <c r="A75" s="473">
        <v>2</v>
      </c>
      <c r="B75" s="474"/>
      <c r="C75" s="98"/>
      <c r="D75" s="401"/>
      <c r="E75" s="398"/>
      <c r="F75" s="481"/>
      <c r="G75" s="482"/>
      <c r="H75" s="482"/>
      <c r="I75" s="482"/>
      <c r="J75" s="483"/>
      <c r="K75" s="476"/>
      <c r="L75" s="476"/>
      <c r="M75" s="51"/>
      <c r="N75" s="477"/>
      <c r="O75" s="477"/>
      <c r="P75" s="478"/>
      <c r="Q75" s="478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6"/>
      <c r="AC75" s="476"/>
      <c r="AD75" s="480"/>
      <c r="AF75" s="50"/>
    </row>
    <row r="76" spans="1:32" ht="25.5" customHeight="1">
      <c r="A76" s="473">
        <v>3</v>
      </c>
      <c r="B76" s="474"/>
      <c r="C76" s="98"/>
      <c r="D76" s="401"/>
      <c r="E76" s="398"/>
      <c r="F76" s="475"/>
      <c r="G76" s="476"/>
      <c r="H76" s="476"/>
      <c r="I76" s="476"/>
      <c r="J76" s="476"/>
      <c r="K76" s="476"/>
      <c r="L76" s="476"/>
      <c r="M76" s="51"/>
      <c r="N76" s="477"/>
      <c r="O76" s="477"/>
      <c r="P76" s="478"/>
      <c r="Q76" s="478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6"/>
      <c r="AC76" s="476"/>
      <c r="AD76" s="480"/>
      <c r="AF76" s="50"/>
    </row>
    <row r="77" spans="1:32" ht="25.5" customHeight="1">
      <c r="A77" s="473">
        <v>4</v>
      </c>
      <c r="B77" s="474"/>
      <c r="C77" s="98"/>
      <c r="D77" s="401"/>
      <c r="E77" s="398"/>
      <c r="F77" s="481"/>
      <c r="G77" s="482"/>
      <c r="H77" s="482"/>
      <c r="I77" s="482"/>
      <c r="J77" s="483"/>
      <c r="K77" s="476"/>
      <c r="L77" s="476"/>
      <c r="M77" s="51"/>
      <c r="N77" s="477"/>
      <c r="O77" s="477"/>
      <c r="P77" s="478"/>
      <c r="Q77" s="478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6"/>
      <c r="AC77" s="476"/>
      <c r="AD77" s="480"/>
      <c r="AF77" s="50"/>
    </row>
    <row r="78" spans="1:32" ht="25.5" customHeight="1">
      <c r="A78" s="473">
        <v>5</v>
      </c>
      <c r="B78" s="474"/>
      <c r="C78" s="98"/>
      <c r="D78" s="401"/>
      <c r="E78" s="398"/>
      <c r="F78" s="481"/>
      <c r="G78" s="482"/>
      <c r="H78" s="482"/>
      <c r="I78" s="482"/>
      <c r="J78" s="483"/>
      <c r="K78" s="476"/>
      <c r="L78" s="476"/>
      <c r="M78" s="51"/>
      <c r="N78" s="477"/>
      <c r="O78" s="477"/>
      <c r="P78" s="478"/>
      <c r="Q78" s="478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6"/>
      <c r="AC78" s="476"/>
      <c r="AD78" s="480"/>
      <c r="AF78" s="50"/>
    </row>
    <row r="79" spans="1:32" ht="25.5" customHeight="1">
      <c r="A79" s="473">
        <v>6</v>
      </c>
      <c r="B79" s="474"/>
      <c r="C79" s="98"/>
      <c r="D79" s="401"/>
      <c r="E79" s="398"/>
      <c r="F79" s="481"/>
      <c r="G79" s="482"/>
      <c r="H79" s="482"/>
      <c r="I79" s="482"/>
      <c r="J79" s="483"/>
      <c r="K79" s="476"/>
      <c r="L79" s="476"/>
      <c r="M79" s="51"/>
      <c r="N79" s="477"/>
      <c r="O79" s="477"/>
      <c r="P79" s="478"/>
      <c r="Q79" s="478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6"/>
      <c r="AC79" s="476"/>
      <c r="AD79" s="480"/>
      <c r="AF79" s="50"/>
    </row>
    <row r="80" spans="1:32" ht="25.5" customHeight="1">
      <c r="A80" s="473">
        <v>7</v>
      </c>
      <c r="B80" s="474"/>
      <c r="C80" s="98"/>
      <c r="D80" s="401"/>
      <c r="E80" s="398"/>
      <c r="F80" s="481"/>
      <c r="G80" s="482"/>
      <c r="H80" s="482"/>
      <c r="I80" s="482"/>
      <c r="J80" s="483"/>
      <c r="K80" s="476"/>
      <c r="L80" s="476"/>
      <c r="M80" s="51"/>
      <c r="N80" s="477"/>
      <c r="O80" s="477"/>
      <c r="P80" s="478"/>
      <c r="Q80" s="478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6"/>
      <c r="AC80" s="476"/>
      <c r="AD80" s="480"/>
      <c r="AF80" s="50"/>
    </row>
    <row r="81" spans="1:32" ht="25.5" customHeight="1">
      <c r="A81" s="473">
        <v>8</v>
      </c>
      <c r="B81" s="474"/>
      <c r="C81" s="98"/>
      <c r="D81" s="401"/>
      <c r="E81" s="398"/>
      <c r="F81" s="475"/>
      <c r="G81" s="476"/>
      <c r="H81" s="476"/>
      <c r="I81" s="476"/>
      <c r="J81" s="476"/>
      <c r="K81" s="476"/>
      <c r="L81" s="476"/>
      <c r="M81" s="51"/>
      <c r="N81" s="477"/>
      <c r="O81" s="477"/>
      <c r="P81" s="478"/>
      <c r="Q81" s="478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6"/>
      <c r="AC81" s="476"/>
      <c r="AD81" s="480"/>
      <c r="AF81" s="50"/>
    </row>
    <row r="82" spans="1:32" ht="25.5" customHeight="1">
      <c r="A82" s="473">
        <v>9</v>
      </c>
      <c r="B82" s="474"/>
      <c r="C82" s="98"/>
      <c r="D82" s="401"/>
      <c r="E82" s="398"/>
      <c r="F82" s="475"/>
      <c r="G82" s="476"/>
      <c r="H82" s="476"/>
      <c r="I82" s="476"/>
      <c r="J82" s="476"/>
      <c r="K82" s="476"/>
      <c r="L82" s="476"/>
      <c r="M82" s="51"/>
      <c r="N82" s="477"/>
      <c r="O82" s="477"/>
      <c r="P82" s="478"/>
      <c r="Q82" s="478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6"/>
      <c r="AC82" s="476"/>
      <c r="AD82" s="480"/>
      <c r="AF82" s="50"/>
    </row>
    <row r="83" spans="1:32" ht="25.5" customHeight="1">
      <c r="A83" s="473">
        <v>10</v>
      </c>
      <c r="B83" s="474"/>
      <c r="C83" s="98"/>
      <c r="D83" s="401"/>
      <c r="E83" s="398"/>
      <c r="F83" s="475"/>
      <c r="G83" s="476"/>
      <c r="H83" s="476"/>
      <c r="I83" s="476"/>
      <c r="J83" s="476"/>
      <c r="K83" s="476"/>
      <c r="L83" s="476"/>
      <c r="M83" s="51"/>
      <c r="N83" s="477"/>
      <c r="O83" s="477"/>
      <c r="P83" s="478"/>
      <c r="Q83" s="478"/>
      <c r="R83" s="479"/>
      <c r="S83" s="479"/>
      <c r="T83" s="479"/>
      <c r="U83" s="479"/>
      <c r="V83" s="479"/>
      <c r="W83" s="479"/>
      <c r="X83" s="479"/>
      <c r="Y83" s="479"/>
      <c r="Z83" s="479"/>
      <c r="AA83" s="479"/>
      <c r="AB83" s="476"/>
      <c r="AC83" s="476"/>
      <c r="AD83" s="480"/>
      <c r="AF83" s="50"/>
    </row>
    <row r="84" spans="1:32" ht="26.25" customHeight="1" thickBot="1">
      <c r="A84" s="484" t="s">
        <v>882</v>
      </c>
      <c r="B84" s="484"/>
      <c r="C84" s="484"/>
      <c r="D84" s="484"/>
      <c r="E84" s="48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23.25" thickBot="1">
      <c r="A85" s="485" t="s">
        <v>111</v>
      </c>
      <c r="B85" s="486"/>
      <c r="C85" s="400" t="s">
        <v>2</v>
      </c>
      <c r="D85" s="400" t="s">
        <v>37</v>
      </c>
      <c r="E85" s="400" t="s">
        <v>120</v>
      </c>
      <c r="F85" s="487" t="s">
        <v>38</v>
      </c>
      <c r="G85" s="487"/>
      <c r="H85" s="487"/>
      <c r="I85" s="487"/>
      <c r="J85" s="487"/>
      <c r="K85" s="488" t="s">
        <v>58</v>
      </c>
      <c r="L85" s="489"/>
      <c r="M85" s="489"/>
      <c r="N85" s="489"/>
      <c r="O85" s="489"/>
      <c r="P85" s="489"/>
      <c r="Q85" s="489"/>
      <c r="R85" s="489"/>
      <c r="S85" s="490"/>
      <c r="T85" s="487" t="s">
        <v>49</v>
      </c>
      <c r="U85" s="487"/>
      <c r="V85" s="488" t="s">
        <v>50</v>
      </c>
      <c r="W85" s="490"/>
      <c r="X85" s="489" t="s">
        <v>51</v>
      </c>
      <c r="Y85" s="489"/>
      <c r="Z85" s="489"/>
      <c r="AA85" s="489"/>
      <c r="AB85" s="489"/>
      <c r="AC85" s="489"/>
      <c r="AD85" s="491"/>
      <c r="AF85" s="50"/>
    </row>
    <row r="86" spans="1:32" ht="33.75" customHeight="1">
      <c r="A86" s="500">
        <v>1</v>
      </c>
      <c r="B86" s="501"/>
      <c r="C86" s="402"/>
      <c r="D86" s="402"/>
      <c r="E86" s="65"/>
      <c r="F86" s="502"/>
      <c r="G86" s="503"/>
      <c r="H86" s="503"/>
      <c r="I86" s="503"/>
      <c r="J86" s="504"/>
      <c r="K86" s="505"/>
      <c r="L86" s="506"/>
      <c r="M86" s="506"/>
      <c r="N86" s="506"/>
      <c r="O86" s="506"/>
      <c r="P86" s="506"/>
      <c r="Q86" s="506"/>
      <c r="R86" s="506"/>
      <c r="S86" s="507"/>
      <c r="T86" s="508"/>
      <c r="U86" s="509"/>
      <c r="V86" s="510"/>
      <c r="W86" s="510"/>
      <c r="X86" s="511"/>
      <c r="Y86" s="511"/>
      <c r="Z86" s="511"/>
      <c r="AA86" s="511"/>
      <c r="AB86" s="511"/>
      <c r="AC86" s="511"/>
      <c r="AD86" s="512"/>
      <c r="AF86" s="50"/>
    </row>
    <row r="87" spans="1:32" ht="30" customHeight="1">
      <c r="A87" s="492">
        <f>A86+1</f>
        <v>2</v>
      </c>
      <c r="B87" s="493"/>
      <c r="C87" s="401"/>
      <c r="D87" s="401"/>
      <c r="E87" s="32"/>
      <c r="F87" s="493"/>
      <c r="G87" s="493"/>
      <c r="H87" s="493"/>
      <c r="I87" s="493"/>
      <c r="J87" s="493"/>
      <c r="K87" s="494"/>
      <c r="L87" s="495"/>
      <c r="M87" s="495"/>
      <c r="N87" s="495"/>
      <c r="O87" s="495"/>
      <c r="P87" s="495"/>
      <c r="Q87" s="495"/>
      <c r="R87" s="495"/>
      <c r="S87" s="496"/>
      <c r="T87" s="497"/>
      <c r="U87" s="497"/>
      <c r="V87" s="497"/>
      <c r="W87" s="497"/>
      <c r="X87" s="498"/>
      <c r="Y87" s="498"/>
      <c r="Z87" s="498"/>
      <c r="AA87" s="498"/>
      <c r="AB87" s="498"/>
      <c r="AC87" s="498"/>
      <c r="AD87" s="499"/>
      <c r="AF87" s="50"/>
    </row>
    <row r="88" spans="1:32" ht="30" customHeight="1">
      <c r="A88" s="492">
        <f t="shared" ref="A88:A92" si="17">A87+1</f>
        <v>3</v>
      </c>
      <c r="B88" s="493"/>
      <c r="C88" s="401"/>
      <c r="D88" s="401"/>
      <c r="E88" s="32"/>
      <c r="F88" s="493"/>
      <c r="G88" s="493"/>
      <c r="H88" s="493"/>
      <c r="I88" s="493"/>
      <c r="J88" s="493"/>
      <c r="K88" s="494"/>
      <c r="L88" s="495"/>
      <c r="M88" s="495"/>
      <c r="N88" s="495"/>
      <c r="O88" s="495"/>
      <c r="P88" s="495"/>
      <c r="Q88" s="495"/>
      <c r="R88" s="495"/>
      <c r="S88" s="496"/>
      <c r="T88" s="497"/>
      <c r="U88" s="497"/>
      <c r="V88" s="497"/>
      <c r="W88" s="497"/>
      <c r="X88" s="498"/>
      <c r="Y88" s="498"/>
      <c r="Z88" s="498"/>
      <c r="AA88" s="498"/>
      <c r="AB88" s="498"/>
      <c r="AC88" s="498"/>
      <c r="AD88" s="499"/>
      <c r="AF88" s="50"/>
    </row>
    <row r="89" spans="1:32" ht="30" customHeight="1">
      <c r="A89" s="492">
        <f t="shared" si="17"/>
        <v>4</v>
      </c>
      <c r="B89" s="493"/>
      <c r="C89" s="401"/>
      <c r="D89" s="401"/>
      <c r="E89" s="32"/>
      <c r="F89" s="493"/>
      <c r="G89" s="493"/>
      <c r="H89" s="493"/>
      <c r="I89" s="493"/>
      <c r="J89" s="493"/>
      <c r="K89" s="494"/>
      <c r="L89" s="495"/>
      <c r="M89" s="495"/>
      <c r="N89" s="495"/>
      <c r="O89" s="495"/>
      <c r="P89" s="495"/>
      <c r="Q89" s="495"/>
      <c r="R89" s="495"/>
      <c r="S89" s="496"/>
      <c r="T89" s="497"/>
      <c r="U89" s="497"/>
      <c r="V89" s="497"/>
      <c r="W89" s="497"/>
      <c r="X89" s="498"/>
      <c r="Y89" s="498"/>
      <c r="Z89" s="498"/>
      <c r="AA89" s="498"/>
      <c r="AB89" s="498"/>
      <c r="AC89" s="498"/>
      <c r="AD89" s="499"/>
      <c r="AF89" s="50"/>
    </row>
    <row r="90" spans="1:32" ht="30" customHeight="1">
      <c r="A90" s="492">
        <f t="shared" si="17"/>
        <v>5</v>
      </c>
      <c r="B90" s="493"/>
      <c r="C90" s="401"/>
      <c r="D90" s="401"/>
      <c r="E90" s="32"/>
      <c r="F90" s="493"/>
      <c r="G90" s="493"/>
      <c r="H90" s="493"/>
      <c r="I90" s="493"/>
      <c r="J90" s="493"/>
      <c r="K90" s="494"/>
      <c r="L90" s="495"/>
      <c r="M90" s="495"/>
      <c r="N90" s="495"/>
      <c r="O90" s="495"/>
      <c r="P90" s="495"/>
      <c r="Q90" s="495"/>
      <c r="R90" s="495"/>
      <c r="S90" s="496"/>
      <c r="T90" s="497"/>
      <c r="U90" s="497"/>
      <c r="V90" s="497"/>
      <c r="W90" s="497"/>
      <c r="X90" s="498"/>
      <c r="Y90" s="498"/>
      <c r="Z90" s="498"/>
      <c r="AA90" s="498"/>
      <c r="AB90" s="498"/>
      <c r="AC90" s="498"/>
      <c r="AD90" s="499"/>
      <c r="AF90" s="50"/>
    </row>
    <row r="91" spans="1:32" ht="30" customHeight="1">
      <c r="A91" s="492">
        <f t="shared" si="17"/>
        <v>6</v>
      </c>
      <c r="B91" s="493"/>
      <c r="C91" s="401"/>
      <c r="D91" s="401"/>
      <c r="E91" s="32"/>
      <c r="F91" s="493"/>
      <c r="G91" s="493"/>
      <c r="H91" s="493"/>
      <c r="I91" s="493"/>
      <c r="J91" s="493"/>
      <c r="K91" s="494"/>
      <c r="L91" s="495"/>
      <c r="M91" s="495"/>
      <c r="N91" s="495"/>
      <c r="O91" s="495"/>
      <c r="P91" s="495"/>
      <c r="Q91" s="495"/>
      <c r="R91" s="495"/>
      <c r="S91" s="496"/>
      <c r="T91" s="497"/>
      <c r="U91" s="497"/>
      <c r="V91" s="497"/>
      <c r="W91" s="497"/>
      <c r="X91" s="498"/>
      <c r="Y91" s="498"/>
      <c r="Z91" s="498"/>
      <c r="AA91" s="498"/>
      <c r="AB91" s="498"/>
      <c r="AC91" s="498"/>
      <c r="AD91" s="499"/>
      <c r="AF91" s="50"/>
    </row>
    <row r="92" spans="1:32" ht="30" customHeight="1">
      <c r="A92" s="492">
        <f t="shared" si="17"/>
        <v>7</v>
      </c>
      <c r="B92" s="493"/>
      <c r="C92" s="401"/>
      <c r="D92" s="401"/>
      <c r="E92" s="32"/>
      <c r="F92" s="493"/>
      <c r="G92" s="493"/>
      <c r="H92" s="493"/>
      <c r="I92" s="493"/>
      <c r="J92" s="493"/>
      <c r="K92" s="494"/>
      <c r="L92" s="495"/>
      <c r="M92" s="495"/>
      <c r="N92" s="495"/>
      <c r="O92" s="495"/>
      <c r="P92" s="495"/>
      <c r="Q92" s="495"/>
      <c r="R92" s="495"/>
      <c r="S92" s="496"/>
      <c r="T92" s="497"/>
      <c r="U92" s="497"/>
      <c r="V92" s="497"/>
      <c r="W92" s="497"/>
      <c r="X92" s="498"/>
      <c r="Y92" s="498"/>
      <c r="Z92" s="498"/>
      <c r="AA92" s="498"/>
      <c r="AB92" s="498"/>
      <c r="AC92" s="498"/>
      <c r="AD92" s="499"/>
      <c r="AF92" s="50"/>
    </row>
    <row r="93" spans="1:32" ht="36" thickBot="1">
      <c r="A93" s="484" t="s">
        <v>883</v>
      </c>
      <c r="B93" s="484"/>
      <c r="C93" s="484"/>
      <c r="D93" s="484"/>
      <c r="E93" s="484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F93" s="50"/>
    </row>
    <row r="94" spans="1:32" ht="30.75" customHeight="1" thickBot="1">
      <c r="A94" s="513" t="s">
        <v>111</v>
      </c>
      <c r="B94" s="487"/>
      <c r="C94" s="514" t="s">
        <v>52</v>
      </c>
      <c r="D94" s="514"/>
      <c r="E94" s="514" t="s">
        <v>53</v>
      </c>
      <c r="F94" s="514"/>
      <c r="G94" s="514"/>
      <c r="H94" s="514"/>
      <c r="I94" s="514"/>
      <c r="J94" s="514"/>
      <c r="K94" s="514" t="s">
        <v>54</v>
      </c>
      <c r="L94" s="514"/>
      <c r="M94" s="514"/>
      <c r="N94" s="514"/>
      <c r="O94" s="514"/>
      <c r="P94" s="514"/>
      <c r="Q94" s="514"/>
      <c r="R94" s="514"/>
      <c r="S94" s="514"/>
      <c r="T94" s="514" t="s">
        <v>55</v>
      </c>
      <c r="U94" s="514"/>
      <c r="V94" s="514" t="s">
        <v>56</v>
      </c>
      <c r="W94" s="514"/>
      <c r="X94" s="514"/>
      <c r="Y94" s="514" t="s">
        <v>51</v>
      </c>
      <c r="Z94" s="514"/>
      <c r="AA94" s="514"/>
      <c r="AB94" s="514"/>
      <c r="AC94" s="514"/>
      <c r="AD94" s="515"/>
      <c r="AF94" s="50"/>
    </row>
    <row r="95" spans="1:32" ht="30.75" customHeight="1">
      <c r="A95" s="500">
        <v>1</v>
      </c>
      <c r="B95" s="501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  <c r="T95" s="516"/>
      <c r="U95" s="516"/>
      <c r="V95" s="517"/>
      <c r="W95" s="517"/>
      <c r="X95" s="517"/>
      <c r="Y95" s="518"/>
      <c r="Z95" s="518"/>
      <c r="AA95" s="518"/>
      <c r="AB95" s="518"/>
      <c r="AC95" s="518"/>
      <c r="AD95" s="519"/>
      <c r="AF95" s="50"/>
    </row>
    <row r="96" spans="1:32" ht="30.75" customHeight="1">
      <c r="A96" s="492">
        <v>2</v>
      </c>
      <c r="B96" s="493"/>
      <c r="C96" s="528"/>
      <c r="D96" s="528"/>
      <c r="E96" s="528"/>
      <c r="F96" s="528"/>
      <c r="G96" s="528"/>
      <c r="H96" s="528"/>
      <c r="I96" s="528"/>
      <c r="J96" s="528"/>
      <c r="K96" s="528"/>
      <c r="L96" s="528"/>
      <c r="M96" s="528"/>
      <c r="N96" s="528"/>
      <c r="O96" s="528"/>
      <c r="P96" s="528"/>
      <c r="Q96" s="528"/>
      <c r="R96" s="528"/>
      <c r="S96" s="528"/>
      <c r="T96" s="529"/>
      <c r="U96" s="529"/>
      <c r="V96" s="530"/>
      <c r="W96" s="530"/>
      <c r="X96" s="530"/>
      <c r="Y96" s="520"/>
      <c r="Z96" s="520"/>
      <c r="AA96" s="520"/>
      <c r="AB96" s="520"/>
      <c r="AC96" s="520"/>
      <c r="AD96" s="521"/>
      <c r="AF96" s="50"/>
    </row>
    <row r="97" spans="1:32" ht="30.75" customHeight="1" thickBot="1">
      <c r="A97" s="522">
        <v>3</v>
      </c>
      <c r="B97" s="523"/>
      <c r="C97" s="524"/>
      <c r="D97" s="524"/>
      <c r="E97" s="524"/>
      <c r="F97" s="524"/>
      <c r="G97" s="524"/>
      <c r="H97" s="524"/>
      <c r="I97" s="524"/>
      <c r="J97" s="524"/>
      <c r="K97" s="524"/>
      <c r="L97" s="524"/>
      <c r="M97" s="524"/>
      <c r="N97" s="524"/>
      <c r="O97" s="524"/>
      <c r="P97" s="524"/>
      <c r="Q97" s="524"/>
      <c r="R97" s="524"/>
      <c r="S97" s="524"/>
      <c r="T97" s="524"/>
      <c r="U97" s="524"/>
      <c r="V97" s="525"/>
      <c r="W97" s="525"/>
      <c r="X97" s="525"/>
      <c r="Y97" s="526"/>
      <c r="Z97" s="526"/>
      <c r="AA97" s="526"/>
      <c r="AB97" s="526"/>
      <c r="AC97" s="526"/>
      <c r="AD97" s="527"/>
      <c r="AF9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2:H32"/>
    <mergeCell ref="A59:E59"/>
    <mergeCell ref="A60:M60"/>
    <mergeCell ref="N60:AD60"/>
    <mergeCell ref="A61:B61"/>
    <mergeCell ref="F61:M61"/>
    <mergeCell ref="P61:Q61"/>
    <mergeCell ref="R61:U61"/>
    <mergeCell ref="V61:AD61"/>
    <mergeCell ref="I4:O4"/>
    <mergeCell ref="P4:Q4"/>
    <mergeCell ref="R4:V4"/>
    <mergeCell ref="W4:AA4"/>
    <mergeCell ref="AB4:AB5"/>
    <mergeCell ref="AC4:AC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R70:U70"/>
    <mergeCell ref="V70:AD70"/>
    <mergeCell ref="A71:B71"/>
    <mergeCell ref="F71:M71"/>
    <mergeCell ref="P71:Q71"/>
    <mergeCell ref="R71:U71"/>
    <mergeCell ref="V71:AD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72:E72"/>
    <mergeCell ref="A73:B73"/>
    <mergeCell ref="F73:J73"/>
    <mergeCell ref="K73:L73"/>
    <mergeCell ref="N73:O73"/>
    <mergeCell ref="P73:Q73"/>
    <mergeCell ref="A70:B70"/>
    <mergeCell ref="F70:M70"/>
    <mergeCell ref="P70:Q70"/>
    <mergeCell ref="R73:AA73"/>
    <mergeCell ref="AB73:AD73"/>
    <mergeCell ref="A74:B74"/>
    <mergeCell ref="F74:J74"/>
    <mergeCell ref="K74:L74"/>
    <mergeCell ref="N74:O74"/>
    <mergeCell ref="P74:Q74"/>
    <mergeCell ref="R74:AA74"/>
    <mergeCell ref="AB74:AD74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B82"/>
    <mergeCell ref="F82:J82"/>
    <mergeCell ref="K82:L82"/>
    <mergeCell ref="N82:O82"/>
    <mergeCell ref="P82:Q82"/>
    <mergeCell ref="R82:AA82"/>
    <mergeCell ref="AB82:AD82"/>
    <mergeCell ref="A81:B81"/>
    <mergeCell ref="F81:J81"/>
    <mergeCell ref="K81:L81"/>
    <mergeCell ref="N81:O81"/>
    <mergeCell ref="P81:Q81"/>
    <mergeCell ref="R81:AA81"/>
    <mergeCell ref="AB83:AD83"/>
    <mergeCell ref="A84:E84"/>
    <mergeCell ref="A85:B85"/>
    <mergeCell ref="F85:J85"/>
    <mergeCell ref="K85:S85"/>
    <mergeCell ref="T85:U85"/>
    <mergeCell ref="V85:W85"/>
    <mergeCell ref="X85:AD85"/>
    <mergeCell ref="A83:B83"/>
    <mergeCell ref="F83:J83"/>
    <mergeCell ref="K83:L83"/>
    <mergeCell ref="N83:O83"/>
    <mergeCell ref="P83:Q83"/>
    <mergeCell ref="R83:AA83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V92:W92"/>
    <mergeCell ref="X92:AD92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93:E93"/>
    <mergeCell ref="A94:B94"/>
    <mergeCell ref="C94:D94"/>
    <mergeCell ref="E94:J94"/>
    <mergeCell ref="K94:S94"/>
    <mergeCell ref="T94:U94"/>
    <mergeCell ref="A92:B92"/>
    <mergeCell ref="F92:J92"/>
    <mergeCell ref="K92:S92"/>
    <mergeCell ref="T92:U92"/>
    <mergeCell ref="V94:X94"/>
    <mergeCell ref="Y94:AD94"/>
    <mergeCell ref="A95:B95"/>
    <mergeCell ref="C95:D95"/>
    <mergeCell ref="E95:J95"/>
    <mergeCell ref="K95:S95"/>
    <mergeCell ref="T95:U95"/>
    <mergeCell ref="V95:X95"/>
    <mergeCell ref="Y95:AD95"/>
    <mergeCell ref="Y96:AD96"/>
    <mergeCell ref="A97:B97"/>
    <mergeCell ref="C97:D97"/>
    <mergeCell ref="E97:J97"/>
    <mergeCell ref="K97:S97"/>
    <mergeCell ref="T97:U97"/>
    <mergeCell ref="V97:X97"/>
    <mergeCell ref="Y97:AD97"/>
    <mergeCell ref="A96:B96"/>
    <mergeCell ref="C96:D96"/>
    <mergeCell ref="E96:J96"/>
    <mergeCell ref="K96:S96"/>
    <mergeCell ref="T96:U96"/>
    <mergeCell ref="V96:X9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7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8"/>
  <sheetViews>
    <sheetView view="pageBreakPreview" zoomScaleNormal="100" zoomScaleSheetLayoutView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J17" sqref="AJ17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31" t="s">
        <v>195</v>
      </c>
      <c r="B1" s="531"/>
      <c r="C1" s="531"/>
      <c r="D1" s="531"/>
      <c r="E1" s="531"/>
      <c r="F1" s="531"/>
      <c r="G1" s="531"/>
      <c r="H1" s="531"/>
    </row>
    <row r="2" spans="1:33" ht="21.75" customHeight="1" thickBot="1">
      <c r="A2" s="83" t="s">
        <v>59</v>
      </c>
      <c r="B2" s="85" t="s">
        <v>73</v>
      </c>
      <c r="C2" s="86" t="s">
        <v>74</v>
      </c>
      <c r="D2" s="86" t="s">
        <v>75</v>
      </c>
      <c r="E2" s="86" t="s">
        <v>76</v>
      </c>
      <c r="F2" s="86" t="s">
        <v>77</v>
      </c>
      <c r="G2" s="86" t="s">
        <v>78</v>
      </c>
      <c r="H2" s="86" t="s">
        <v>79</v>
      </c>
      <c r="I2" s="86" t="s">
        <v>80</v>
      </c>
      <c r="J2" s="86" t="s">
        <v>81</v>
      </c>
      <c r="K2" s="86" t="s">
        <v>82</v>
      </c>
      <c r="L2" s="86" t="s">
        <v>83</v>
      </c>
      <c r="M2" s="86" t="s">
        <v>84</v>
      </c>
      <c r="N2" s="86" t="s">
        <v>85</v>
      </c>
      <c r="O2" s="86" t="s">
        <v>86</v>
      </c>
      <c r="P2" s="86" t="s">
        <v>87</v>
      </c>
      <c r="Q2" s="86" t="s">
        <v>88</v>
      </c>
      <c r="R2" s="86" t="s">
        <v>89</v>
      </c>
      <c r="S2" s="86" t="s">
        <v>90</v>
      </c>
      <c r="T2" s="86" t="s">
        <v>91</v>
      </c>
      <c r="U2" s="86" t="s">
        <v>92</v>
      </c>
      <c r="V2" s="86" t="s">
        <v>93</v>
      </c>
      <c r="W2" s="86" t="s">
        <v>94</v>
      </c>
      <c r="X2" s="86" t="s">
        <v>95</v>
      </c>
      <c r="Y2" s="86" t="s">
        <v>96</v>
      </c>
      <c r="Z2" s="86" t="s">
        <v>97</v>
      </c>
      <c r="AA2" s="86" t="s">
        <v>98</v>
      </c>
      <c r="AB2" s="86" t="s">
        <v>99</v>
      </c>
      <c r="AC2" s="86" t="s">
        <v>100</v>
      </c>
      <c r="AD2" s="86" t="s">
        <v>101</v>
      </c>
      <c r="AE2" s="86" t="s">
        <v>102</v>
      </c>
      <c r="AF2" s="87" t="s">
        <v>103</v>
      </c>
      <c r="AG2" s="83" t="s">
        <v>105</v>
      </c>
    </row>
    <row r="3" spans="1:33" ht="21.75" customHeight="1">
      <c r="A3" s="107" t="s">
        <v>60</v>
      </c>
      <c r="B3" s="108">
        <f>'01'!AD6</f>
        <v>0</v>
      </c>
      <c r="C3" s="108">
        <f>'02'!AD6</f>
        <v>0</v>
      </c>
      <c r="D3" s="109">
        <f>'03'!AD6</f>
        <v>0</v>
      </c>
      <c r="E3" s="109">
        <f>'04'!AD6</f>
        <v>0</v>
      </c>
      <c r="F3" s="109"/>
      <c r="G3" s="109">
        <f>'06'!AD6</f>
        <v>0</v>
      </c>
      <c r="H3" s="109">
        <f>'07'!AD6</f>
        <v>0.91666666666666663</v>
      </c>
      <c r="I3" s="109">
        <f>'08'!AD6</f>
        <v>1</v>
      </c>
      <c r="J3" s="109">
        <f>'09'!AD6</f>
        <v>0.91666666666666663</v>
      </c>
      <c r="K3" s="109">
        <f>'10'!AD6</f>
        <v>1</v>
      </c>
      <c r="L3" s="109"/>
      <c r="M3" s="109"/>
      <c r="N3" s="110">
        <f>'13'!AD6</f>
        <v>1</v>
      </c>
      <c r="O3" s="109">
        <f>'14'!AD6</f>
        <v>1</v>
      </c>
      <c r="P3" s="109">
        <f>'15'!AD6</f>
        <v>1</v>
      </c>
      <c r="Q3" s="109">
        <f>'16'!AD6</f>
        <v>1</v>
      </c>
      <c r="R3" s="109">
        <f>'17'!AD6</f>
        <v>1</v>
      </c>
      <c r="S3" s="109"/>
      <c r="T3" s="109"/>
      <c r="U3" s="109">
        <f>'20'!AD6</f>
        <v>1</v>
      </c>
      <c r="V3" s="109">
        <f>'21'!AD6</f>
        <v>1</v>
      </c>
      <c r="W3" s="110">
        <f>'22'!AD6</f>
        <v>1</v>
      </c>
      <c r="X3" s="110">
        <f>'23'!AD6</f>
        <v>1</v>
      </c>
      <c r="Y3" s="109">
        <f>'24'!AD6</f>
        <v>1</v>
      </c>
      <c r="Z3" s="109"/>
      <c r="AA3" s="109"/>
      <c r="AB3" s="109">
        <f>'27'!AD6</f>
        <v>0.70833333333333337</v>
      </c>
      <c r="AC3" s="109">
        <f>'28'!AD6</f>
        <v>1</v>
      </c>
      <c r="AD3" s="109">
        <f>'29'!AD6</f>
        <v>0.41666666666666669</v>
      </c>
      <c r="AE3" s="109">
        <f>'30'!AD6</f>
        <v>0</v>
      </c>
      <c r="AF3" s="111"/>
      <c r="AG3" s="112">
        <f>SUM(B3:AF3)/31</f>
        <v>0.51478494623655913</v>
      </c>
    </row>
    <row r="4" spans="1:33" ht="21.75" customHeight="1">
      <c r="A4" s="95" t="s">
        <v>61</v>
      </c>
      <c r="B4" s="93">
        <f>'01'!AD7</f>
        <v>0</v>
      </c>
      <c r="C4" s="93">
        <f>'02'!AD7</f>
        <v>0</v>
      </c>
      <c r="D4" s="74">
        <f>'03'!AD7</f>
        <v>0</v>
      </c>
      <c r="E4" s="74">
        <f>'04'!AD7</f>
        <v>0</v>
      </c>
      <c r="F4" s="74"/>
      <c r="G4" s="113">
        <f>'06'!AD7</f>
        <v>0</v>
      </c>
      <c r="H4" s="74">
        <f>'07'!AD7</f>
        <v>0</v>
      </c>
      <c r="I4" s="74">
        <f>'08'!AD7</f>
        <v>0.16666666666666666</v>
      </c>
      <c r="J4" s="74">
        <f>'09'!AD7</f>
        <v>0.45833333333333331</v>
      </c>
      <c r="K4" s="74">
        <f>'10'!AD7</f>
        <v>0.25</v>
      </c>
      <c r="L4" s="74"/>
      <c r="M4" s="74"/>
      <c r="N4" s="74">
        <f>'13'!AD7</f>
        <v>0</v>
      </c>
      <c r="O4" s="74">
        <f>'14'!AD7</f>
        <v>0</v>
      </c>
      <c r="P4" s="74">
        <f>'15'!AD7</f>
        <v>0</v>
      </c>
      <c r="Q4" s="74">
        <f>'16'!AD7</f>
        <v>0</v>
      </c>
      <c r="R4" s="74">
        <f>'17'!AD7</f>
        <v>0</v>
      </c>
      <c r="S4" s="74"/>
      <c r="T4" s="74"/>
      <c r="U4" s="74">
        <f>'20'!AD7</f>
        <v>0</v>
      </c>
      <c r="V4" s="74">
        <f>'21'!AD7</f>
        <v>0.83333333333333337</v>
      </c>
      <c r="W4" s="74">
        <f>'22'!AD7</f>
        <v>1</v>
      </c>
      <c r="X4" s="74">
        <f>'23'!AD7</f>
        <v>0.98705302096177561</v>
      </c>
      <c r="Y4" s="74">
        <f>'24'!AD7</f>
        <v>1</v>
      </c>
      <c r="Z4" s="74"/>
      <c r="AA4" s="74"/>
      <c r="AB4" s="74">
        <f>'27'!AD7</f>
        <v>1</v>
      </c>
      <c r="AC4" s="74">
        <f>'28'!AD7</f>
        <v>1</v>
      </c>
      <c r="AD4" s="74">
        <f>'29'!AD7</f>
        <v>0.58333333333333337</v>
      </c>
      <c r="AE4" s="74">
        <f>'30'!AD7</f>
        <v>0.875</v>
      </c>
      <c r="AF4" s="75"/>
      <c r="AG4" s="76">
        <f t="shared" ref="AG4:AG27" si="0">SUM(B4:AF4)/31</f>
        <v>0.26302321572994974</v>
      </c>
    </row>
    <row r="5" spans="1:33" ht="21.75" customHeight="1">
      <c r="A5" s="95" t="s">
        <v>62</v>
      </c>
      <c r="B5" s="93">
        <f>'01'!AD8+'01'!AD9</f>
        <v>0.625</v>
      </c>
      <c r="C5" s="93">
        <f>'02'!AD8</f>
        <v>0.54166666666666663</v>
      </c>
      <c r="D5" s="74">
        <f>'03'!AD8</f>
        <v>0.45833333333333331</v>
      </c>
      <c r="E5" s="74">
        <f>'04'!AD8</f>
        <v>0.66666666666666663</v>
      </c>
      <c r="F5" s="74"/>
      <c r="G5" s="74">
        <f>'06'!AD8</f>
        <v>0.58333333333333337</v>
      </c>
      <c r="H5" s="74">
        <f>'07'!AD8</f>
        <v>0.83333333333333337</v>
      </c>
      <c r="I5" s="74">
        <f>'08'!AD8</f>
        <v>1</v>
      </c>
      <c r="J5" s="74">
        <f>'09'!AD8</f>
        <v>1</v>
      </c>
      <c r="K5" s="74">
        <f>'10'!AD8</f>
        <v>1</v>
      </c>
      <c r="L5" s="74"/>
      <c r="M5" s="74"/>
      <c r="N5" s="74">
        <f>'13'!AD8</f>
        <v>1</v>
      </c>
      <c r="O5" s="74">
        <f>'14'!AD8</f>
        <v>1</v>
      </c>
      <c r="P5" s="74">
        <f>'15'!AD8</f>
        <v>1</v>
      </c>
      <c r="Q5" s="74">
        <f>'16'!AD8</f>
        <v>1</v>
      </c>
      <c r="R5" s="74">
        <f>'17'!AD8</f>
        <v>1</v>
      </c>
      <c r="S5" s="74"/>
      <c r="T5" s="74"/>
      <c r="U5" s="74">
        <f>'20'!AD8</f>
        <v>0.54166666666666663</v>
      </c>
      <c r="V5" s="74">
        <f>'21'!AD8</f>
        <v>0.58333333333333337</v>
      </c>
      <c r="W5" s="113">
        <f>'22'!AD8</f>
        <v>0.70833333333333337</v>
      </c>
      <c r="X5" s="74">
        <f>'23'!AD8</f>
        <v>0.58333333333333337</v>
      </c>
      <c r="Y5" s="74">
        <f>'24'!AD8</f>
        <v>0.70833333333333337</v>
      </c>
      <c r="Z5" s="74"/>
      <c r="AA5" s="74"/>
      <c r="AB5" s="74">
        <f>'27'!AD8</f>
        <v>0.54166666666666663</v>
      </c>
      <c r="AC5" s="74">
        <f>'28'!AD8</f>
        <v>0.625</v>
      </c>
      <c r="AD5" s="74">
        <f>'29'!AD8</f>
        <v>0.75</v>
      </c>
      <c r="AE5" s="74">
        <f>'30'!AD8</f>
        <v>0</v>
      </c>
      <c r="AF5" s="75"/>
      <c r="AG5" s="76">
        <f t="shared" si="0"/>
        <v>0.54032258064516125</v>
      </c>
    </row>
    <row r="6" spans="1:33" ht="21.75" customHeight="1">
      <c r="A6" s="95" t="s">
        <v>63</v>
      </c>
      <c r="B6" s="93">
        <f>'01'!AD10</f>
        <v>1</v>
      </c>
      <c r="C6" s="93">
        <f>'02'!AD9</f>
        <v>0.5</v>
      </c>
      <c r="D6" s="74">
        <f>'03'!AD9</f>
        <v>0.66666666666666663</v>
      </c>
      <c r="E6" s="74">
        <f>'04'!AD9</f>
        <v>0.83333333333333337</v>
      </c>
      <c r="F6" s="74"/>
      <c r="G6" s="74">
        <f>'06'!AD9</f>
        <v>0.91666666666666663</v>
      </c>
      <c r="H6" s="74">
        <f>'07'!AD9</f>
        <v>1</v>
      </c>
      <c r="I6" s="74">
        <f>'08'!AD9</f>
        <v>1</v>
      </c>
      <c r="J6" s="74">
        <f>'09'!AD9</f>
        <v>1</v>
      </c>
      <c r="K6" s="74">
        <f>'10'!AD9</f>
        <v>1</v>
      </c>
      <c r="L6" s="74"/>
      <c r="M6" s="74"/>
      <c r="N6" s="74">
        <f>'13'!AD9</f>
        <v>0.875</v>
      </c>
      <c r="O6" s="74">
        <f>'14'!AD9</f>
        <v>0.5</v>
      </c>
      <c r="P6" s="74">
        <f>'15'!AD9</f>
        <v>0.625</v>
      </c>
      <c r="Q6" s="74">
        <f>'16'!AD9</f>
        <v>0.83333333333333337</v>
      </c>
      <c r="R6" s="74">
        <f>'17'!AD9</f>
        <v>1</v>
      </c>
      <c r="S6" s="74"/>
      <c r="T6" s="74"/>
      <c r="U6" s="74">
        <f>'20'!AD9</f>
        <v>1</v>
      </c>
      <c r="V6" s="74">
        <f>'21'!AD9</f>
        <v>0.83333333333333337</v>
      </c>
      <c r="W6" s="74">
        <f>'22'!AD9+'22'!AD10</f>
        <v>0.875</v>
      </c>
      <c r="X6" s="74">
        <f>'23'!AD9</f>
        <v>0.25</v>
      </c>
      <c r="Y6" s="74">
        <f>'24'!AD9</f>
        <v>1</v>
      </c>
      <c r="Z6" s="74"/>
      <c r="AA6" s="74"/>
      <c r="AB6" s="74">
        <f>'27'!AD9</f>
        <v>1</v>
      </c>
      <c r="AC6" s="74">
        <f>'28'!AD9</f>
        <v>1</v>
      </c>
      <c r="AD6" s="74">
        <f>'29'!AD9</f>
        <v>0.70833333333333337</v>
      </c>
      <c r="AE6" s="74">
        <f>'30'!AD9</f>
        <v>0.41666666666666669</v>
      </c>
      <c r="AF6" s="75"/>
      <c r="AG6" s="76">
        <f t="shared" si="0"/>
        <v>0.60752688172043023</v>
      </c>
    </row>
    <row r="7" spans="1:33" ht="21.75" customHeight="1">
      <c r="A7" s="95" t="s">
        <v>64</v>
      </c>
      <c r="B7" s="93">
        <f>'01'!AD11</f>
        <v>1</v>
      </c>
      <c r="C7" s="93">
        <f>'02'!AD10</f>
        <v>1</v>
      </c>
      <c r="D7" s="74">
        <f>'03'!AD10</f>
        <v>1</v>
      </c>
      <c r="E7" s="74">
        <f>'04'!AD10</f>
        <v>0.83333333333333337</v>
      </c>
      <c r="F7" s="74"/>
      <c r="G7" s="74">
        <f>'06'!AD10</f>
        <v>1</v>
      </c>
      <c r="H7" s="74">
        <f>'07'!AD10</f>
        <v>0.70833333333333337</v>
      </c>
      <c r="I7" s="74">
        <f>'08'!AD10</f>
        <v>1</v>
      </c>
      <c r="J7" s="74">
        <f>'09'!AD10</f>
        <v>1</v>
      </c>
      <c r="K7" s="74">
        <f>'10'!AD10</f>
        <v>0.875</v>
      </c>
      <c r="L7" s="74"/>
      <c r="M7" s="74"/>
      <c r="N7" s="74">
        <f>'13'!AD10</f>
        <v>1</v>
      </c>
      <c r="O7" s="74">
        <f>'14'!AD10</f>
        <v>1</v>
      </c>
      <c r="P7" s="74">
        <f>'15'!AD10</f>
        <v>1</v>
      </c>
      <c r="Q7" s="74">
        <f>'16'!AD10</f>
        <v>0.95833333333333337</v>
      </c>
      <c r="R7" s="74">
        <f>'17'!AD10</f>
        <v>1</v>
      </c>
      <c r="S7" s="74"/>
      <c r="T7" s="74"/>
      <c r="U7" s="74">
        <f>'20'!AD10</f>
        <v>1</v>
      </c>
      <c r="V7" s="74">
        <f>'21'!AD10</f>
        <v>1</v>
      </c>
      <c r="W7" s="74">
        <f>'22'!AD11</f>
        <v>1</v>
      </c>
      <c r="X7" s="74">
        <f>'23'!AD10</f>
        <v>1</v>
      </c>
      <c r="Y7" s="74">
        <f>'24'!AD10</f>
        <v>1</v>
      </c>
      <c r="Z7" s="74"/>
      <c r="AA7" s="74"/>
      <c r="AB7" s="74">
        <f>'27'!AD10</f>
        <v>1</v>
      </c>
      <c r="AC7" s="74">
        <f>'28'!AD10</f>
        <v>1</v>
      </c>
      <c r="AD7" s="74">
        <f>'29'!AD10</f>
        <v>1</v>
      </c>
      <c r="AE7" s="74">
        <f>'30'!AD10</f>
        <v>1</v>
      </c>
      <c r="AF7" s="75"/>
      <c r="AG7" s="76">
        <f t="shared" si="0"/>
        <v>0.72177419354838712</v>
      </c>
    </row>
    <row r="8" spans="1:33" ht="21.75" customHeight="1">
      <c r="A8" s="95" t="s">
        <v>65</v>
      </c>
      <c r="B8" s="93">
        <f>'01'!AD12</f>
        <v>0.83333333333333337</v>
      </c>
      <c r="C8" s="93">
        <f>'02'!AD11</f>
        <v>1</v>
      </c>
      <c r="D8" s="74">
        <f>'03'!AD11</f>
        <v>1</v>
      </c>
      <c r="E8" s="74">
        <f>'04'!AD11</f>
        <v>0.83333333333333337</v>
      </c>
      <c r="F8" s="74"/>
      <c r="G8" s="74">
        <f>'06'!AD11</f>
        <v>0.91666666666666663</v>
      </c>
      <c r="H8" s="74">
        <f>'07'!AD11</f>
        <v>1</v>
      </c>
      <c r="I8" s="74">
        <f>'08'!AD11</f>
        <v>0.83333333333333337</v>
      </c>
      <c r="J8" s="74">
        <f>'09'!AD11</f>
        <v>0.95833333333333337</v>
      </c>
      <c r="K8" s="74">
        <f>'10'!AD11</f>
        <v>1</v>
      </c>
      <c r="L8" s="74"/>
      <c r="M8" s="74"/>
      <c r="N8" s="74">
        <f>'13'!AD11</f>
        <v>0.16666666666666666</v>
      </c>
      <c r="O8" s="74">
        <f>'14'!AD11</f>
        <v>0</v>
      </c>
      <c r="P8" s="74">
        <f>'15'!AD11</f>
        <v>0</v>
      </c>
      <c r="Q8" s="74">
        <f>'16'!AD11</f>
        <v>0</v>
      </c>
      <c r="R8" s="74">
        <f>'17'!AD11</f>
        <v>0</v>
      </c>
      <c r="S8" s="74"/>
      <c r="T8" s="74"/>
      <c r="U8" s="74">
        <f>'20'!AD11</f>
        <v>0.58333333333333337</v>
      </c>
      <c r="V8" s="74">
        <f>'21'!AD11</f>
        <v>0.41666666666666669</v>
      </c>
      <c r="W8" s="74">
        <f>'22'!AD12</f>
        <v>0.79166666666666663</v>
      </c>
      <c r="X8" s="74">
        <f>'23'!AD11</f>
        <v>0.79166666666666663</v>
      </c>
      <c r="Y8" s="74">
        <f>'24'!AD11+'24'!AD12</f>
        <v>0.875</v>
      </c>
      <c r="Z8" s="74"/>
      <c r="AA8" s="74"/>
      <c r="AB8" s="74">
        <f>'27'!AD11</f>
        <v>1</v>
      </c>
      <c r="AC8" s="74">
        <f>'28'!AD11+'28'!AD12</f>
        <v>0.91666666666666663</v>
      </c>
      <c r="AD8" s="74">
        <f>'29'!AD11</f>
        <v>1</v>
      </c>
      <c r="AE8" s="74">
        <f>'30'!AD11</f>
        <v>1</v>
      </c>
      <c r="AF8" s="75"/>
      <c r="AG8" s="76">
        <f t="shared" si="0"/>
        <v>0.51344086021505364</v>
      </c>
    </row>
    <row r="9" spans="1:33" ht="21.75" customHeight="1">
      <c r="A9" s="95" t="s">
        <v>66</v>
      </c>
      <c r="B9" s="93">
        <f>'01'!AD13</f>
        <v>1</v>
      </c>
      <c r="C9" s="93">
        <f>'02'!AD12</f>
        <v>0.95833333333333337</v>
      </c>
      <c r="D9" s="74">
        <f>'03'!AD12</f>
        <v>0.95833333333333337</v>
      </c>
      <c r="E9" s="74">
        <f>'04'!AD12</f>
        <v>0</v>
      </c>
      <c r="F9" s="74"/>
      <c r="G9" s="74">
        <f>'06'!AD12</f>
        <v>0.91666666666666663</v>
      </c>
      <c r="H9" s="74">
        <f>'07'!AD12</f>
        <v>0.875</v>
      </c>
      <c r="I9" s="74">
        <f>'08'!AD12</f>
        <v>1</v>
      </c>
      <c r="J9" s="74">
        <f>'09'!AD12</f>
        <v>1</v>
      </c>
      <c r="K9" s="74">
        <f>'10'!AD12</f>
        <v>1</v>
      </c>
      <c r="L9" s="74"/>
      <c r="M9" s="74"/>
      <c r="N9" s="74">
        <f>'13'!AD12</f>
        <v>1</v>
      </c>
      <c r="O9" s="74">
        <f>'14'!AD12</f>
        <v>1</v>
      </c>
      <c r="P9" s="74">
        <f>'15'!AD12</f>
        <v>1</v>
      </c>
      <c r="Q9" s="74">
        <f>'16'!AD12</f>
        <v>1</v>
      </c>
      <c r="R9" s="74">
        <f>'17'!AD12</f>
        <v>1</v>
      </c>
      <c r="S9" s="74"/>
      <c r="T9" s="74"/>
      <c r="U9" s="74">
        <f>'20'!AD12</f>
        <v>0.9996800682521062</v>
      </c>
      <c r="V9" s="74">
        <f>'21'!AD12</f>
        <v>1</v>
      </c>
      <c r="W9" s="74">
        <f>'22'!AD13</f>
        <v>1</v>
      </c>
      <c r="X9" s="74">
        <f>'23'!AD12</f>
        <v>1</v>
      </c>
      <c r="Y9" s="74">
        <f>'24'!AD13</f>
        <v>1</v>
      </c>
      <c r="Z9" s="74"/>
      <c r="AA9" s="74"/>
      <c r="AB9" s="74">
        <f>'27'!AD12</f>
        <v>1</v>
      </c>
      <c r="AC9" s="74">
        <f>'28'!AD13</f>
        <v>1</v>
      </c>
      <c r="AD9" s="74">
        <f>'29'!AD12</f>
        <v>1</v>
      </c>
      <c r="AE9" s="74">
        <f>'30'!AD12</f>
        <v>1.0780282387911815</v>
      </c>
      <c r="AF9" s="75"/>
      <c r="AG9" s="76">
        <f t="shared" si="0"/>
        <v>0.70277553678634264</v>
      </c>
    </row>
    <row r="10" spans="1:33" ht="21.75" customHeight="1">
      <c r="A10" s="95" t="s">
        <v>67</v>
      </c>
      <c r="B10" s="93">
        <f>'01'!AD14</f>
        <v>1</v>
      </c>
      <c r="C10" s="93">
        <f>'02'!AD13</f>
        <v>1</v>
      </c>
      <c r="D10" s="74">
        <f>'03'!AD13</f>
        <v>0.91666666666666663</v>
      </c>
      <c r="E10" s="74">
        <f>'04'!AD13</f>
        <v>0</v>
      </c>
      <c r="F10" s="74"/>
      <c r="G10" s="74">
        <f>'06'!AD13</f>
        <v>1</v>
      </c>
      <c r="H10" s="74">
        <f>'07'!AD13</f>
        <v>1</v>
      </c>
      <c r="I10" s="74">
        <f>'08'!AD13</f>
        <v>1</v>
      </c>
      <c r="J10" s="74">
        <f>'09'!AD13</f>
        <v>0.875</v>
      </c>
      <c r="K10" s="74">
        <f>'10'!AD13</f>
        <v>0.875</v>
      </c>
      <c r="L10" s="74"/>
      <c r="M10" s="74"/>
      <c r="N10" s="74">
        <f>'13'!AD13</f>
        <v>0.83333333333333337</v>
      </c>
      <c r="O10" s="74">
        <f>'14'!AD13</f>
        <v>1</v>
      </c>
      <c r="P10" s="74">
        <f>'15'!AD13</f>
        <v>1</v>
      </c>
      <c r="Q10" s="74">
        <f>'16'!AD13</f>
        <v>1</v>
      </c>
      <c r="R10" s="74">
        <f>'17'!AD13</f>
        <v>1</v>
      </c>
      <c r="S10" s="74"/>
      <c r="T10" s="74"/>
      <c r="U10" s="74">
        <f>'20'!AD13</f>
        <v>0</v>
      </c>
      <c r="V10" s="74">
        <f>'21'!AD13</f>
        <v>0.45833333333333331</v>
      </c>
      <c r="W10" s="74">
        <f>'22'!AD14</f>
        <v>0.25</v>
      </c>
      <c r="X10" s="74">
        <f>'23'!AD13</f>
        <v>1</v>
      </c>
      <c r="Y10" s="74">
        <f>'24'!AD14</f>
        <v>1</v>
      </c>
      <c r="Z10" s="74"/>
      <c r="AA10" s="74"/>
      <c r="AB10" s="74">
        <f>'27'!AD13</f>
        <v>1</v>
      </c>
      <c r="AC10" s="74">
        <f>'28'!AD14</f>
        <v>1</v>
      </c>
      <c r="AD10" s="74">
        <f>'29'!AD13</f>
        <v>1</v>
      </c>
      <c r="AE10" s="74">
        <f>'30'!AD13</f>
        <v>1</v>
      </c>
      <c r="AF10" s="75"/>
      <c r="AG10" s="76">
        <f t="shared" si="0"/>
        <v>0.61962365591397861</v>
      </c>
    </row>
    <row r="11" spans="1:33" ht="21.75" customHeight="1">
      <c r="A11" s="100" t="s">
        <v>68</v>
      </c>
      <c r="B11" s="101">
        <f>'01'!AD15</f>
        <v>0.54166666666666663</v>
      </c>
      <c r="C11" s="101">
        <f>'02'!AD14</f>
        <v>0</v>
      </c>
      <c r="D11" s="102">
        <f>'03'!AD14</f>
        <v>0</v>
      </c>
      <c r="E11" s="102">
        <f>'04'!AD14</f>
        <v>0</v>
      </c>
      <c r="F11" s="102"/>
      <c r="G11" s="102">
        <f>'06'!AD14</f>
        <v>0</v>
      </c>
      <c r="H11" s="102">
        <f>'07'!AD14</f>
        <v>0</v>
      </c>
      <c r="I11" s="102">
        <f>'08'!AD14</f>
        <v>0</v>
      </c>
      <c r="J11" s="102">
        <f>'09'!AD14</f>
        <v>0</v>
      </c>
      <c r="K11" s="102">
        <f>'10'!AD14</f>
        <v>0</v>
      </c>
      <c r="L11" s="102"/>
      <c r="M11" s="102"/>
      <c r="N11" s="102">
        <f>'13'!AD14</f>
        <v>0</v>
      </c>
      <c r="O11" s="102">
        <f>'14'!AD14</f>
        <v>0</v>
      </c>
      <c r="P11" s="102">
        <f>'15'!AD14</f>
        <v>0</v>
      </c>
      <c r="Q11" s="102">
        <f>'16'!AD14</f>
        <v>0</v>
      </c>
      <c r="R11" s="102">
        <f>'17'!AD14</f>
        <v>0</v>
      </c>
      <c r="S11" s="102"/>
      <c r="T11" s="102"/>
      <c r="U11" s="102">
        <f>'20'!AD14</f>
        <v>0.16666666666666666</v>
      </c>
      <c r="V11" s="102">
        <f>'21'!AD14</f>
        <v>0</v>
      </c>
      <c r="W11" s="102">
        <f>'22'!AD15</f>
        <v>0</v>
      </c>
      <c r="X11" s="102">
        <f>'23'!AD14</f>
        <v>0.5</v>
      </c>
      <c r="Y11" s="102">
        <f>'24'!AD15</f>
        <v>0.625</v>
      </c>
      <c r="Z11" s="102"/>
      <c r="AA11" s="102"/>
      <c r="AB11" s="102">
        <f>'27'!AD14</f>
        <v>0.20833333333333334</v>
      </c>
      <c r="AC11" s="102">
        <f>'28'!AD15</f>
        <v>0.20833333333333334</v>
      </c>
      <c r="AD11" s="102">
        <f>'29'!AD14</f>
        <v>0.20833333333333334</v>
      </c>
      <c r="AE11" s="102">
        <f>'30'!AD14</f>
        <v>0</v>
      </c>
      <c r="AF11" s="103"/>
      <c r="AG11" s="104">
        <f t="shared" si="0"/>
        <v>7.9301075268817203E-2</v>
      </c>
    </row>
    <row r="12" spans="1:33" ht="21.75" customHeight="1">
      <c r="A12" s="95" t="s">
        <v>69</v>
      </c>
      <c r="B12" s="93">
        <f>'01'!AD16</f>
        <v>1</v>
      </c>
      <c r="C12" s="93">
        <f>'02'!AD15</f>
        <v>1</v>
      </c>
      <c r="D12" s="74">
        <f>'03'!AD15</f>
        <v>1</v>
      </c>
      <c r="E12" s="74">
        <f>'04'!AD15</f>
        <v>0</v>
      </c>
      <c r="F12" s="74"/>
      <c r="G12" s="74">
        <f>'06'!AD15</f>
        <v>1</v>
      </c>
      <c r="H12" s="74">
        <f>'07'!AD15</f>
        <v>1</v>
      </c>
      <c r="I12" s="74">
        <f>'08'!AD15</f>
        <v>1</v>
      </c>
      <c r="J12" s="74">
        <f>'09'!AD15</f>
        <v>1</v>
      </c>
      <c r="K12" s="74">
        <f>'10'!AD15</f>
        <v>1</v>
      </c>
      <c r="L12" s="74"/>
      <c r="M12" s="74"/>
      <c r="N12" s="74">
        <f>'13'!AD15</f>
        <v>0.95833333333333337</v>
      </c>
      <c r="O12" s="74">
        <f>'14'!AD15</f>
        <v>1</v>
      </c>
      <c r="P12" s="74">
        <f>'15'!AD15</f>
        <v>1</v>
      </c>
      <c r="Q12" s="74">
        <f>'16'!AD15</f>
        <v>1</v>
      </c>
      <c r="R12" s="74">
        <f>'17'!AD15</f>
        <v>1</v>
      </c>
      <c r="S12" s="74"/>
      <c r="T12" s="74"/>
      <c r="U12" s="74">
        <f>'20'!AD15</f>
        <v>1</v>
      </c>
      <c r="V12" s="74">
        <f>'21'!AD15</f>
        <v>0.95833333333333337</v>
      </c>
      <c r="W12" s="74">
        <f>'22'!AD16</f>
        <v>1</v>
      </c>
      <c r="X12" s="74">
        <f>'23'!AD15</f>
        <v>1</v>
      </c>
      <c r="Y12" s="74">
        <f>'24'!AD16</f>
        <v>1</v>
      </c>
      <c r="Z12" s="74"/>
      <c r="AA12" s="74"/>
      <c r="AB12" s="74">
        <f>'27'!AD15</f>
        <v>0</v>
      </c>
      <c r="AC12" s="74">
        <f>'28'!AD16</f>
        <v>0</v>
      </c>
      <c r="AD12" s="74">
        <f>'29'!AD15</f>
        <v>0</v>
      </c>
      <c r="AE12" s="74">
        <f>'30'!AD15</f>
        <v>0</v>
      </c>
      <c r="AF12" s="75"/>
      <c r="AG12" s="76">
        <f t="shared" si="0"/>
        <v>0.57795698924731187</v>
      </c>
    </row>
    <row r="13" spans="1:33" ht="21.75" customHeight="1">
      <c r="A13" s="95" t="s">
        <v>70</v>
      </c>
      <c r="B13" s="93">
        <f>'01'!AD17</f>
        <v>1</v>
      </c>
      <c r="C13" s="93">
        <f>'02'!AD16</f>
        <v>1</v>
      </c>
      <c r="D13" s="74">
        <f>'03'!AD16</f>
        <v>1</v>
      </c>
      <c r="E13" s="74">
        <f>'04'!AD16</f>
        <v>0</v>
      </c>
      <c r="F13" s="74"/>
      <c r="G13" s="74">
        <f>'06'!AD16</f>
        <v>1</v>
      </c>
      <c r="H13" s="74">
        <f>'07'!AD16</f>
        <v>1</v>
      </c>
      <c r="I13" s="74">
        <f>'08'!AD16</f>
        <v>1</v>
      </c>
      <c r="J13" s="74">
        <f>'09'!AD16</f>
        <v>1</v>
      </c>
      <c r="K13" s="74">
        <f>'10'!AD16</f>
        <v>0.79166666666666663</v>
      </c>
      <c r="L13" s="74"/>
      <c r="M13" s="74"/>
      <c r="N13" s="74">
        <f>'13'!AD16</f>
        <v>1</v>
      </c>
      <c r="O13" s="74">
        <f>'14'!AD16</f>
        <v>1</v>
      </c>
      <c r="P13" s="74">
        <f>'15'!AD16</f>
        <v>0.79166666666666663</v>
      </c>
      <c r="Q13" s="74">
        <f>'16'!AD16</f>
        <v>1</v>
      </c>
      <c r="R13" s="74">
        <f>'17'!AD16</f>
        <v>1</v>
      </c>
      <c r="S13" s="74"/>
      <c r="T13" s="74"/>
      <c r="U13" s="74">
        <f>'20'!AD16</f>
        <v>0.58333333333333337</v>
      </c>
      <c r="V13" s="74">
        <f>'21'!AD16</f>
        <v>0.625</v>
      </c>
      <c r="W13" s="74">
        <f>'22'!AD17</f>
        <v>0.79166666666666663</v>
      </c>
      <c r="X13" s="74">
        <f>'23'!AD16</f>
        <v>1</v>
      </c>
      <c r="Y13" s="74">
        <f>'24'!AD17</f>
        <v>1</v>
      </c>
      <c r="Z13" s="74"/>
      <c r="AA13" s="74"/>
      <c r="AB13" s="74">
        <f>'27'!AD16</f>
        <v>1</v>
      </c>
      <c r="AC13" s="74">
        <f>'28'!AD17+'28'!AD18</f>
        <v>0.95833333333333326</v>
      </c>
      <c r="AD13" s="74">
        <f>'29'!AD16+'29'!AD17</f>
        <v>0.91666666666666674</v>
      </c>
      <c r="AE13" s="74">
        <f>'30'!AD16+'30'!AD17</f>
        <v>0.95833333333333337</v>
      </c>
      <c r="AF13" s="75"/>
      <c r="AG13" s="76">
        <f t="shared" si="0"/>
        <v>0.65860215053763449</v>
      </c>
    </row>
    <row r="14" spans="1:33" ht="21.75" customHeight="1">
      <c r="A14" s="95" t="s">
        <v>71</v>
      </c>
      <c r="B14" s="93">
        <f>'01'!AD18</f>
        <v>0</v>
      </c>
      <c r="C14" s="93">
        <f>'02'!AD17</f>
        <v>1</v>
      </c>
      <c r="D14" s="74">
        <f>'03'!AD17</f>
        <v>1</v>
      </c>
      <c r="E14" s="74">
        <f>'04'!AD17</f>
        <v>0.83333333333333337</v>
      </c>
      <c r="F14" s="74"/>
      <c r="G14" s="74">
        <f>'06'!AD17</f>
        <v>1</v>
      </c>
      <c r="H14" s="74">
        <f>'07'!AD17</f>
        <v>1</v>
      </c>
      <c r="I14" s="74">
        <f>'08'!AD17</f>
        <v>0.91666666666666663</v>
      </c>
      <c r="J14" s="74">
        <f>'09'!AD17</f>
        <v>1</v>
      </c>
      <c r="K14" s="74">
        <f>'10'!AD17</f>
        <v>0</v>
      </c>
      <c r="L14" s="74"/>
      <c r="M14" s="74"/>
      <c r="N14" s="74">
        <f>'13'!AD17</f>
        <v>0</v>
      </c>
      <c r="O14" s="74">
        <f>'14'!AD17</f>
        <v>0</v>
      </c>
      <c r="P14" s="74">
        <f>'15'!AD17</f>
        <v>0</v>
      </c>
      <c r="Q14" s="74">
        <f>'16'!AD17</f>
        <v>0</v>
      </c>
      <c r="R14" s="74">
        <f>'17'!AD17</f>
        <v>0</v>
      </c>
      <c r="S14" s="74"/>
      <c r="T14" s="74"/>
      <c r="U14" s="74">
        <f>'20'!AD17</f>
        <v>0</v>
      </c>
      <c r="V14" s="74">
        <f>'21'!AD17</f>
        <v>0.83333333333333337</v>
      </c>
      <c r="W14" s="74">
        <f>'22'!AD18</f>
        <v>1</v>
      </c>
      <c r="X14" s="74">
        <f>'23'!AD17</f>
        <v>0</v>
      </c>
      <c r="Y14" s="74">
        <f>'24'!AD18</f>
        <v>0</v>
      </c>
      <c r="Z14" s="74"/>
      <c r="AA14" s="74"/>
      <c r="AB14" s="74">
        <f>'27'!AD17</f>
        <v>0</v>
      </c>
      <c r="AC14" s="74">
        <f>'28'!AD19</f>
        <v>0</v>
      </c>
      <c r="AD14" s="74">
        <f>'29'!AD18</f>
        <v>0</v>
      </c>
      <c r="AE14" s="74">
        <f>'30'!AD18</f>
        <v>0</v>
      </c>
      <c r="AF14" s="75"/>
      <c r="AG14" s="76">
        <f t="shared" si="0"/>
        <v>0.27688172043010756</v>
      </c>
    </row>
    <row r="15" spans="1:33" ht="21.75" customHeight="1">
      <c r="A15" s="95" t="s">
        <v>72</v>
      </c>
      <c r="B15" s="93">
        <f>'01'!AD19</f>
        <v>1</v>
      </c>
      <c r="C15" s="93">
        <f>'02'!AD18</f>
        <v>0.5</v>
      </c>
      <c r="D15" s="74">
        <f>'03'!AD18</f>
        <v>0.83333333333333337</v>
      </c>
      <c r="E15" s="74">
        <f>'04'!AD18</f>
        <v>0.75</v>
      </c>
      <c r="F15" s="74"/>
      <c r="G15" s="74">
        <f>'06'!AD18</f>
        <v>0.83333333333333337</v>
      </c>
      <c r="H15" s="74">
        <f>'07'!AD18</f>
        <v>1</v>
      </c>
      <c r="I15" s="74">
        <f>'08'!AD18</f>
        <v>1</v>
      </c>
      <c r="J15" s="74">
        <f>'09'!AD18</f>
        <v>1</v>
      </c>
      <c r="K15" s="74">
        <f>'10'!AD18</f>
        <v>1</v>
      </c>
      <c r="L15" s="74"/>
      <c r="M15" s="74"/>
      <c r="N15" s="74">
        <f>'13'!AD18</f>
        <v>0.875</v>
      </c>
      <c r="O15" s="74">
        <f>'14'!AD18</f>
        <v>1</v>
      </c>
      <c r="P15" s="74">
        <f>'15'!AD18</f>
        <v>1</v>
      </c>
      <c r="Q15" s="74">
        <f>'16'!AD18</f>
        <v>1</v>
      </c>
      <c r="R15" s="74">
        <f>'17'!AD18</f>
        <v>0.58333333333333337</v>
      </c>
      <c r="S15" s="74"/>
      <c r="T15" s="74"/>
      <c r="U15" s="74">
        <f>'20'!AD18</f>
        <v>0.83333333333333337</v>
      </c>
      <c r="V15" s="74">
        <f>'21'!AD18</f>
        <v>1</v>
      </c>
      <c r="W15" s="74">
        <f>'22'!AD19</f>
        <v>0.95833333333333337</v>
      </c>
      <c r="X15" s="74">
        <f>'23'!AD18</f>
        <v>0.91666666666666663</v>
      </c>
      <c r="Y15" s="74">
        <f>'24'!AD19</f>
        <v>0.83333333333333337</v>
      </c>
      <c r="Z15" s="74"/>
      <c r="AA15" s="74"/>
      <c r="AB15" s="74">
        <f>'27'!AD18</f>
        <v>0.66666666666666663</v>
      </c>
      <c r="AC15" s="74">
        <f>'28'!AD20</f>
        <v>1</v>
      </c>
      <c r="AD15" s="74">
        <f>'29'!AD19+'29'!AD20</f>
        <v>0.875</v>
      </c>
      <c r="AE15" s="74">
        <f>'30'!AD19</f>
        <v>0.875</v>
      </c>
      <c r="AF15" s="75"/>
      <c r="AG15" s="76">
        <f t="shared" si="0"/>
        <v>0.65591397849462374</v>
      </c>
    </row>
    <row r="16" spans="1:33" ht="21.75" customHeight="1">
      <c r="A16" s="95" t="s">
        <v>117</v>
      </c>
      <c r="B16" s="93">
        <f>'01'!AD20+'01'!AD21</f>
        <v>0.95833333333333337</v>
      </c>
      <c r="C16" s="93">
        <f>'02'!AD19</f>
        <v>1</v>
      </c>
      <c r="D16" s="74">
        <f>'03'!AD19</f>
        <v>0.79166666666666663</v>
      </c>
      <c r="E16" s="74">
        <f>'04'!AD19</f>
        <v>0</v>
      </c>
      <c r="F16" s="74"/>
      <c r="G16" s="74">
        <f>'06'!AD19</f>
        <v>1</v>
      </c>
      <c r="H16" s="74">
        <f>'07'!AD19</f>
        <v>1</v>
      </c>
      <c r="I16" s="74">
        <f>'08'!AD19</f>
        <v>1</v>
      </c>
      <c r="J16" s="74">
        <f>'09'!AD19</f>
        <v>1</v>
      </c>
      <c r="K16" s="74">
        <f>'10'!AD19</f>
        <v>1</v>
      </c>
      <c r="L16" s="74"/>
      <c r="M16" s="74"/>
      <c r="N16" s="74">
        <f>'13'!AD19</f>
        <v>0.75</v>
      </c>
      <c r="O16" s="74">
        <f>'14'!AD19</f>
        <v>1</v>
      </c>
      <c r="P16" s="74">
        <f>'15'!AD19</f>
        <v>1</v>
      </c>
      <c r="Q16" s="74">
        <f>'16'!AD19</f>
        <v>1</v>
      </c>
      <c r="R16" s="74">
        <f>'17'!AD19</f>
        <v>1</v>
      </c>
      <c r="S16" s="74"/>
      <c r="T16" s="74"/>
      <c r="U16" s="74">
        <f>'20'!AD19</f>
        <v>0.66666666666666663</v>
      </c>
      <c r="V16" s="74">
        <f>'21'!AD19</f>
        <v>1</v>
      </c>
      <c r="W16" s="74">
        <f>'22'!AD20</f>
        <v>1</v>
      </c>
      <c r="X16" s="74">
        <f>'23'!AD19</f>
        <v>1</v>
      </c>
      <c r="Y16" s="74">
        <f>'24'!AD20</f>
        <v>1</v>
      </c>
      <c r="Z16" s="74"/>
      <c r="AA16" s="74"/>
      <c r="AB16" s="74">
        <f>'27'!AD19</f>
        <v>1</v>
      </c>
      <c r="AC16" s="74">
        <f>'28'!AD21</f>
        <v>1</v>
      </c>
      <c r="AD16" s="74">
        <f>'29'!AD21</f>
        <v>1</v>
      </c>
      <c r="AE16" s="74">
        <f>'30'!AD20</f>
        <v>1</v>
      </c>
      <c r="AF16" s="75"/>
      <c r="AG16" s="76">
        <f t="shared" si="0"/>
        <v>0.68279569892473113</v>
      </c>
    </row>
    <row r="17" spans="1:33" ht="21.75" customHeight="1">
      <c r="A17" s="95" t="s">
        <v>118</v>
      </c>
      <c r="B17" s="93">
        <f>'01'!AD22</f>
        <v>1</v>
      </c>
      <c r="C17" s="93">
        <f>'02'!AD20</f>
        <v>0.45833333333333331</v>
      </c>
      <c r="D17" s="74">
        <f>'03'!AD20</f>
        <v>0.70833333333333337</v>
      </c>
      <c r="E17" s="74">
        <f>'04'!AD20</f>
        <v>0.83333333333333337</v>
      </c>
      <c r="F17" s="74"/>
      <c r="G17" s="74">
        <f>'06'!AD20</f>
        <v>1</v>
      </c>
      <c r="H17" s="74">
        <f>'07'!AD20</f>
        <v>0.91666666666666663</v>
      </c>
      <c r="I17" s="74">
        <f>'08'!AD20</f>
        <v>0.20833333333333334</v>
      </c>
      <c r="J17" s="74">
        <f>'09'!AD20</f>
        <v>0.25</v>
      </c>
      <c r="K17" s="74">
        <f>'10'!AD20</f>
        <v>0.5</v>
      </c>
      <c r="L17" s="74"/>
      <c r="M17" s="74"/>
      <c r="N17" s="74">
        <f>'13'!AD20</f>
        <v>0.875</v>
      </c>
      <c r="O17" s="74">
        <f>'14'!AD20</f>
        <v>0.16666666666666666</v>
      </c>
      <c r="P17" s="74">
        <f>'15'!AD20</f>
        <v>0.91666666666666663</v>
      </c>
      <c r="Q17" s="74">
        <f>'16'!AD20</f>
        <v>0.25</v>
      </c>
      <c r="R17" s="74">
        <f>'17'!AD20</f>
        <v>0.58333333333333337</v>
      </c>
      <c r="S17" s="74"/>
      <c r="T17" s="74"/>
      <c r="U17" s="74">
        <f>'20'!AD20</f>
        <v>0.33333333333333331</v>
      </c>
      <c r="V17" s="74">
        <f>'21'!AD20</f>
        <v>0.41666666666666669</v>
      </c>
      <c r="W17" s="74">
        <f>'22'!AD21</f>
        <v>0</v>
      </c>
      <c r="X17" s="74">
        <f>'23'!AD20</f>
        <v>0.91666666666666663</v>
      </c>
      <c r="Y17" s="74">
        <f>'24'!AD21</f>
        <v>1</v>
      </c>
      <c r="Z17" s="74"/>
      <c r="AA17" s="74"/>
      <c r="AB17" s="74">
        <f>'27'!AD20</f>
        <v>1</v>
      </c>
      <c r="AC17" s="74">
        <f>'28'!AD22</f>
        <v>1</v>
      </c>
      <c r="AD17" s="74">
        <f>'29'!AD22</f>
        <v>1</v>
      </c>
      <c r="AE17" s="74">
        <f>'30'!AD21+'30'!AD22</f>
        <v>0.95833333333333326</v>
      </c>
      <c r="AF17" s="75"/>
      <c r="AG17" s="76">
        <f t="shared" si="0"/>
        <v>0.49327956989247318</v>
      </c>
    </row>
    <row r="18" spans="1:33" ht="21.75" customHeight="1">
      <c r="A18" s="95" t="s">
        <v>119</v>
      </c>
      <c r="B18" s="93">
        <f>'01'!AD23</f>
        <v>1</v>
      </c>
      <c r="C18" s="93">
        <f>'02'!AD21</f>
        <v>1</v>
      </c>
      <c r="D18" s="74">
        <f>'03'!AD21</f>
        <v>1</v>
      </c>
      <c r="E18" s="74">
        <f>'04'!AD21</f>
        <v>0</v>
      </c>
      <c r="F18" s="74"/>
      <c r="G18" s="74">
        <f>'06'!AD21</f>
        <v>0.91666666666666663</v>
      </c>
      <c r="H18" s="74">
        <f>'07'!AD21</f>
        <v>1</v>
      </c>
      <c r="I18" s="74">
        <f>'08'!AD21</f>
        <v>1</v>
      </c>
      <c r="J18" s="74">
        <f>'09'!AD21</f>
        <v>1</v>
      </c>
      <c r="K18" s="74">
        <f>'10'!AD21</f>
        <v>1</v>
      </c>
      <c r="L18" s="74"/>
      <c r="M18" s="74"/>
      <c r="N18" s="74">
        <f>'13'!AD21</f>
        <v>1</v>
      </c>
      <c r="O18" s="74">
        <f>'14'!AD21</f>
        <v>1</v>
      </c>
      <c r="P18" s="74">
        <f>'15'!AD21</f>
        <v>0.5</v>
      </c>
      <c r="Q18" s="74">
        <f>'16'!AD21</f>
        <v>0</v>
      </c>
      <c r="R18" s="74">
        <f>'17'!AD21</f>
        <v>0</v>
      </c>
      <c r="S18" s="74"/>
      <c r="T18" s="74"/>
      <c r="U18" s="74">
        <f>'20'!AD21</f>
        <v>0</v>
      </c>
      <c r="V18" s="74">
        <f>'21'!AD21</f>
        <v>0</v>
      </c>
      <c r="W18" s="74">
        <f>'22'!AD22</f>
        <v>0</v>
      </c>
      <c r="X18" s="74">
        <f>'23'!AD21</f>
        <v>0</v>
      </c>
      <c r="Y18" s="74">
        <f>'24'!AD22</f>
        <v>0</v>
      </c>
      <c r="Z18" s="74"/>
      <c r="AA18" s="74"/>
      <c r="AB18" s="74">
        <f>'27'!AD21</f>
        <v>0.875</v>
      </c>
      <c r="AC18" s="74">
        <f>'28'!AD23</f>
        <v>1</v>
      </c>
      <c r="AD18" s="74">
        <f>'29'!AD23</f>
        <v>1</v>
      </c>
      <c r="AE18" s="74">
        <f>'30'!AD23</f>
        <v>1</v>
      </c>
      <c r="AF18" s="75"/>
      <c r="AG18" s="76">
        <f t="shared" si="0"/>
        <v>0.46102150537634407</v>
      </c>
    </row>
    <row r="19" spans="1:33" ht="21.75" customHeight="1">
      <c r="A19" s="100" t="s">
        <v>154</v>
      </c>
      <c r="B19" s="101">
        <f>'01'!AD24</f>
        <v>0</v>
      </c>
      <c r="C19" s="101">
        <f>'02'!AD22</f>
        <v>0</v>
      </c>
      <c r="D19" s="102">
        <f>'03'!AD22</f>
        <v>0</v>
      </c>
      <c r="E19" s="102">
        <f>'04'!AD22</f>
        <v>0</v>
      </c>
      <c r="F19" s="102"/>
      <c r="G19" s="102">
        <f>'06'!AD22</f>
        <v>0</v>
      </c>
      <c r="H19" s="102">
        <f>'07'!AD22</f>
        <v>0</v>
      </c>
      <c r="I19" s="102">
        <f>'08'!AD22</f>
        <v>0</v>
      </c>
      <c r="J19" s="102">
        <f>'09'!AD22</f>
        <v>0</v>
      </c>
      <c r="K19" s="102">
        <f>'10'!AD22</f>
        <v>0</v>
      </c>
      <c r="L19" s="102"/>
      <c r="M19" s="102"/>
      <c r="N19" s="102">
        <f>'13'!AD22</f>
        <v>0</v>
      </c>
      <c r="O19" s="102">
        <f>'14'!AD22</f>
        <v>0</v>
      </c>
      <c r="P19" s="102">
        <f>'15'!AD22</f>
        <v>0</v>
      </c>
      <c r="Q19" s="102">
        <f>'16'!AD22</f>
        <v>0</v>
      </c>
      <c r="R19" s="102">
        <f>'17'!AD22</f>
        <v>0</v>
      </c>
      <c r="S19" s="102"/>
      <c r="T19" s="102"/>
      <c r="U19" s="102">
        <f>'20'!AD22</f>
        <v>0</v>
      </c>
      <c r="V19" s="102">
        <f>'21'!AD22</f>
        <v>0</v>
      </c>
      <c r="W19" s="102">
        <f>'22'!AD23</f>
        <v>0</v>
      </c>
      <c r="X19" s="102">
        <f>'23'!AD22</f>
        <v>0</v>
      </c>
      <c r="Y19" s="102">
        <f>'24'!AD23</f>
        <v>0</v>
      </c>
      <c r="Z19" s="102"/>
      <c r="AA19" s="102"/>
      <c r="AB19" s="102">
        <f>'27'!AD22</f>
        <v>0</v>
      </c>
      <c r="AC19" s="102">
        <f>'28'!AD24</f>
        <v>0</v>
      </c>
      <c r="AD19" s="102">
        <f>'29'!AD24</f>
        <v>0</v>
      </c>
      <c r="AE19" s="102">
        <f>'30'!AD24</f>
        <v>0</v>
      </c>
      <c r="AF19" s="103"/>
      <c r="AG19" s="104">
        <f t="shared" si="0"/>
        <v>0</v>
      </c>
    </row>
    <row r="20" spans="1:33" ht="21.75" customHeight="1">
      <c r="A20" s="100" t="s">
        <v>155</v>
      </c>
      <c r="B20" s="101">
        <f>'01'!AD25</f>
        <v>0</v>
      </c>
      <c r="C20" s="101">
        <f>'02'!AD23</f>
        <v>0</v>
      </c>
      <c r="D20" s="102">
        <f>'03'!AD23</f>
        <v>0</v>
      </c>
      <c r="E20" s="102">
        <f>'04'!AD23</f>
        <v>0</v>
      </c>
      <c r="F20" s="102"/>
      <c r="G20" s="102">
        <f>'06'!AD23</f>
        <v>0</v>
      </c>
      <c r="H20" s="102">
        <f>'07'!AD23</f>
        <v>0</v>
      </c>
      <c r="I20" s="102">
        <f>'08'!AD23</f>
        <v>0</v>
      </c>
      <c r="J20" s="102">
        <f>'09'!AD23</f>
        <v>0</v>
      </c>
      <c r="K20" s="102">
        <f>'10'!AD23</f>
        <v>0</v>
      </c>
      <c r="L20" s="102"/>
      <c r="M20" s="102"/>
      <c r="N20" s="102">
        <f>'13'!AD23</f>
        <v>0</v>
      </c>
      <c r="O20" s="102">
        <f>'14'!AD23</f>
        <v>0</v>
      </c>
      <c r="P20" s="102">
        <f>'15'!AD23</f>
        <v>0</v>
      </c>
      <c r="Q20" s="102">
        <f>'16'!AD23</f>
        <v>0</v>
      </c>
      <c r="R20" s="102">
        <f>'17'!AD23</f>
        <v>0</v>
      </c>
      <c r="S20" s="102"/>
      <c r="T20" s="102"/>
      <c r="U20" s="102">
        <f>'20'!AD23</f>
        <v>0</v>
      </c>
      <c r="V20" s="102">
        <f>'21'!AD23</f>
        <v>0</v>
      </c>
      <c r="W20" s="102">
        <f>'22'!AD24</f>
        <v>0</v>
      </c>
      <c r="X20" s="102">
        <f>'23'!AD23</f>
        <v>0</v>
      </c>
      <c r="Y20" s="102">
        <f>'24'!AD24</f>
        <v>0</v>
      </c>
      <c r="Z20" s="102"/>
      <c r="AA20" s="102"/>
      <c r="AB20" s="102">
        <f>'27'!AD23</f>
        <v>0</v>
      </c>
      <c r="AC20" s="102">
        <f>'28'!AD25</f>
        <v>0</v>
      </c>
      <c r="AD20" s="102">
        <f>'29'!AD25</f>
        <v>0</v>
      </c>
      <c r="AE20" s="102">
        <f>'30'!AD25</f>
        <v>0</v>
      </c>
      <c r="AF20" s="103"/>
      <c r="AG20" s="104">
        <f t="shared" si="0"/>
        <v>0</v>
      </c>
    </row>
    <row r="21" spans="1:33" ht="21.75" customHeight="1">
      <c r="A21" s="95" t="s">
        <v>127</v>
      </c>
      <c r="B21" s="93">
        <f>'01'!AD26</f>
        <v>0</v>
      </c>
      <c r="C21" s="93">
        <f>'02'!AD24</f>
        <v>0</v>
      </c>
      <c r="D21" s="74">
        <f>'03'!AD24</f>
        <v>0</v>
      </c>
      <c r="E21" s="74">
        <f>'04'!AD24</f>
        <v>0</v>
      </c>
      <c r="F21" s="74"/>
      <c r="G21" s="74">
        <f>'06'!AD24</f>
        <v>0</v>
      </c>
      <c r="H21" s="74">
        <f>'07'!AD24</f>
        <v>0</v>
      </c>
      <c r="I21" s="74">
        <f>'08'!AD24</f>
        <v>0</v>
      </c>
      <c r="J21" s="74">
        <f>'09'!AD24</f>
        <v>0</v>
      </c>
      <c r="K21" s="74">
        <f>'10'!AD24</f>
        <v>0</v>
      </c>
      <c r="L21" s="74"/>
      <c r="M21" s="74"/>
      <c r="N21" s="74">
        <f>'13'!AD24</f>
        <v>0</v>
      </c>
      <c r="O21" s="74">
        <f>'14'!AD24</f>
        <v>0</v>
      </c>
      <c r="P21" s="74">
        <f>'15'!AD24</f>
        <v>0.125</v>
      </c>
      <c r="Q21" s="74">
        <f>'16'!AD24</f>
        <v>1.225071225071225</v>
      </c>
      <c r="R21" s="74">
        <f>'17'!AD24</f>
        <v>0</v>
      </c>
      <c r="S21" s="74"/>
      <c r="T21" s="74"/>
      <c r="U21" s="74">
        <f>'20'!AD24</f>
        <v>0</v>
      </c>
      <c r="V21" s="74">
        <f>'21'!AD24</f>
        <v>0</v>
      </c>
      <c r="W21" s="74">
        <f>'22'!AD25</f>
        <v>0</v>
      </c>
      <c r="X21" s="74">
        <f>'23'!AD24</f>
        <v>0</v>
      </c>
      <c r="Y21" s="74">
        <f>'24'!AD25</f>
        <v>0</v>
      </c>
      <c r="Z21" s="74"/>
      <c r="AA21" s="74"/>
      <c r="AB21" s="74">
        <f>'27'!AD24</f>
        <v>0</v>
      </c>
      <c r="AC21" s="74">
        <f>'28'!AD26</f>
        <v>0</v>
      </c>
      <c r="AD21" s="74">
        <f>'29'!AD26</f>
        <v>0</v>
      </c>
      <c r="AE21" s="74">
        <f>'30'!AD26</f>
        <v>0</v>
      </c>
      <c r="AF21" s="75"/>
      <c r="AG21" s="76">
        <f t="shared" si="0"/>
        <v>4.3550684679716935E-2</v>
      </c>
    </row>
    <row r="22" spans="1:33" ht="21.75" customHeight="1">
      <c r="A22" s="95" t="s">
        <v>128</v>
      </c>
      <c r="B22" s="93">
        <f>'01'!AD27</f>
        <v>0</v>
      </c>
      <c r="C22" s="93">
        <f>'02'!AD25</f>
        <v>0</v>
      </c>
      <c r="D22" s="74">
        <f>'03'!AD25</f>
        <v>0</v>
      </c>
      <c r="E22" s="74">
        <f>'04'!AD25</f>
        <v>0</v>
      </c>
      <c r="F22" s="74"/>
      <c r="G22" s="74">
        <f>'06'!AD25</f>
        <v>0</v>
      </c>
      <c r="H22" s="74">
        <f>'07'!AD25</f>
        <v>0</v>
      </c>
      <c r="I22" s="74">
        <f>'08'!AD25</f>
        <v>0</v>
      </c>
      <c r="J22" s="74">
        <f>'09'!AD25</f>
        <v>0</v>
      </c>
      <c r="K22" s="74">
        <f>'10'!AD25</f>
        <v>0</v>
      </c>
      <c r="L22" s="74"/>
      <c r="M22" s="74"/>
      <c r="N22" s="74">
        <f>'13'!AD25</f>
        <v>0</v>
      </c>
      <c r="O22" s="74">
        <f>'14'!AD25</f>
        <v>0</v>
      </c>
      <c r="P22" s="74">
        <f>'15'!AD25</f>
        <v>0</v>
      </c>
      <c r="Q22" s="74">
        <f>'16'!AD25</f>
        <v>0</v>
      </c>
      <c r="R22" s="74">
        <f>'17'!AD25</f>
        <v>0</v>
      </c>
      <c r="S22" s="74"/>
      <c r="T22" s="74"/>
      <c r="U22" s="74">
        <f>'20'!AD25</f>
        <v>0</v>
      </c>
      <c r="V22" s="74">
        <f>'21'!AD25</f>
        <v>0</v>
      </c>
      <c r="W22" s="74">
        <f>'22'!AD26</f>
        <v>0</v>
      </c>
      <c r="X22" s="74">
        <f>'23'!AD25</f>
        <v>0</v>
      </c>
      <c r="Y22" s="74">
        <f>'24'!AD26</f>
        <v>0</v>
      </c>
      <c r="Z22" s="74"/>
      <c r="AA22" s="74"/>
      <c r="AB22" s="74">
        <f>'27'!AD25</f>
        <v>0</v>
      </c>
      <c r="AC22" s="74">
        <f>'28'!AD27</f>
        <v>0</v>
      </c>
      <c r="AD22" s="74">
        <f>'29'!AD27</f>
        <v>0</v>
      </c>
      <c r="AE22" s="74">
        <f>'30'!AD27</f>
        <v>0</v>
      </c>
      <c r="AF22" s="75"/>
      <c r="AG22" s="76">
        <f t="shared" si="0"/>
        <v>0</v>
      </c>
    </row>
    <row r="23" spans="1:33" ht="21.75" customHeight="1">
      <c r="A23" s="95" t="s">
        <v>129</v>
      </c>
      <c r="B23" s="93">
        <f>'01'!AD28</f>
        <v>0</v>
      </c>
      <c r="C23" s="93">
        <f>'02'!AD26</f>
        <v>0</v>
      </c>
      <c r="D23" s="74">
        <f>'03'!AD26</f>
        <v>0</v>
      </c>
      <c r="E23" s="74">
        <f>'04'!AD26</f>
        <v>0</v>
      </c>
      <c r="F23" s="74"/>
      <c r="G23" s="74">
        <f>'06'!AD26</f>
        <v>0.91666666666666663</v>
      </c>
      <c r="H23" s="74">
        <f>'07'!AD26</f>
        <v>1</v>
      </c>
      <c r="I23" s="74">
        <f>'08'!AD26</f>
        <v>1</v>
      </c>
      <c r="J23" s="74">
        <f>'09'!AD26</f>
        <v>1</v>
      </c>
      <c r="K23" s="74">
        <f>'10'!AD26</f>
        <v>1</v>
      </c>
      <c r="L23" s="74"/>
      <c r="M23" s="74"/>
      <c r="N23" s="74">
        <f>'13'!AD26</f>
        <v>0</v>
      </c>
      <c r="O23" s="74">
        <f>'14'!AD26</f>
        <v>0.875</v>
      </c>
      <c r="P23" s="74">
        <f>'15'!AD26</f>
        <v>0.91666666666666663</v>
      </c>
      <c r="Q23" s="74">
        <f>'16'!AD26</f>
        <v>1</v>
      </c>
      <c r="R23" s="74">
        <f>'17'!AD26</f>
        <v>1</v>
      </c>
      <c r="S23" s="74"/>
      <c r="T23" s="74"/>
      <c r="U23" s="74">
        <f>'20'!AD26</f>
        <v>1</v>
      </c>
      <c r="V23" s="74">
        <f>'21'!AD26</f>
        <v>1</v>
      </c>
      <c r="W23" s="74">
        <f>'22'!AD27</f>
        <v>1</v>
      </c>
      <c r="X23" s="74">
        <f>'23'!AD26</f>
        <v>0</v>
      </c>
      <c r="Y23" s="74">
        <f>'24'!AD27</f>
        <v>0</v>
      </c>
      <c r="Z23" s="74"/>
      <c r="AA23" s="74"/>
      <c r="AB23" s="74">
        <f>'27'!AD26</f>
        <v>0</v>
      </c>
      <c r="AC23" s="74">
        <f>'28'!AD28</f>
        <v>0</v>
      </c>
      <c r="AD23" s="74">
        <f>'29'!AD28</f>
        <v>0</v>
      </c>
      <c r="AE23" s="74">
        <f>'30'!AD28</f>
        <v>0</v>
      </c>
      <c r="AF23" s="75"/>
      <c r="AG23" s="76">
        <f t="shared" si="0"/>
        <v>0.37768817204301069</v>
      </c>
    </row>
    <row r="24" spans="1:33" ht="21.75" customHeight="1">
      <c r="A24" s="95" t="s">
        <v>130</v>
      </c>
      <c r="B24" s="93">
        <f>'01'!AD29</f>
        <v>0</v>
      </c>
      <c r="C24" s="93">
        <f>'02'!AD27</f>
        <v>0</v>
      </c>
      <c r="D24" s="74">
        <f>'03'!AD27</f>
        <v>0</v>
      </c>
      <c r="E24" s="74">
        <f>'04'!AD27</f>
        <v>0</v>
      </c>
      <c r="F24" s="74"/>
      <c r="G24" s="74">
        <f>'06'!AD27</f>
        <v>1.1189320388349515</v>
      </c>
      <c r="H24" s="74">
        <f>'07'!AD27</f>
        <v>1</v>
      </c>
      <c r="I24" s="74">
        <f>'08'!AD27</f>
        <v>1</v>
      </c>
      <c r="J24" s="74">
        <f>'09'!AD27</f>
        <v>1</v>
      </c>
      <c r="K24" s="74">
        <f>'10'!AD27</f>
        <v>1</v>
      </c>
      <c r="L24" s="74"/>
      <c r="M24" s="74"/>
      <c r="N24" s="74">
        <f>'13'!AD27</f>
        <v>1</v>
      </c>
      <c r="O24" s="74">
        <f>'14'!AD27</f>
        <v>1</v>
      </c>
      <c r="P24" s="74">
        <f>'15'!AD27</f>
        <v>1</v>
      </c>
      <c r="Q24" s="74">
        <f>'16'!AD27</f>
        <v>1</v>
      </c>
      <c r="R24" s="74">
        <f>'17'!AD27</f>
        <v>1</v>
      </c>
      <c r="S24" s="74"/>
      <c r="T24" s="74"/>
      <c r="U24" s="74">
        <f>'20'!AD27</f>
        <v>0</v>
      </c>
      <c r="V24" s="74">
        <f>'21'!AD27</f>
        <v>0</v>
      </c>
      <c r="W24" s="74">
        <f>'22'!AD28</f>
        <v>0</v>
      </c>
      <c r="X24" s="74">
        <f>'23'!AD27</f>
        <v>0</v>
      </c>
      <c r="Y24" s="74">
        <f>'24'!AD28</f>
        <v>0</v>
      </c>
      <c r="Z24" s="74"/>
      <c r="AA24" s="74"/>
      <c r="AB24" s="74">
        <f>'27'!AD27</f>
        <v>0</v>
      </c>
      <c r="AC24" s="74">
        <f>'28'!AD29</f>
        <v>0</v>
      </c>
      <c r="AD24" s="74">
        <f>'29'!AD29</f>
        <v>0</v>
      </c>
      <c r="AE24" s="74">
        <f>'30'!AD29</f>
        <v>0</v>
      </c>
      <c r="AF24" s="75"/>
      <c r="AG24" s="76">
        <f t="shared" si="0"/>
        <v>0.32641716254306297</v>
      </c>
    </row>
    <row r="25" spans="1:33" ht="21.75" customHeight="1">
      <c r="A25" s="95" t="s">
        <v>131</v>
      </c>
      <c r="B25" s="93">
        <f>'01'!AD30</f>
        <v>0</v>
      </c>
      <c r="C25" s="93">
        <f>'02'!AD28</f>
        <v>0</v>
      </c>
      <c r="D25" s="74">
        <f>'03'!AD28</f>
        <v>0</v>
      </c>
      <c r="E25" s="74">
        <f>'04'!AD28</f>
        <v>0</v>
      </c>
      <c r="F25" s="74"/>
      <c r="G25" s="74">
        <f>'06'!AD28</f>
        <v>0.75</v>
      </c>
      <c r="H25" s="74">
        <f>'07'!AD28</f>
        <v>1</v>
      </c>
      <c r="I25" s="74">
        <f>'08'!AD28</f>
        <v>1</v>
      </c>
      <c r="J25" s="74">
        <f>'09'!AD28</f>
        <v>1</v>
      </c>
      <c r="K25" s="74">
        <f>'10'!AD28</f>
        <v>1</v>
      </c>
      <c r="L25" s="74"/>
      <c r="M25" s="74"/>
      <c r="N25" s="74">
        <f>'13'!AD28</f>
        <v>1</v>
      </c>
      <c r="O25" s="74">
        <f>'14'!AD28</f>
        <v>1</v>
      </c>
      <c r="P25" s="74">
        <f>'15'!AD28</f>
        <v>1</v>
      </c>
      <c r="Q25" s="74">
        <f>'16'!AD28</f>
        <v>1</v>
      </c>
      <c r="R25" s="74">
        <f>'17'!AD28</f>
        <v>1</v>
      </c>
      <c r="S25" s="74"/>
      <c r="T25" s="74"/>
      <c r="U25" s="74">
        <f>'20'!AD28</f>
        <v>0</v>
      </c>
      <c r="V25" s="74">
        <f>'21'!AD28</f>
        <v>0</v>
      </c>
      <c r="W25" s="74">
        <f>'22'!AD29</f>
        <v>0</v>
      </c>
      <c r="X25" s="74">
        <f>'23'!AD28</f>
        <v>0</v>
      </c>
      <c r="Y25" s="74">
        <f>'24'!AD29</f>
        <v>0</v>
      </c>
      <c r="Z25" s="74"/>
      <c r="AA25" s="74"/>
      <c r="AB25" s="74">
        <f>'27'!AD28</f>
        <v>0</v>
      </c>
      <c r="AC25" s="74">
        <f>'28'!AD30</f>
        <v>0</v>
      </c>
      <c r="AD25" s="74">
        <f>'29'!AD30</f>
        <v>0</v>
      </c>
      <c r="AE25" s="74">
        <f>'30'!AD30</f>
        <v>0</v>
      </c>
      <c r="AF25" s="75"/>
      <c r="AG25" s="76">
        <f t="shared" si="0"/>
        <v>0.31451612903225806</v>
      </c>
    </row>
    <row r="26" spans="1:33" ht="21.75" customHeight="1" thickBot="1">
      <c r="A26" s="96" t="s">
        <v>132</v>
      </c>
      <c r="B26" s="94">
        <f>'01'!AD31</f>
        <v>0</v>
      </c>
      <c r="C26" s="94">
        <f>'02'!AD29</f>
        <v>0</v>
      </c>
      <c r="D26" s="77">
        <f>'03'!AD29</f>
        <v>0</v>
      </c>
      <c r="E26" s="77">
        <f>'04'!AD29</f>
        <v>0</v>
      </c>
      <c r="F26" s="77"/>
      <c r="G26" s="77">
        <f>'06'!AD29</f>
        <v>0</v>
      </c>
      <c r="H26" s="77">
        <f>'07'!AD29</f>
        <v>0</v>
      </c>
      <c r="I26" s="77">
        <f>'08'!AD29</f>
        <v>0</v>
      </c>
      <c r="J26" s="77">
        <f>'09'!AD29</f>
        <v>0</v>
      </c>
      <c r="K26" s="77">
        <f>'10'!AD29</f>
        <v>0</v>
      </c>
      <c r="L26" s="77"/>
      <c r="M26" s="77"/>
      <c r="N26" s="77">
        <f>'13'!AD29</f>
        <v>0</v>
      </c>
      <c r="O26" s="77">
        <f>'14'!AD29</f>
        <v>0</v>
      </c>
      <c r="P26" s="77">
        <f>'15'!AD29</f>
        <v>0</v>
      </c>
      <c r="Q26" s="77">
        <f>'16'!AD29</f>
        <v>0</v>
      </c>
      <c r="R26" s="77">
        <f>'17'!AD29</f>
        <v>0</v>
      </c>
      <c r="S26" s="77"/>
      <c r="T26" s="77"/>
      <c r="U26" s="77">
        <f>'20'!AD29</f>
        <v>0</v>
      </c>
      <c r="V26" s="77">
        <f>'21'!AD29</f>
        <v>0</v>
      </c>
      <c r="W26" s="77">
        <f>'22'!AD30</f>
        <v>0</v>
      </c>
      <c r="X26" s="77">
        <f>'23'!AD29</f>
        <v>0</v>
      </c>
      <c r="Y26" s="77">
        <f>'24'!AD30</f>
        <v>0</v>
      </c>
      <c r="Z26" s="77"/>
      <c r="AA26" s="77"/>
      <c r="AB26" s="77">
        <f>'27'!AD29</f>
        <v>0</v>
      </c>
      <c r="AC26" s="77">
        <f>'28'!AD31</f>
        <v>0</v>
      </c>
      <c r="AD26" s="77">
        <f>'29'!AD31</f>
        <v>0</v>
      </c>
      <c r="AE26" s="77">
        <f>'30'!AD31</f>
        <v>0</v>
      </c>
      <c r="AF26" s="78"/>
      <c r="AG26" s="79">
        <f t="shared" si="0"/>
        <v>0</v>
      </c>
    </row>
    <row r="27" spans="1:33" s="80" customFormat="1" ht="21.75" customHeight="1">
      <c r="A27" s="84" t="s">
        <v>104</v>
      </c>
      <c r="B27" s="88">
        <f>'01'!AD32</f>
        <v>0.45993589743589747</v>
      </c>
      <c r="C27" s="88">
        <f>'02'!AD30</f>
        <v>0.45659722222222227</v>
      </c>
      <c r="D27" s="89">
        <f>'03'!AD30</f>
        <v>0.47222222222222227</v>
      </c>
      <c r="E27" s="89">
        <f>'04'!AD30</f>
        <v>0.23263888888888887</v>
      </c>
      <c r="F27" s="89"/>
      <c r="G27" s="89">
        <f>'06'!AD30</f>
        <v>0.61953883495145623</v>
      </c>
      <c r="H27" s="89">
        <f>'07'!AD30</f>
        <v>0.67708333333333337</v>
      </c>
      <c r="I27" s="89">
        <f>'08'!AD30</f>
        <v>0.671875</v>
      </c>
      <c r="J27" s="89">
        <f>'09'!AD30</f>
        <v>0.68576388888888884</v>
      </c>
      <c r="K27" s="89">
        <f>'10'!AD30</f>
        <v>0.63715277777777779</v>
      </c>
      <c r="L27" s="89"/>
      <c r="M27" s="89"/>
      <c r="N27" s="89">
        <f>'13'!AD30</f>
        <v>0.55555555555555547</v>
      </c>
      <c r="O27" s="89">
        <f>'14'!AD30</f>
        <v>0.56423611111111105</v>
      </c>
      <c r="P27" s="89">
        <f>'15'!AD30</f>
        <v>0.578125</v>
      </c>
      <c r="Q27" s="89">
        <f>'16'!AD30</f>
        <v>0.59444741215574559</v>
      </c>
      <c r="R27" s="89">
        <f>'17'!AD30</f>
        <v>0.54861111111111116</v>
      </c>
      <c r="S27" s="89"/>
      <c r="T27" s="89"/>
      <c r="U27" s="89">
        <f>'20'!AD30</f>
        <v>0.40450055839939331</v>
      </c>
      <c r="V27" s="89">
        <f>'21'!AD30</f>
        <v>0.49826388888888884</v>
      </c>
      <c r="W27" s="89">
        <f>'22'!AD31</f>
        <v>0.49500000000000005</v>
      </c>
      <c r="X27" s="89">
        <f>'23'!AD30</f>
        <v>0.49772443142896283</v>
      </c>
      <c r="Y27" s="89">
        <f>'24'!AD31</f>
        <v>0.52166666666666672</v>
      </c>
      <c r="Z27" s="89"/>
      <c r="AA27" s="89"/>
      <c r="AB27" s="89">
        <f>'27'!AD30</f>
        <v>0.49999999999999994</v>
      </c>
      <c r="AC27" s="89">
        <f>'28'!AD32</f>
        <v>0.48878205128205121</v>
      </c>
      <c r="AD27" s="89">
        <f>'29'!AD32</f>
        <v>0.44070512820512825</v>
      </c>
      <c r="AE27" s="89">
        <f>'30'!AD32</f>
        <v>0.39082159892786594</v>
      </c>
      <c r="AF27" s="90"/>
      <c r="AG27" s="91">
        <f t="shared" si="0"/>
        <v>0.38681443804687632</v>
      </c>
    </row>
    <row r="28" spans="1:33" ht="21.75" customHeight="1" thickBot="1">
      <c r="A28" s="69" t="s">
        <v>108</v>
      </c>
      <c r="B28" s="70">
        <v>0.62</v>
      </c>
      <c r="C28" s="71">
        <v>0.62</v>
      </c>
      <c r="D28" s="71">
        <v>0.62</v>
      </c>
      <c r="E28" s="71">
        <v>0.62</v>
      </c>
      <c r="F28" s="71">
        <v>0.62</v>
      </c>
      <c r="G28" s="71">
        <v>0.62</v>
      </c>
      <c r="H28" s="71">
        <v>0.62</v>
      </c>
      <c r="I28" s="71">
        <v>0.62</v>
      </c>
      <c r="J28" s="71">
        <v>0.62</v>
      </c>
      <c r="K28" s="71">
        <v>0.62</v>
      </c>
      <c r="L28" s="71">
        <v>0.62</v>
      </c>
      <c r="M28" s="71">
        <v>0.62</v>
      </c>
      <c r="N28" s="71">
        <v>0.62</v>
      </c>
      <c r="O28" s="71">
        <v>0.62</v>
      </c>
      <c r="P28" s="71">
        <v>0.62</v>
      </c>
      <c r="Q28" s="71">
        <v>0.62</v>
      </c>
      <c r="R28" s="71">
        <v>0.62</v>
      </c>
      <c r="S28" s="71">
        <v>0.62</v>
      </c>
      <c r="T28" s="71">
        <v>0.62</v>
      </c>
      <c r="U28" s="71">
        <v>0.62</v>
      </c>
      <c r="V28" s="71">
        <v>0.62</v>
      </c>
      <c r="W28" s="71">
        <v>0.62</v>
      </c>
      <c r="X28" s="71">
        <v>0.62</v>
      </c>
      <c r="Y28" s="71">
        <v>0.62</v>
      </c>
      <c r="Z28" s="71">
        <v>0.62</v>
      </c>
      <c r="AA28" s="71">
        <v>0.62</v>
      </c>
      <c r="AB28" s="71">
        <v>0.62</v>
      </c>
      <c r="AC28" s="71">
        <v>0.62</v>
      </c>
      <c r="AD28" s="71">
        <v>0.62</v>
      </c>
      <c r="AE28" s="71">
        <v>0.62</v>
      </c>
      <c r="AF28" s="72">
        <v>0.62</v>
      </c>
      <c r="AG28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46</vt:i4>
      </vt:variant>
    </vt:vector>
  </HeadingPairs>
  <TitlesOfParts>
    <vt:vector size="70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13</vt:lpstr>
      <vt:lpstr>14</vt:lpstr>
      <vt:lpstr>15</vt:lpstr>
      <vt:lpstr>16</vt:lpstr>
      <vt:lpstr>17</vt:lpstr>
      <vt:lpstr>20</vt:lpstr>
      <vt:lpstr>21</vt:lpstr>
      <vt:lpstr>22</vt:lpstr>
      <vt:lpstr>23</vt:lpstr>
      <vt:lpstr>24</vt:lpstr>
      <vt:lpstr>27</vt:lpstr>
      <vt:lpstr>28</vt:lpstr>
      <vt:lpstr>29</vt:lpstr>
      <vt:lpstr>30</vt:lpstr>
      <vt:lpstr>총괄</vt:lpstr>
      <vt:lpstr>'01'!Print_Area</vt:lpstr>
      <vt:lpstr>'02'!Print_Area</vt:lpstr>
      <vt:lpstr>'03'!Print_Area</vt:lpstr>
      <vt:lpstr>'04'!Print_Area</vt:lpstr>
      <vt:lpstr>'06'!Print_Area</vt:lpstr>
      <vt:lpstr>'07'!Print_Area</vt:lpstr>
      <vt:lpstr>'08'!Print_Area</vt:lpstr>
      <vt:lpstr>'09'!Print_Area</vt:lpstr>
      <vt:lpstr>'10'!Print_Area</vt:lpstr>
      <vt:lpstr>'13'!Print_Area</vt:lpstr>
      <vt:lpstr>'14'!Print_Area</vt:lpstr>
      <vt:lpstr>'15'!Print_Area</vt:lpstr>
      <vt:lpstr>'16'!Print_Area</vt:lpstr>
      <vt:lpstr>'17'!Print_Area</vt:lpstr>
      <vt:lpstr>'20'!Print_Area</vt:lpstr>
      <vt:lpstr>'21'!Print_Area</vt:lpstr>
      <vt:lpstr>'22'!Print_Area</vt:lpstr>
      <vt:lpstr>'23'!Print_Area</vt:lpstr>
      <vt:lpstr>'24'!Print_Area</vt:lpstr>
      <vt:lpstr>'27'!Print_Area</vt:lpstr>
      <vt:lpstr>'28'!Print_Area</vt:lpstr>
      <vt:lpstr>'29'!Print_Area</vt:lpstr>
      <vt:lpstr>'30'!Print_Area</vt:lpstr>
      <vt:lpstr>'01'!ㅁ1</vt:lpstr>
      <vt:lpstr>'02'!ㅁ1</vt:lpstr>
      <vt:lpstr>'03'!ㅁ1</vt:lpstr>
      <vt:lpstr>'04'!ㅁ1</vt:lpstr>
      <vt:lpstr>'06'!ㅁ1</vt:lpstr>
      <vt:lpstr>'07'!ㅁ1</vt:lpstr>
      <vt:lpstr>'08'!ㅁ1</vt:lpstr>
      <vt:lpstr>'09'!ㅁ1</vt:lpstr>
      <vt:lpstr>'10'!ㅁ1</vt:lpstr>
      <vt:lpstr>'13'!ㅁ1</vt:lpstr>
      <vt:lpstr>'14'!ㅁ1</vt:lpstr>
      <vt:lpstr>'15'!ㅁ1</vt:lpstr>
      <vt:lpstr>'16'!ㅁ1</vt:lpstr>
      <vt:lpstr>'17'!ㅁ1</vt:lpstr>
      <vt:lpstr>'20'!ㅁ1</vt:lpstr>
      <vt:lpstr>'21'!ㅁ1</vt:lpstr>
      <vt:lpstr>'22'!ㅁ1</vt:lpstr>
      <vt:lpstr>'23'!ㅁ1</vt:lpstr>
      <vt:lpstr>'24'!ㅁ1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2021-12-23T01:28:59Z</cp:lastPrinted>
  <dcterms:created xsi:type="dcterms:W3CDTF">2014-05-16T00:06:55Z</dcterms:created>
  <dcterms:modified xsi:type="dcterms:W3CDTF">2021-12-31T05:34:34Z</dcterms:modified>
</cp:coreProperties>
</file>