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1년도\일일업무\생산일보\"/>
    </mc:Choice>
  </mc:AlternateContent>
  <xr:revisionPtr revIDLastSave="0" documentId="13_ncr:1_{B8B1CF18-89A6-4031-9C46-8FCD0F2D7059}" xr6:coauthVersionLast="46" xr6:coauthVersionMax="46" xr10:uidLastSave="{00000000-0000-0000-0000-000000000000}"/>
  <bookViews>
    <workbookView xWindow="-120" yWindow="-120" windowWidth="29040" windowHeight="15840" activeTab="20" xr2:uid="{00000000-000D-0000-FFFF-FFFF00000000}"/>
  </bookViews>
  <sheets>
    <sheet name="01" sheetId="1931" r:id="rId1"/>
    <sheet name="02" sheetId="1932" r:id="rId2"/>
    <sheet name="03" sheetId="1933" r:id="rId3"/>
    <sheet name="04" sheetId="1934" r:id="rId4"/>
    <sheet name="05" sheetId="1935" r:id="rId5"/>
    <sheet name="06" sheetId="1936" r:id="rId6"/>
    <sheet name="08" sheetId="1937" r:id="rId7"/>
    <sheet name="09" sheetId="1938" r:id="rId8"/>
    <sheet name="10" sheetId="1939" r:id="rId9"/>
    <sheet name="15" sheetId="1940" r:id="rId10"/>
    <sheet name="16" sheetId="1941" r:id="rId11"/>
    <sheet name="17" sheetId="1942" r:id="rId12"/>
    <sheet name="18" sheetId="1943" r:id="rId13"/>
    <sheet name="19" sheetId="1944" r:id="rId14"/>
    <sheet name="20" sheetId="1945" r:id="rId15"/>
    <sheet name="22" sheetId="1946" r:id="rId16"/>
    <sheet name="23" sheetId="1947" r:id="rId17"/>
    <sheet name="24" sheetId="1948" r:id="rId18"/>
    <sheet name="25" sheetId="1949" r:id="rId19"/>
    <sheet name="26" sheetId="1950" r:id="rId20"/>
    <sheet name="27" sheetId="1951" r:id="rId21"/>
    <sheet name="총괄" sheetId="16" r:id="rId22"/>
  </sheets>
  <definedNames>
    <definedName name="_xlnm.Print_Area" localSheetId="0">'01'!$A$1:$AD$89</definedName>
    <definedName name="_xlnm.Print_Area" localSheetId="1">'02'!$A$1:$AD$91</definedName>
    <definedName name="_xlnm.Print_Area" localSheetId="2">'03'!$A$1:$AD$89</definedName>
    <definedName name="_xlnm.Print_Area" localSheetId="3">'04'!$A$1:$AD$88</definedName>
    <definedName name="_xlnm.Print_Area" localSheetId="4">'05'!$A$1:$AD$87</definedName>
    <definedName name="_xlnm.Print_Area" localSheetId="5">'06'!$A$1:$AD$88</definedName>
    <definedName name="_xlnm.Print_Area" localSheetId="6">'08'!$A$1:$AD$87</definedName>
    <definedName name="_xlnm.Print_Area" localSheetId="7">'09'!$A$1:$AD$87</definedName>
    <definedName name="_xlnm.Print_Area" localSheetId="8">'10'!$A$1:$AD$91</definedName>
    <definedName name="_xlnm.Print_Area" localSheetId="9">'15'!$A$1:$AD$88</definedName>
    <definedName name="_xlnm.Print_Area" localSheetId="10">'16'!$A$1:$AD$88</definedName>
    <definedName name="_xlnm.Print_Area" localSheetId="11">'17'!$A$1:$AD$89</definedName>
    <definedName name="_xlnm.Print_Area" localSheetId="12">'18'!$A$1:$AD$88</definedName>
    <definedName name="_xlnm.Print_Area" localSheetId="13">'19'!$A$1:$AD$88</definedName>
    <definedName name="_xlnm.Print_Area" localSheetId="14">'20'!$A$1:$AD$87</definedName>
    <definedName name="_xlnm.Print_Area" localSheetId="15">'22'!$A$1:$AD$89</definedName>
    <definedName name="_xlnm.Print_Area" localSheetId="16">'23'!$A$1:$AD$88</definedName>
    <definedName name="_xlnm.Print_Area" localSheetId="17">'24'!$A$1:$AD$89</definedName>
    <definedName name="_xlnm.Print_Area" localSheetId="18">'25'!$A$1:$AD$89</definedName>
    <definedName name="_xlnm.Print_Area" localSheetId="19">'26'!$A$1:$AD$88</definedName>
    <definedName name="_xlnm.Print_Area" localSheetId="20">'27'!$A$1:$AD$87</definedName>
    <definedName name="ㅁ1" localSheetId="0">'01'!$M$1048524:$M$1048576</definedName>
    <definedName name="ㅁ1" localSheetId="1">'02'!$M$1048526:$M$1048576</definedName>
    <definedName name="ㅁ1" localSheetId="2">'03'!$M$1048524:$M$1048576</definedName>
    <definedName name="ㅁ1" localSheetId="3">'04'!$M$1048523:$M$1048576</definedName>
    <definedName name="ㅁ1" localSheetId="4">'05'!$M$1048522:$M$1048576</definedName>
    <definedName name="ㅁ1" localSheetId="5">'06'!$M$1048523:$M$1048576</definedName>
    <definedName name="ㅁ1" localSheetId="6">'08'!$M$1048522:$M$1048576</definedName>
    <definedName name="ㅁ1" localSheetId="7">'09'!$M$1048522:$M$1048576</definedName>
    <definedName name="ㅁ1" localSheetId="8">'10'!$M$1048526:$M$1048576</definedName>
    <definedName name="ㅁ1" localSheetId="9">'15'!$M$1048523:$M$1048576</definedName>
    <definedName name="ㅁ1" localSheetId="10">'16'!$M$1048523:$M$1048576</definedName>
    <definedName name="ㅁ1" localSheetId="11">'17'!$M$1048524:$M$1048576</definedName>
    <definedName name="ㅁ1" localSheetId="12">'18'!$M$1048523:$M$1048576</definedName>
    <definedName name="ㅁ1" localSheetId="13">'19'!$M$1048523:$M$1048576</definedName>
    <definedName name="ㅁ1" localSheetId="14">'20'!$M$1048522:$M$1048576</definedName>
    <definedName name="ㅁ1" localSheetId="15">'22'!$M$1048524:$M$1048576</definedName>
    <definedName name="ㅁ1" localSheetId="16">'23'!$M$1048523:$M$1048576</definedName>
    <definedName name="ㅁ1" localSheetId="17">'24'!$M$1048524:$M$1048576</definedName>
    <definedName name="ㅁ1" localSheetId="18">'25'!$M$1048524:$M$1048576</definedName>
    <definedName name="ㅁ1" localSheetId="19">'26'!$M$1048523:$M$1048576</definedName>
    <definedName name="ㅁ1" localSheetId="20">'27'!$M$1048522:$M$1048576</definedName>
    <definedName name="ㅁ1">#REF!</definedName>
  </definedNames>
  <calcPr calcId="181029"/>
</workbook>
</file>

<file path=xl/calcChain.xml><?xml version="1.0" encoding="utf-8"?>
<calcChain xmlns="http://schemas.openxmlformats.org/spreadsheetml/2006/main">
  <c r="AB19" i="16" l="1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19" i="1951"/>
  <c r="K16" i="1951"/>
  <c r="L15" i="1951" l="1"/>
  <c r="L13" i="1951"/>
  <c r="L10" i="1951"/>
  <c r="K21" i="1951"/>
  <c r="K20" i="1951"/>
  <c r="K19" i="1951"/>
  <c r="K18" i="1951"/>
  <c r="K17" i="1951"/>
  <c r="K15" i="1951"/>
  <c r="K13" i="1951"/>
  <c r="K12" i="1951"/>
  <c r="K10" i="1951"/>
  <c r="K9" i="1951"/>
  <c r="K7" i="1951"/>
  <c r="K6" i="1951"/>
  <c r="A77" i="1951"/>
  <c r="A78" i="1951" s="1"/>
  <c r="A79" i="1951" s="1"/>
  <c r="A80" i="1951" s="1"/>
  <c r="A81" i="1951" s="1"/>
  <c r="A82" i="1951" s="1"/>
  <c r="AF61" i="1951"/>
  <c r="AF60" i="1951"/>
  <c r="AF63" i="1951" s="1"/>
  <c r="AA22" i="1951"/>
  <c r="Z22" i="1951"/>
  <c r="Y22" i="1951"/>
  <c r="X22" i="1951"/>
  <c r="W22" i="1951"/>
  <c r="V22" i="1951"/>
  <c r="U22" i="1951"/>
  <c r="T22" i="1951"/>
  <c r="S22" i="1951"/>
  <c r="R22" i="1951"/>
  <c r="N22" i="1951"/>
  <c r="J22" i="1951"/>
  <c r="I22" i="1951"/>
  <c r="AF21" i="1951"/>
  <c r="AB21" i="1951"/>
  <c r="Q21" i="1951"/>
  <c r="P21" i="1951"/>
  <c r="AC21" i="1951" s="1"/>
  <c r="AD21" i="1951" s="1"/>
  <c r="O21" i="1951"/>
  <c r="M21" i="1951"/>
  <c r="AF20" i="1951"/>
  <c r="Q20" i="1951"/>
  <c r="P20" i="1951"/>
  <c r="AC20" i="1951" s="1"/>
  <c r="AF19" i="1951"/>
  <c r="AB19" i="1951"/>
  <c r="Q19" i="1951"/>
  <c r="P19" i="1951"/>
  <c r="AC19" i="1951" s="1"/>
  <c r="M19" i="1951"/>
  <c r="O19" i="1951"/>
  <c r="AF18" i="1951"/>
  <c r="Q18" i="1951"/>
  <c r="O18" i="1951"/>
  <c r="AB18" i="1951"/>
  <c r="AF17" i="1951"/>
  <c r="AB17" i="1951"/>
  <c r="Q17" i="1951"/>
  <c r="P17" i="1951"/>
  <c r="AC17" i="1951" s="1"/>
  <c r="O17" i="1951"/>
  <c r="M17" i="1951"/>
  <c r="AF16" i="1951"/>
  <c r="AB16" i="1951"/>
  <c r="Q16" i="1951"/>
  <c r="P16" i="1951"/>
  <c r="AC16" i="1951" s="1"/>
  <c r="O16" i="1951"/>
  <c r="M16" i="1951"/>
  <c r="AF15" i="1951"/>
  <c r="Q15" i="1951"/>
  <c r="P15" i="1951"/>
  <c r="AC15" i="1951" s="1"/>
  <c r="AF14" i="1951"/>
  <c r="AB14" i="1951"/>
  <c r="Q14" i="1951"/>
  <c r="P14" i="1951"/>
  <c r="AC14" i="1951" s="1"/>
  <c r="O14" i="1951"/>
  <c r="M14" i="1951"/>
  <c r="K14" i="1951"/>
  <c r="AF13" i="1951"/>
  <c r="Q13" i="1951"/>
  <c r="P13" i="1951"/>
  <c r="AC13" i="1951" s="1"/>
  <c r="AF12" i="1951"/>
  <c r="Q12" i="1951"/>
  <c r="P12" i="1951" s="1"/>
  <c r="AC12" i="1951" s="1"/>
  <c r="AF11" i="1951"/>
  <c r="AB11" i="1951"/>
  <c r="Q11" i="1951"/>
  <c r="P11" i="1951"/>
  <c r="AC11" i="1951" s="1"/>
  <c r="O11" i="1951"/>
  <c r="M11" i="1951"/>
  <c r="K11" i="1951"/>
  <c r="AF10" i="1951"/>
  <c r="Q10" i="1951"/>
  <c r="P10" i="1951"/>
  <c r="AC10" i="1951" s="1"/>
  <c r="AF9" i="1951"/>
  <c r="Q9" i="1951"/>
  <c r="P9" i="1951"/>
  <c r="AC9" i="1951" s="1"/>
  <c r="AF8" i="1951"/>
  <c r="AB8" i="1951"/>
  <c r="Q8" i="1951"/>
  <c r="P8" i="1951"/>
  <c r="AC8" i="1951" s="1"/>
  <c r="O8" i="1951"/>
  <c r="M8" i="1951"/>
  <c r="K8" i="1951"/>
  <c r="AF7" i="1951"/>
  <c r="AB7" i="1951"/>
  <c r="Q7" i="1951"/>
  <c r="P7" i="1951" s="1"/>
  <c r="AC7" i="1951" s="1"/>
  <c r="O7" i="1951"/>
  <c r="M7" i="1951"/>
  <c r="AF6" i="1951"/>
  <c r="AB6" i="1951"/>
  <c r="Q6" i="1951"/>
  <c r="P6" i="1951"/>
  <c r="AC6" i="1951" s="1"/>
  <c r="O6" i="1951"/>
  <c r="M6" i="1951"/>
  <c r="L22" i="1951"/>
  <c r="O22" i="1951" s="1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2" i="1950"/>
  <c r="L21" i="1950"/>
  <c r="K21" i="1950" s="1"/>
  <c r="L20" i="1950"/>
  <c r="K20" i="1950" s="1"/>
  <c r="L19" i="1950"/>
  <c r="K19" i="1950" s="1"/>
  <c r="L18" i="1950"/>
  <c r="K18" i="1950" s="1"/>
  <c r="L16" i="1950"/>
  <c r="O16" i="1950" s="1"/>
  <c r="L14" i="1950"/>
  <c r="K14" i="1950" s="1"/>
  <c r="L13" i="1950"/>
  <c r="L11" i="1950"/>
  <c r="K11" i="1950" s="1"/>
  <c r="L10" i="1950"/>
  <c r="K10" i="1950" s="1"/>
  <c r="K8" i="1950"/>
  <c r="AF8" i="1950"/>
  <c r="Q8" i="1950"/>
  <c r="O8" i="1950"/>
  <c r="AB8" i="1950"/>
  <c r="L7" i="1950"/>
  <c r="K7" i="1950" s="1"/>
  <c r="L6" i="1950"/>
  <c r="K6" i="1950" s="1"/>
  <c r="K22" i="1950"/>
  <c r="K17" i="1950"/>
  <c r="K13" i="1950"/>
  <c r="K9" i="1950"/>
  <c r="A78" i="1950"/>
  <c r="A79" i="1950" s="1"/>
  <c r="A80" i="1950" s="1"/>
  <c r="A81" i="1950" s="1"/>
  <c r="A82" i="1950" s="1"/>
  <c r="A83" i="1950" s="1"/>
  <c r="AF62" i="1950"/>
  <c r="AF61" i="1950"/>
  <c r="AF64" i="1950" s="1"/>
  <c r="AA23" i="1950"/>
  <c r="Z23" i="1950"/>
  <c r="Y23" i="1950"/>
  <c r="X23" i="1950"/>
  <c r="W23" i="1950"/>
  <c r="V23" i="1950"/>
  <c r="U23" i="1950"/>
  <c r="T23" i="1950"/>
  <c r="S23" i="1950"/>
  <c r="R23" i="1950"/>
  <c r="N23" i="1950"/>
  <c r="J23" i="1950"/>
  <c r="I23" i="1950"/>
  <c r="AF22" i="1950"/>
  <c r="Q22" i="1950"/>
  <c r="AB22" i="1950"/>
  <c r="AF21" i="1950"/>
  <c r="Q21" i="1950"/>
  <c r="P21" i="1950" s="1"/>
  <c r="AC21" i="1950" s="1"/>
  <c r="AF20" i="1950"/>
  <c r="Q20" i="1950"/>
  <c r="P20" i="1950" s="1"/>
  <c r="AC20" i="1950" s="1"/>
  <c r="O20" i="1950"/>
  <c r="AF19" i="1950"/>
  <c r="Q19" i="1950"/>
  <c r="P19" i="1950" s="1"/>
  <c r="AC19" i="1950" s="1"/>
  <c r="AB19" i="1950"/>
  <c r="AF18" i="1950"/>
  <c r="AB18" i="1950"/>
  <c r="Q18" i="1950"/>
  <c r="AF17" i="1950"/>
  <c r="Q17" i="1950"/>
  <c r="AB17" i="1950"/>
  <c r="AF16" i="1950"/>
  <c r="Q16" i="1950"/>
  <c r="AF15" i="1950"/>
  <c r="AB15" i="1950"/>
  <c r="Q15" i="1950"/>
  <c r="P15" i="1950"/>
  <c r="AC15" i="1950" s="1"/>
  <c r="O15" i="1950"/>
  <c r="M15" i="1950"/>
  <c r="K15" i="1950"/>
  <c r="AF14" i="1950"/>
  <c r="Q14" i="1950"/>
  <c r="AB14" i="1950"/>
  <c r="AF13" i="1950"/>
  <c r="Q13" i="1950"/>
  <c r="O13" i="1950"/>
  <c r="AF12" i="1950"/>
  <c r="AB12" i="1950"/>
  <c r="Q12" i="1950"/>
  <c r="P12" i="1950"/>
  <c r="AC12" i="1950" s="1"/>
  <c r="O12" i="1950"/>
  <c r="M12" i="1950"/>
  <c r="K12" i="1950"/>
  <c r="AF11" i="1950"/>
  <c r="Q11" i="1950"/>
  <c r="AF10" i="1950"/>
  <c r="Q10" i="1950"/>
  <c r="P10" i="1950"/>
  <c r="AC10" i="1950" s="1"/>
  <c r="AF9" i="1950"/>
  <c r="AB9" i="1950"/>
  <c r="Q9" i="1950"/>
  <c r="P9" i="1950"/>
  <c r="AC9" i="1950" s="1"/>
  <c r="O9" i="1950"/>
  <c r="M9" i="1950"/>
  <c r="AF7" i="1950"/>
  <c r="Q7" i="1950"/>
  <c r="AF6" i="1950"/>
  <c r="AB6" i="1950"/>
  <c r="Q6" i="1950"/>
  <c r="P72" i="1949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3" i="1949"/>
  <c r="L22" i="1949"/>
  <c r="AF21" i="1949"/>
  <c r="Q21" i="1949"/>
  <c r="O21" i="1949"/>
  <c r="L21" i="1949"/>
  <c r="AB21" i="1949" s="1"/>
  <c r="K22" i="1949"/>
  <c r="AF19" i="1949"/>
  <c r="Q19" i="1949"/>
  <c r="O19" i="1949"/>
  <c r="M19" i="1949"/>
  <c r="L19" i="1949"/>
  <c r="K20" i="1949"/>
  <c r="L18" i="1949"/>
  <c r="L17" i="1949"/>
  <c r="K17" i="1949" s="1"/>
  <c r="L16" i="1949"/>
  <c r="K16" i="1949"/>
  <c r="L15" i="1949"/>
  <c r="L13" i="1949"/>
  <c r="K13" i="1949" s="1"/>
  <c r="L12" i="1949"/>
  <c r="L10" i="1949"/>
  <c r="L9" i="1949"/>
  <c r="L7" i="1949"/>
  <c r="K6" i="1949"/>
  <c r="Q22" i="1951" l="1"/>
  <c r="AD7" i="1951"/>
  <c r="AD14" i="1951"/>
  <c r="AD17" i="1951"/>
  <c r="AD8" i="1951"/>
  <c r="AD16" i="1951"/>
  <c r="AD19" i="1951"/>
  <c r="AD11" i="1951"/>
  <c r="M10" i="1951"/>
  <c r="AB10" i="1951"/>
  <c r="M13" i="1951"/>
  <c r="AB13" i="1951"/>
  <c r="AD6" i="1951"/>
  <c r="M9" i="1951"/>
  <c r="AB9" i="1951"/>
  <c r="O10" i="1951"/>
  <c r="M12" i="1951"/>
  <c r="AB12" i="1951"/>
  <c r="O13" i="1951"/>
  <c r="M15" i="1951"/>
  <c r="AB15" i="1951"/>
  <c r="O9" i="1951"/>
  <c r="O12" i="1951"/>
  <c r="O15" i="1951"/>
  <c r="K22" i="1951"/>
  <c r="P18" i="1951"/>
  <c r="AC18" i="1951" s="1"/>
  <c r="AD18" i="1951" s="1"/>
  <c r="M20" i="1951"/>
  <c r="AB20" i="1951"/>
  <c r="O20" i="1951"/>
  <c r="M18" i="1951"/>
  <c r="M6" i="1950"/>
  <c r="P16" i="1950"/>
  <c r="AC16" i="1950" s="1"/>
  <c r="O6" i="1950"/>
  <c r="O10" i="1950"/>
  <c r="P11" i="1950"/>
  <c r="AC11" i="1950" s="1"/>
  <c r="M18" i="1950"/>
  <c r="O18" i="1950"/>
  <c r="P13" i="1950"/>
  <c r="AC13" i="1950" s="1"/>
  <c r="P18" i="1950"/>
  <c r="AC18" i="1950" s="1"/>
  <c r="O19" i="1950"/>
  <c r="K16" i="1950"/>
  <c r="K23" i="1950" s="1"/>
  <c r="L23" i="1950"/>
  <c r="O23" i="1950" s="1"/>
  <c r="P8" i="1950"/>
  <c r="AC8" i="1950" s="1"/>
  <c r="AD8" i="1950" s="1"/>
  <c r="AD9" i="1950"/>
  <c r="Q23" i="1950"/>
  <c r="M8" i="1950"/>
  <c r="P6" i="1950"/>
  <c r="AD12" i="1950"/>
  <c r="AD15" i="1950"/>
  <c r="AD19" i="1950"/>
  <c r="M7" i="1950"/>
  <c r="AB7" i="1950"/>
  <c r="M11" i="1950"/>
  <c r="AB11" i="1950"/>
  <c r="M14" i="1950"/>
  <c r="O7" i="1950"/>
  <c r="M10" i="1950"/>
  <c r="AB10" i="1950"/>
  <c r="AD10" i="1950" s="1"/>
  <c r="O11" i="1950"/>
  <c r="M13" i="1950"/>
  <c r="AB13" i="1950"/>
  <c r="O14" i="1950"/>
  <c r="M16" i="1950"/>
  <c r="AB16" i="1950"/>
  <c r="O17" i="1950"/>
  <c r="M20" i="1950"/>
  <c r="AB20" i="1950"/>
  <c r="AD20" i="1950" s="1"/>
  <c r="M21" i="1950"/>
  <c r="AB21" i="1950"/>
  <c r="O22" i="1950"/>
  <c r="AC6" i="1950"/>
  <c r="P7" i="1950"/>
  <c r="AC7" i="1950" s="1"/>
  <c r="P14" i="1950"/>
  <c r="AC14" i="1950" s="1"/>
  <c r="P17" i="1950"/>
  <c r="AC17" i="1950" s="1"/>
  <c r="M19" i="1950"/>
  <c r="O21" i="1950"/>
  <c r="P22" i="1950"/>
  <c r="AC22" i="1950" s="1"/>
  <c r="M17" i="1950"/>
  <c r="M22" i="1950"/>
  <c r="P19" i="1949"/>
  <c r="AC19" i="1949" s="1"/>
  <c r="AB19" i="1949"/>
  <c r="K21" i="1949"/>
  <c r="P21" i="1949"/>
  <c r="AC21" i="1949" s="1"/>
  <c r="AD21" i="1949" s="1"/>
  <c r="M21" i="1949"/>
  <c r="K19" i="1949"/>
  <c r="K23" i="1949"/>
  <c r="K18" i="1949"/>
  <c r="K15" i="1949"/>
  <c r="K12" i="1949"/>
  <c r="K10" i="1949"/>
  <c r="K9" i="1949"/>
  <c r="K8" i="1949"/>
  <c r="K7" i="1949"/>
  <c r="A79" i="1949"/>
  <c r="A80" i="1949" s="1"/>
  <c r="A81" i="1949" s="1"/>
  <c r="A82" i="1949" s="1"/>
  <c r="A83" i="1949" s="1"/>
  <c r="A84" i="1949" s="1"/>
  <c r="AF63" i="1949"/>
  <c r="AF62" i="1949"/>
  <c r="AA24" i="1949"/>
  <c r="Z24" i="1949"/>
  <c r="Y24" i="1949"/>
  <c r="X24" i="1949"/>
  <c r="W24" i="1949"/>
  <c r="V24" i="1949"/>
  <c r="U24" i="1949"/>
  <c r="T24" i="1949"/>
  <c r="S24" i="1949"/>
  <c r="R24" i="1949"/>
  <c r="N24" i="1949"/>
  <c r="J24" i="1949"/>
  <c r="I24" i="1949"/>
  <c r="AF23" i="1949"/>
  <c r="AB23" i="1949"/>
  <c r="Q23" i="1949"/>
  <c r="P23" i="1949"/>
  <c r="AC23" i="1949" s="1"/>
  <c r="O23" i="1949"/>
  <c r="M23" i="1949"/>
  <c r="AF22" i="1949"/>
  <c r="AB22" i="1949"/>
  <c r="Q22" i="1949"/>
  <c r="P22" i="1949" s="1"/>
  <c r="AC22" i="1949" s="1"/>
  <c r="M22" i="1949"/>
  <c r="AF20" i="1949"/>
  <c r="Q20" i="1949"/>
  <c r="O20" i="1949"/>
  <c r="AF18" i="1949"/>
  <c r="Q18" i="1949"/>
  <c r="P18" i="1949"/>
  <c r="AC18" i="1949" s="1"/>
  <c r="O18" i="1949"/>
  <c r="AB18" i="1949"/>
  <c r="AF17" i="1949"/>
  <c r="AB17" i="1949"/>
  <c r="Q17" i="1949"/>
  <c r="P17" i="1949" s="1"/>
  <c r="AC17" i="1949" s="1"/>
  <c r="O17" i="1949"/>
  <c r="M17" i="1949"/>
  <c r="AF16" i="1949"/>
  <c r="AB16" i="1949"/>
  <c r="Q16" i="1949"/>
  <c r="P16" i="1949" s="1"/>
  <c r="AC16" i="1949" s="1"/>
  <c r="O16" i="1949"/>
  <c r="M16" i="1949"/>
  <c r="AF15" i="1949"/>
  <c r="AB15" i="1949"/>
  <c r="Q15" i="1949"/>
  <c r="P15" i="1949" s="1"/>
  <c r="AC15" i="1949" s="1"/>
  <c r="M15" i="1949"/>
  <c r="AF14" i="1949"/>
  <c r="AB14" i="1949"/>
  <c r="Q14" i="1949"/>
  <c r="P14" i="1949"/>
  <c r="AC14" i="1949" s="1"/>
  <c r="O14" i="1949"/>
  <c r="M14" i="1949"/>
  <c r="K14" i="1949"/>
  <c r="AF13" i="1949"/>
  <c r="AB13" i="1949"/>
  <c r="Q13" i="1949"/>
  <c r="P13" i="1949" s="1"/>
  <c r="AC13" i="1949" s="1"/>
  <c r="O13" i="1949"/>
  <c r="M13" i="1949"/>
  <c r="AF12" i="1949"/>
  <c r="Q12" i="1949"/>
  <c r="O12" i="1949"/>
  <c r="AF11" i="1949"/>
  <c r="AB11" i="1949"/>
  <c r="Q11" i="1949"/>
  <c r="P11" i="1949"/>
  <c r="AC11" i="1949" s="1"/>
  <c r="O11" i="1949"/>
  <c r="M11" i="1949"/>
  <c r="K11" i="1949"/>
  <c r="AF10" i="1949"/>
  <c r="AB10" i="1949"/>
  <c r="Q10" i="1949"/>
  <c r="P10" i="1949" s="1"/>
  <c r="AC10" i="1949" s="1"/>
  <c r="M10" i="1949"/>
  <c r="AF9" i="1949"/>
  <c r="Q9" i="1949"/>
  <c r="O9" i="1949"/>
  <c r="AF8" i="1949"/>
  <c r="Q8" i="1949"/>
  <c r="P8" i="1949" s="1"/>
  <c r="AC8" i="1949" s="1"/>
  <c r="O8" i="1949"/>
  <c r="AB8" i="1949"/>
  <c r="AF7" i="1949"/>
  <c r="AB7" i="1949"/>
  <c r="Q7" i="1949"/>
  <c r="P7" i="1949" s="1"/>
  <c r="AC7" i="1949" s="1"/>
  <c r="O7" i="1949"/>
  <c r="M7" i="1949"/>
  <c r="AF6" i="1949"/>
  <c r="Q6" i="1949"/>
  <c r="O6" i="1949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3" i="1948"/>
  <c r="L22" i="1948"/>
  <c r="K22" i="1948" s="1"/>
  <c r="L21" i="1948"/>
  <c r="K21" i="1948" s="1"/>
  <c r="L20" i="1948"/>
  <c r="L19" i="1948"/>
  <c r="K19" i="1948"/>
  <c r="AF18" i="1948"/>
  <c r="AB18" i="1948"/>
  <c r="Q18" i="1948"/>
  <c r="P18" i="1948" s="1"/>
  <c r="AC18" i="1948" s="1"/>
  <c r="O18" i="1948"/>
  <c r="M18" i="1948"/>
  <c r="K18" i="1948"/>
  <c r="K17" i="1948"/>
  <c r="L16" i="1948"/>
  <c r="L13" i="1948"/>
  <c r="L11" i="1948"/>
  <c r="K11" i="1948" s="1"/>
  <c r="L10" i="1948"/>
  <c r="L9" i="1948"/>
  <c r="K9" i="1948" s="1"/>
  <c r="L8" i="1948"/>
  <c r="AD10" i="1951" l="1"/>
  <c r="AD13" i="1951"/>
  <c r="M22" i="1951"/>
  <c r="AD12" i="1951"/>
  <c r="AD20" i="1951"/>
  <c r="AD15" i="1951"/>
  <c r="AB22" i="1951"/>
  <c r="AD9" i="1951"/>
  <c r="P22" i="1951"/>
  <c r="AC22" i="1951"/>
  <c r="AD13" i="1950"/>
  <c r="AD16" i="1950"/>
  <c r="AD18" i="1950"/>
  <c r="AD14" i="1950"/>
  <c r="AD21" i="1950"/>
  <c r="AD22" i="1950"/>
  <c r="AD11" i="1950"/>
  <c r="AB23" i="1950"/>
  <c r="AD7" i="1950"/>
  <c r="M23" i="1950"/>
  <c r="P23" i="1950"/>
  <c r="AD17" i="1950"/>
  <c r="AD6" i="1950"/>
  <c r="AC23" i="1950"/>
  <c r="AD11" i="1949"/>
  <c r="AD19" i="1949"/>
  <c r="AD13" i="1949"/>
  <c r="AD23" i="1949"/>
  <c r="Q24" i="1949"/>
  <c r="AD17" i="1949"/>
  <c r="AF65" i="1949"/>
  <c r="AD7" i="1949"/>
  <c r="AD14" i="1949"/>
  <c r="AD16" i="1949"/>
  <c r="AD18" i="1949"/>
  <c r="AD8" i="1949"/>
  <c r="P6" i="1949"/>
  <c r="P9" i="1949"/>
  <c r="AC9" i="1949" s="1"/>
  <c r="P12" i="1949"/>
  <c r="AC12" i="1949" s="1"/>
  <c r="P20" i="1949"/>
  <c r="AC20" i="1949" s="1"/>
  <c r="L24" i="1949"/>
  <c r="O24" i="1949" s="1"/>
  <c r="AB6" i="1949"/>
  <c r="M9" i="1949"/>
  <c r="O10" i="1949"/>
  <c r="AD10" i="1949" s="1"/>
  <c r="M12" i="1949"/>
  <c r="AB12" i="1949"/>
  <c r="O15" i="1949"/>
  <c r="AD15" i="1949" s="1"/>
  <c r="M20" i="1949"/>
  <c r="AB20" i="1949"/>
  <c r="O22" i="1949"/>
  <c r="AD22" i="1949" s="1"/>
  <c r="M6" i="1949"/>
  <c r="AB9" i="1949"/>
  <c r="M8" i="1949"/>
  <c r="M18" i="1949"/>
  <c r="AD18" i="1948"/>
  <c r="AD22" i="1951" l="1"/>
  <c r="AE17" i="1951" s="1"/>
  <c r="AD23" i="1950"/>
  <c r="AE8" i="1950" s="1"/>
  <c r="AB24" i="1949"/>
  <c r="AD20" i="1949"/>
  <c r="AD12" i="1949"/>
  <c r="AC6" i="1949"/>
  <c r="P24" i="1949"/>
  <c r="K24" i="1949"/>
  <c r="M24" i="1949"/>
  <c r="AD9" i="1949"/>
  <c r="L7" i="1948"/>
  <c r="K7" i="1948" s="1"/>
  <c r="L6" i="1948"/>
  <c r="K6" i="1948" s="1"/>
  <c r="K23" i="1948"/>
  <c r="K20" i="1948"/>
  <c r="K16" i="1948"/>
  <c r="K15" i="1948"/>
  <c r="K13" i="1948"/>
  <c r="K12" i="1948"/>
  <c r="K10" i="1948"/>
  <c r="K8" i="1948"/>
  <c r="A79" i="1948"/>
  <c r="A80" i="1948" s="1"/>
  <c r="A81" i="1948" s="1"/>
  <c r="A82" i="1948" s="1"/>
  <c r="A83" i="1948" s="1"/>
  <c r="A84" i="1948" s="1"/>
  <c r="AF63" i="1948"/>
  <c r="AF62" i="1948"/>
  <c r="AF65" i="1948" s="1"/>
  <c r="AA24" i="1948"/>
  <c r="Z24" i="1948"/>
  <c r="Y24" i="1948"/>
  <c r="X24" i="1948"/>
  <c r="W24" i="1948"/>
  <c r="V24" i="1948"/>
  <c r="U24" i="1948"/>
  <c r="T24" i="1948"/>
  <c r="S24" i="1948"/>
  <c r="R24" i="1948"/>
  <c r="N24" i="1948"/>
  <c r="J24" i="1948"/>
  <c r="I24" i="1948"/>
  <c r="AF23" i="1948"/>
  <c r="Q23" i="1948"/>
  <c r="P23" i="1948"/>
  <c r="AC23" i="1948" s="1"/>
  <c r="O23" i="1948"/>
  <c r="AB23" i="1948"/>
  <c r="AF22" i="1948"/>
  <c r="AB22" i="1948"/>
  <c r="Q22" i="1948"/>
  <c r="P22" i="1948" s="1"/>
  <c r="AC22" i="1948" s="1"/>
  <c r="O22" i="1948"/>
  <c r="M22" i="1948"/>
  <c r="AF21" i="1948"/>
  <c r="AB21" i="1948"/>
  <c r="Q21" i="1948"/>
  <c r="P21" i="1948" s="1"/>
  <c r="AC21" i="1948" s="1"/>
  <c r="O21" i="1948"/>
  <c r="M21" i="1948"/>
  <c r="AF20" i="1948"/>
  <c r="AB20" i="1948"/>
  <c r="Q20" i="1948"/>
  <c r="P20" i="1948"/>
  <c r="AC20" i="1948" s="1"/>
  <c r="O20" i="1948"/>
  <c r="M20" i="1948"/>
  <c r="AF19" i="1948"/>
  <c r="AB19" i="1948"/>
  <c r="Q19" i="1948"/>
  <c r="P19" i="1948" s="1"/>
  <c r="AC19" i="1948" s="1"/>
  <c r="O19" i="1948"/>
  <c r="M19" i="1948"/>
  <c r="AF17" i="1948"/>
  <c r="AB17" i="1948"/>
  <c r="Q17" i="1948"/>
  <c r="P17" i="1948" s="1"/>
  <c r="AC17" i="1948" s="1"/>
  <c r="O17" i="1948"/>
  <c r="M17" i="1948"/>
  <c r="AF16" i="1948"/>
  <c r="AB16" i="1948"/>
  <c r="Q16" i="1948"/>
  <c r="M16" i="1948"/>
  <c r="O16" i="1948"/>
  <c r="AF15" i="1948"/>
  <c r="AB15" i="1948"/>
  <c r="Q15" i="1948"/>
  <c r="P15" i="1948" s="1"/>
  <c r="AC15" i="1948" s="1"/>
  <c r="AD15" i="1948" s="1"/>
  <c r="O15" i="1948"/>
  <c r="M15" i="1948"/>
  <c r="AF14" i="1948"/>
  <c r="AC14" i="1948"/>
  <c r="AB14" i="1948"/>
  <c r="Q14" i="1948"/>
  <c r="P14" i="1948"/>
  <c r="O14" i="1948"/>
  <c r="M14" i="1948"/>
  <c r="K14" i="1948"/>
  <c r="AF13" i="1948"/>
  <c r="Q13" i="1948"/>
  <c r="AB13" i="1948"/>
  <c r="AF12" i="1948"/>
  <c r="Q12" i="1948"/>
  <c r="P12" i="1948"/>
  <c r="AC12" i="1948" s="1"/>
  <c r="O12" i="1948"/>
  <c r="AB12" i="1948"/>
  <c r="AF11" i="1948"/>
  <c r="AB11" i="1948"/>
  <c r="Q11" i="1948"/>
  <c r="P11" i="1948" s="1"/>
  <c r="AC11" i="1948" s="1"/>
  <c r="O11" i="1948"/>
  <c r="M11" i="1948"/>
  <c r="AF10" i="1948"/>
  <c r="AB10" i="1948"/>
  <c r="Q10" i="1948"/>
  <c r="M10" i="1948"/>
  <c r="O10" i="1948"/>
  <c r="AF9" i="1948"/>
  <c r="AB9" i="1948"/>
  <c r="Q9" i="1948"/>
  <c r="P9" i="1948" s="1"/>
  <c r="AC9" i="1948" s="1"/>
  <c r="O9" i="1948"/>
  <c r="M9" i="1948"/>
  <c r="AF8" i="1948"/>
  <c r="AB8" i="1948"/>
  <c r="Q8" i="1948"/>
  <c r="P8" i="1948" s="1"/>
  <c r="AC8" i="1948" s="1"/>
  <c r="O8" i="1948"/>
  <c r="M8" i="1948"/>
  <c r="AF7" i="1948"/>
  <c r="AB7" i="1948"/>
  <c r="Q7" i="1948"/>
  <c r="P7" i="1948" s="1"/>
  <c r="AC7" i="1948" s="1"/>
  <c r="O7" i="1948"/>
  <c r="M7" i="1948"/>
  <c r="AF6" i="1948"/>
  <c r="AB6" i="1948"/>
  <c r="Q6" i="1948"/>
  <c r="O6" i="1948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2" i="1947"/>
  <c r="L19" i="1947"/>
  <c r="K19" i="1947" s="1"/>
  <c r="K17" i="1947"/>
  <c r="L16" i="1947"/>
  <c r="K16" i="1947" s="1"/>
  <c r="L13" i="1947"/>
  <c r="K13" i="1947" s="1"/>
  <c r="L12" i="1947"/>
  <c r="L11" i="1947"/>
  <c r="K11" i="1947" s="1"/>
  <c r="L10" i="1947"/>
  <c r="K10" i="1947" s="1"/>
  <c r="L8" i="1947"/>
  <c r="K8" i="1947" s="1"/>
  <c r="K7" i="1947"/>
  <c r="AF7" i="1947"/>
  <c r="AB7" i="1947"/>
  <c r="Q7" i="1947"/>
  <c r="P7" i="1947" s="1"/>
  <c r="AC7" i="1947" s="1"/>
  <c r="O7" i="1947"/>
  <c r="M7" i="1947"/>
  <c r="K21" i="1947"/>
  <c r="K20" i="1947"/>
  <c r="K15" i="1947"/>
  <c r="K14" i="1947"/>
  <c r="K12" i="1947"/>
  <c r="K9" i="1947"/>
  <c r="K6" i="1947"/>
  <c r="A78" i="1947"/>
  <c r="A79" i="1947" s="1"/>
  <c r="A80" i="1947" s="1"/>
  <c r="A81" i="1947" s="1"/>
  <c r="A82" i="1947" s="1"/>
  <c r="A83" i="1947" s="1"/>
  <c r="AF62" i="1947"/>
  <c r="AF61" i="1947"/>
  <c r="AA23" i="1947"/>
  <c r="Z23" i="1947"/>
  <c r="Y23" i="1947"/>
  <c r="X23" i="1947"/>
  <c r="W23" i="1947"/>
  <c r="V23" i="1947"/>
  <c r="U23" i="1947"/>
  <c r="T23" i="1947"/>
  <c r="S23" i="1947"/>
  <c r="R23" i="1947"/>
  <c r="N23" i="1947"/>
  <c r="J23" i="1947"/>
  <c r="I23" i="1947"/>
  <c r="AF22" i="1947"/>
  <c r="Q22" i="1947"/>
  <c r="AF21" i="1947"/>
  <c r="AB21" i="1947"/>
  <c r="Q21" i="1947"/>
  <c r="P21" i="1947"/>
  <c r="AC21" i="1947" s="1"/>
  <c r="AD21" i="1947" s="1"/>
  <c r="O21" i="1947"/>
  <c r="M21" i="1947"/>
  <c r="AF20" i="1947"/>
  <c r="AB20" i="1947"/>
  <c r="Q20" i="1947"/>
  <c r="P20" i="1947"/>
  <c r="AC20" i="1947" s="1"/>
  <c r="O20" i="1947"/>
  <c r="M20" i="1947"/>
  <c r="AF19" i="1947"/>
  <c r="Q19" i="1947"/>
  <c r="O19" i="1947"/>
  <c r="AF18" i="1947"/>
  <c r="AB18" i="1947"/>
  <c r="Q18" i="1947"/>
  <c r="P18" i="1947"/>
  <c r="AC18" i="1947" s="1"/>
  <c r="O18" i="1947"/>
  <c r="M18" i="1947"/>
  <c r="K18" i="1947"/>
  <c r="AF17" i="1947"/>
  <c r="AB17" i="1947"/>
  <c r="Q17" i="1947"/>
  <c r="P17" i="1947" s="1"/>
  <c r="AC17" i="1947" s="1"/>
  <c r="O17" i="1947"/>
  <c r="M17" i="1947"/>
  <c r="AF16" i="1947"/>
  <c r="Q16" i="1947"/>
  <c r="AF15" i="1947"/>
  <c r="AB15" i="1947"/>
  <c r="Q15" i="1947"/>
  <c r="P15" i="1947" s="1"/>
  <c r="AC15" i="1947" s="1"/>
  <c r="O15" i="1947"/>
  <c r="M15" i="1947"/>
  <c r="AF14" i="1947"/>
  <c r="AB14" i="1947"/>
  <c r="Q14" i="1947"/>
  <c r="P14" i="1947" s="1"/>
  <c r="AC14" i="1947" s="1"/>
  <c r="O14" i="1947"/>
  <c r="M14" i="1947"/>
  <c r="AF13" i="1947"/>
  <c r="Q13" i="1947"/>
  <c r="AF12" i="1947"/>
  <c r="AB12" i="1947"/>
  <c r="Q12" i="1947"/>
  <c r="P12" i="1947" s="1"/>
  <c r="AC12" i="1947" s="1"/>
  <c r="O12" i="1947"/>
  <c r="M12" i="1947"/>
  <c r="AF11" i="1947"/>
  <c r="Q11" i="1947"/>
  <c r="P11" i="1947" s="1"/>
  <c r="AC11" i="1947" s="1"/>
  <c r="M11" i="1947"/>
  <c r="AF10" i="1947"/>
  <c r="Q10" i="1947"/>
  <c r="O10" i="1947"/>
  <c r="AF9" i="1947"/>
  <c r="Q9" i="1947"/>
  <c r="P9" i="1947"/>
  <c r="AC9" i="1947" s="1"/>
  <c r="O9" i="1947"/>
  <c r="AB9" i="1947"/>
  <c r="AF8" i="1947"/>
  <c r="Q8" i="1947"/>
  <c r="AF6" i="1947"/>
  <c r="AB6" i="1947"/>
  <c r="Q6" i="1947"/>
  <c r="M6" i="1947"/>
  <c r="W19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3" i="1946"/>
  <c r="K22" i="1946"/>
  <c r="AF21" i="1946"/>
  <c r="Q21" i="1946"/>
  <c r="M21" i="1946"/>
  <c r="L21" i="1946"/>
  <c r="AB21" i="1946" s="1"/>
  <c r="K20" i="1946"/>
  <c r="L19" i="1946"/>
  <c r="AE9" i="1951" l="1"/>
  <c r="AE12" i="1951"/>
  <c r="AE18" i="1951"/>
  <c r="AE16" i="1951"/>
  <c r="AE20" i="1951"/>
  <c r="AE8" i="1951"/>
  <c r="AE13" i="1951"/>
  <c r="AE14" i="1951"/>
  <c r="AE19" i="1951"/>
  <c r="AE11" i="1951"/>
  <c r="AE7" i="1951"/>
  <c r="AE21" i="1951"/>
  <c r="AE15" i="1951"/>
  <c r="AE6" i="1951"/>
  <c r="AE10" i="1951"/>
  <c r="AE10" i="1950"/>
  <c r="AE19" i="1950"/>
  <c r="AE6" i="1950"/>
  <c r="AE9" i="1950"/>
  <c r="AE18" i="1950"/>
  <c r="AE14" i="1950"/>
  <c r="AE12" i="1950"/>
  <c r="AE17" i="1950"/>
  <c r="AE7" i="1950"/>
  <c r="AE13" i="1950"/>
  <c r="AE15" i="1950"/>
  <c r="AE11" i="1950"/>
  <c r="AE22" i="1950"/>
  <c r="AE16" i="1950"/>
  <c r="AE21" i="1950"/>
  <c r="AE20" i="1950"/>
  <c r="AC24" i="1949"/>
  <c r="AD6" i="1949"/>
  <c r="AD24" i="1949" s="1"/>
  <c r="AD22" i="1948"/>
  <c r="L24" i="1948"/>
  <c r="O24" i="1948" s="1"/>
  <c r="M6" i="1948"/>
  <c r="AD20" i="1948"/>
  <c r="AD17" i="1948"/>
  <c r="AD9" i="1948"/>
  <c r="AD8" i="1948"/>
  <c r="Q24" i="1948"/>
  <c r="AD7" i="1948"/>
  <c r="P6" i="1948"/>
  <c r="AC6" i="1948" s="1"/>
  <c r="AD6" i="1948" s="1"/>
  <c r="AB24" i="1948"/>
  <c r="AD11" i="1948"/>
  <c r="AD14" i="1948"/>
  <c r="AD19" i="1948"/>
  <c r="AD21" i="1948"/>
  <c r="AD23" i="1948"/>
  <c r="AD12" i="1948"/>
  <c r="K24" i="1948"/>
  <c r="M13" i="1948"/>
  <c r="P10" i="1948"/>
  <c r="AC10" i="1948" s="1"/>
  <c r="AD10" i="1948" s="1"/>
  <c r="M12" i="1948"/>
  <c r="O13" i="1948"/>
  <c r="P16" i="1948"/>
  <c r="AC16" i="1948" s="1"/>
  <c r="AD16" i="1948" s="1"/>
  <c r="M23" i="1948"/>
  <c r="P13" i="1948"/>
  <c r="AC13" i="1948" s="1"/>
  <c r="AD13" i="1948" s="1"/>
  <c r="AF64" i="1947"/>
  <c r="AD7" i="1947"/>
  <c r="P22" i="1947"/>
  <c r="AC22" i="1947" s="1"/>
  <c r="O22" i="1947"/>
  <c r="K22" i="1947"/>
  <c r="AB22" i="1947"/>
  <c r="AD18" i="1947"/>
  <c r="M16" i="1947"/>
  <c r="AB16" i="1947"/>
  <c r="O16" i="1947"/>
  <c r="P16" i="1947"/>
  <c r="AC16" i="1947" s="1"/>
  <c r="AB13" i="1947"/>
  <c r="P13" i="1947"/>
  <c r="AC13" i="1947" s="1"/>
  <c r="AB11" i="1947"/>
  <c r="O8" i="1947"/>
  <c r="M8" i="1947"/>
  <c r="AB8" i="1947"/>
  <c r="AD8" i="1947" s="1"/>
  <c r="P8" i="1947"/>
  <c r="AC8" i="1947" s="1"/>
  <c r="Q23" i="1947"/>
  <c r="AD14" i="1947"/>
  <c r="AD17" i="1947"/>
  <c r="P6" i="1947"/>
  <c r="AC6" i="1947" s="1"/>
  <c r="AD20" i="1947"/>
  <c r="AD9" i="1947"/>
  <c r="AD12" i="1947"/>
  <c r="AD15" i="1947"/>
  <c r="P10" i="1947"/>
  <c r="AC10" i="1947" s="1"/>
  <c r="O13" i="1947"/>
  <c r="P19" i="1947"/>
  <c r="AC19" i="1947" s="1"/>
  <c r="M22" i="1947"/>
  <c r="L23" i="1947"/>
  <c r="O23" i="1947" s="1"/>
  <c r="O6" i="1947"/>
  <c r="M10" i="1947"/>
  <c r="AB10" i="1947"/>
  <c r="O11" i="1947"/>
  <c r="M19" i="1947"/>
  <c r="AB19" i="1947"/>
  <c r="M9" i="1947"/>
  <c r="M13" i="1947"/>
  <c r="O21" i="1946"/>
  <c r="K21" i="1946"/>
  <c r="P21" i="1946"/>
  <c r="AC21" i="1946" s="1"/>
  <c r="AD21" i="1946" s="1"/>
  <c r="AE19" i="1949" l="1"/>
  <c r="AE21" i="1949"/>
  <c r="AE23" i="1949"/>
  <c r="AE17" i="1949"/>
  <c r="AE13" i="1949"/>
  <c r="AE7" i="1949"/>
  <c r="AE14" i="1949"/>
  <c r="AE12" i="1949"/>
  <c r="AE9" i="1949"/>
  <c r="AE18" i="1949"/>
  <c r="AE11" i="1949"/>
  <c r="AE8" i="1949"/>
  <c r="AE20" i="1949"/>
  <c r="AE6" i="1949"/>
  <c r="AE22" i="1949"/>
  <c r="AE16" i="1949"/>
  <c r="AE15" i="1949"/>
  <c r="AE10" i="1949"/>
  <c r="AC24" i="1948"/>
  <c r="M24" i="1948"/>
  <c r="AD24" i="1948"/>
  <c r="P24" i="1948"/>
  <c r="AD22" i="1947"/>
  <c r="AD11" i="1947"/>
  <c r="AD16" i="1947"/>
  <c r="AD13" i="1947"/>
  <c r="AB23" i="1947"/>
  <c r="M23" i="1947"/>
  <c r="AD10" i="1947"/>
  <c r="AD6" i="1947"/>
  <c r="AC23" i="1947"/>
  <c r="AD19" i="1947"/>
  <c r="K23" i="1947"/>
  <c r="P23" i="1947"/>
  <c r="AF16" i="1946"/>
  <c r="AB16" i="1946"/>
  <c r="Q16" i="1946"/>
  <c r="P16" i="1946" s="1"/>
  <c r="AC16" i="1946" s="1"/>
  <c r="O16" i="1946"/>
  <c r="M16" i="1946"/>
  <c r="K16" i="1946"/>
  <c r="K17" i="1946"/>
  <c r="K14" i="1946"/>
  <c r="L12" i="1946"/>
  <c r="O12" i="1946" s="1"/>
  <c r="L11" i="1946"/>
  <c r="O11" i="1946" s="1"/>
  <c r="L10" i="1946"/>
  <c r="L9" i="1946"/>
  <c r="K9" i="1946" s="1"/>
  <c r="L8" i="1946"/>
  <c r="K8" i="1946" s="1"/>
  <c r="L7" i="1946"/>
  <c r="AB7" i="1946" s="1"/>
  <c r="L6" i="1946"/>
  <c r="K6" i="1946" s="1"/>
  <c r="K23" i="1946"/>
  <c r="K19" i="1946"/>
  <c r="K13" i="1946"/>
  <c r="K10" i="1946"/>
  <c r="A79" i="1946"/>
  <c r="A80" i="1946" s="1"/>
  <c r="A81" i="1946" s="1"/>
  <c r="A82" i="1946" s="1"/>
  <c r="A83" i="1946" s="1"/>
  <c r="A84" i="1946" s="1"/>
  <c r="AF63" i="1946"/>
  <c r="AF65" i="1946" s="1"/>
  <c r="AF62" i="1946"/>
  <c r="AA24" i="1946"/>
  <c r="Z24" i="1946"/>
  <c r="Y24" i="1946"/>
  <c r="X24" i="1946"/>
  <c r="W24" i="1946"/>
  <c r="V24" i="1946"/>
  <c r="U24" i="1946"/>
  <c r="T24" i="1946"/>
  <c r="S24" i="1946"/>
  <c r="R24" i="1946"/>
  <c r="N24" i="1946"/>
  <c r="J24" i="1946"/>
  <c r="I24" i="1946"/>
  <c r="AF23" i="1946"/>
  <c r="Q23" i="1946"/>
  <c r="P23" i="1946"/>
  <c r="AC23" i="1946" s="1"/>
  <c r="O23" i="1946"/>
  <c r="AB23" i="1946"/>
  <c r="AF22" i="1946"/>
  <c r="AB22" i="1946"/>
  <c r="Q22" i="1946"/>
  <c r="P22" i="1946" s="1"/>
  <c r="AC22" i="1946" s="1"/>
  <c r="O22" i="1946"/>
  <c r="M22" i="1946"/>
  <c r="AF20" i="1946"/>
  <c r="AB20" i="1946"/>
  <c r="Q20" i="1946"/>
  <c r="M20" i="1946"/>
  <c r="O20" i="1946"/>
  <c r="AF19" i="1946"/>
  <c r="Q19" i="1946"/>
  <c r="AB19" i="1946"/>
  <c r="AF18" i="1946"/>
  <c r="AB18" i="1946"/>
  <c r="Q18" i="1946"/>
  <c r="P18" i="1946"/>
  <c r="AC18" i="1946" s="1"/>
  <c r="O18" i="1946"/>
  <c r="M18" i="1946"/>
  <c r="K18" i="1946"/>
  <c r="AF17" i="1946"/>
  <c r="AB17" i="1946"/>
  <c r="Q17" i="1946"/>
  <c r="P17" i="1946" s="1"/>
  <c r="AC17" i="1946" s="1"/>
  <c r="O17" i="1946"/>
  <c r="M17" i="1946"/>
  <c r="AF15" i="1946"/>
  <c r="AB15" i="1946"/>
  <c r="Q15" i="1946"/>
  <c r="P15" i="1946"/>
  <c r="AC15" i="1946" s="1"/>
  <c r="O15" i="1946"/>
  <c r="M15" i="1946"/>
  <c r="K15" i="1946"/>
  <c r="AF14" i="1946"/>
  <c r="AB14" i="1946"/>
  <c r="Q14" i="1946"/>
  <c r="P14" i="1946" s="1"/>
  <c r="AC14" i="1946" s="1"/>
  <c r="O14" i="1946"/>
  <c r="M14" i="1946"/>
  <c r="AF13" i="1946"/>
  <c r="Q13" i="1946"/>
  <c r="P13" i="1946" s="1"/>
  <c r="AC13" i="1946" s="1"/>
  <c r="AF12" i="1946"/>
  <c r="AB12" i="1946"/>
  <c r="Q12" i="1946"/>
  <c r="AF11" i="1946"/>
  <c r="Q11" i="1946"/>
  <c r="P11" i="1946" s="1"/>
  <c r="AC11" i="1946" s="1"/>
  <c r="AF10" i="1946"/>
  <c r="AB10" i="1946"/>
  <c r="Q10" i="1946"/>
  <c r="P10" i="1946" s="1"/>
  <c r="AC10" i="1946" s="1"/>
  <c r="M10" i="1946"/>
  <c r="AF9" i="1946"/>
  <c r="Q9" i="1946"/>
  <c r="AF8" i="1946"/>
  <c r="Q8" i="1946"/>
  <c r="AF7" i="1946"/>
  <c r="Q7" i="1946"/>
  <c r="O7" i="1946"/>
  <c r="AF6" i="1946"/>
  <c r="Q6" i="194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1" i="1945"/>
  <c r="L20" i="1945"/>
  <c r="L19" i="1945"/>
  <c r="K19" i="1945"/>
  <c r="L18" i="1945"/>
  <c r="L13" i="1945"/>
  <c r="L12" i="1945"/>
  <c r="L11" i="1945"/>
  <c r="L10" i="1945"/>
  <c r="L9" i="1945"/>
  <c r="K8" i="1945"/>
  <c r="AE23" i="1948" l="1"/>
  <c r="AE18" i="1948"/>
  <c r="AE11" i="1948"/>
  <c r="AE7" i="1948"/>
  <c r="AE9" i="1948"/>
  <c r="AE6" i="1948"/>
  <c r="AE14" i="1948"/>
  <c r="AE21" i="1948"/>
  <c r="AE20" i="1948"/>
  <c r="AE16" i="1948"/>
  <c r="AE13" i="1948"/>
  <c r="AE17" i="1948"/>
  <c r="AE10" i="1948"/>
  <c r="AE12" i="1948"/>
  <c r="AE8" i="1948"/>
  <c r="AE22" i="1948"/>
  <c r="AE19" i="1948"/>
  <c r="AE15" i="1948"/>
  <c r="AD23" i="1947"/>
  <c r="P7" i="1946"/>
  <c r="AC7" i="1946" s="1"/>
  <c r="M12" i="1946"/>
  <c r="M7" i="1946"/>
  <c r="AD16" i="1946"/>
  <c r="AD17" i="1946"/>
  <c r="K7" i="1946"/>
  <c r="P9" i="1946"/>
  <c r="AC9" i="1946" s="1"/>
  <c r="K11" i="1946"/>
  <c r="AD14" i="1946"/>
  <c r="P12" i="1946"/>
  <c r="AC12" i="1946" s="1"/>
  <c r="AD12" i="1946" s="1"/>
  <c r="K12" i="1946"/>
  <c r="AB11" i="1946"/>
  <c r="AD11" i="1946" s="1"/>
  <c r="M11" i="1946"/>
  <c r="M8" i="1946"/>
  <c r="AB8" i="1946"/>
  <c r="O8" i="1946"/>
  <c r="P8" i="1946"/>
  <c r="AC8" i="1946" s="1"/>
  <c r="AD7" i="1946"/>
  <c r="Q24" i="1946"/>
  <c r="M6" i="1946"/>
  <c r="AB6" i="1946"/>
  <c r="O6" i="1946"/>
  <c r="P6" i="1946"/>
  <c r="AC6" i="1946" s="1"/>
  <c r="AD18" i="1946"/>
  <c r="AD15" i="1946"/>
  <c r="AD22" i="1946"/>
  <c r="AD23" i="1946"/>
  <c r="M9" i="1946"/>
  <c r="AB9" i="1946"/>
  <c r="O10" i="1946"/>
  <c r="AD10" i="1946" s="1"/>
  <c r="M13" i="1946"/>
  <c r="AB13" i="1946"/>
  <c r="AD13" i="1946" s="1"/>
  <c r="O19" i="1946"/>
  <c r="P20" i="1946"/>
  <c r="AC20" i="1946" s="1"/>
  <c r="AD20" i="1946" s="1"/>
  <c r="M23" i="1946"/>
  <c r="L24" i="1946"/>
  <c r="O24" i="1946" s="1"/>
  <c r="O9" i="1946"/>
  <c r="O13" i="1946"/>
  <c r="P19" i="1946"/>
  <c r="AC19" i="1946" s="1"/>
  <c r="AD19" i="1946" s="1"/>
  <c r="M19" i="1946"/>
  <c r="K21" i="1945"/>
  <c r="K20" i="1945"/>
  <c r="K18" i="1945"/>
  <c r="K13" i="1945"/>
  <c r="K12" i="1945"/>
  <c r="K11" i="1945"/>
  <c r="K10" i="1945"/>
  <c r="K9" i="1945"/>
  <c r="K7" i="1945"/>
  <c r="K6" i="1945"/>
  <c r="A78" i="1945"/>
  <c r="A79" i="1945" s="1"/>
  <c r="A80" i="1945" s="1"/>
  <c r="A81" i="1945" s="1"/>
  <c r="A82" i="1945" s="1"/>
  <c r="A77" i="1945"/>
  <c r="AF61" i="1945"/>
  <c r="AF60" i="1945"/>
  <c r="AF63" i="1945" s="1"/>
  <c r="AA22" i="1945"/>
  <c r="Z22" i="1945"/>
  <c r="Y22" i="1945"/>
  <c r="X22" i="1945"/>
  <c r="W22" i="1945"/>
  <c r="V22" i="1945"/>
  <c r="U22" i="1945"/>
  <c r="T22" i="1945"/>
  <c r="S22" i="1945"/>
  <c r="R22" i="1945"/>
  <c r="N22" i="1945"/>
  <c r="J22" i="1945"/>
  <c r="I22" i="1945"/>
  <c r="AF21" i="1945"/>
  <c r="Q21" i="1945"/>
  <c r="P21" i="1945"/>
  <c r="AC21" i="1945" s="1"/>
  <c r="O21" i="1945"/>
  <c r="AF20" i="1945"/>
  <c r="Q20" i="1945"/>
  <c r="P20" i="1945"/>
  <c r="AC20" i="1945" s="1"/>
  <c r="O20" i="1945"/>
  <c r="AB20" i="1945"/>
  <c r="AF19" i="1945"/>
  <c r="AB19" i="1945"/>
  <c r="Q19" i="1945"/>
  <c r="P19" i="1945" s="1"/>
  <c r="AC19" i="1945" s="1"/>
  <c r="O19" i="1945"/>
  <c r="M19" i="1945"/>
  <c r="AF18" i="1945"/>
  <c r="Q18" i="1945"/>
  <c r="P18" i="1945"/>
  <c r="AC18" i="1945" s="1"/>
  <c r="AF17" i="1945"/>
  <c r="AB17" i="1945"/>
  <c r="Q17" i="1945"/>
  <c r="P17" i="1945"/>
  <c r="AC17" i="1945" s="1"/>
  <c r="O17" i="1945"/>
  <c r="M17" i="1945"/>
  <c r="K17" i="1945"/>
  <c r="AF16" i="1945"/>
  <c r="AB16" i="1945"/>
  <c r="Q16" i="1945"/>
  <c r="P16" i="1945"/>
  <c r="AC16" i="1945" s="1"/>
  <c r="O16" i="1945"/>
  <c r="M16" i="1945"/>
  <c r="K16" i="1945"/>
  <c r="AF15" i="1945"/>
  <c r="AB15" i="1945"/>
  <c r="Q15" i="1945"/>
  <c r="P15" i="1945"/>
  <c r="AC15" i="1945" s="1"/>
  <c r="O15" i="1945"/>
  <c r="M15" i="1945"/>
  <c r="K15" i="1945"/>
  <c r="AF14" i="1945"/>
  <c r="AB14" i="1945"/>
  <c r="Q14" i="1945"/>
  <c r="P14" i="1945"/>
  <c r="AC14" i="1945" s="1"/>
  <c r="AD14" i="1945" s="1"/>
  <c r="O14" i="1945"/>
  <c r="M14" i="1945"/>
  <c r="K14" i="1945"/>
  <c r="AF13" i="1945"/>
  <c r="Q13" i="1945"/>
  <c r="P13" i="1945" s="1"/>
  <c r="AC13" i="1945" s="1"/>
  <c r="O13" i="1945"/>
  <c r="AF12" i="1945"/>
  <c r="Q12" i="1945"/>
  <c r="P12" i="1945" s="1"/>
  <c r="AC12" i="1945" s="1"/>
  <c r="O12" i="1945"/>
  <c r="AB12" i="1945"/>
  <c r="AF11" i="1945"/>
  <c r="AB11" i="1945"/>
  <c r="Q11" i="1945"/>
  <c r="P11" i="1945" s="1"/>
  <c r="AC11" i="1945" s="1"/>
  <c r="O11" i="1945"/>
  <c r="M11" i="1945"/>
  <c r="AF10" i="1945"/>
  <c r="Q10" i="1945"/>
  <c r="AB10" i="1945"/>
  <c r="AF9" i="1945"/>
  <c r="Q9" i="1945"/>
  <c r="P9" i="1945" s="1"/>
  <c r="AC9" i="1945" s="1"/>
  <c r="O9" i="1945"/>
  <c r="AF8" i="1945"/>
  <c r="Q8" i="1945"/>
  <c r="P8" i="1945" s="1"/>
  <c r="AC8" i="1945" s="1"/>
  <c r="O8" i="1945"/>
  <c r="AB8" i="1945"/>
  <c r="AF7" i="1945"/>
  <c r="AB7" i="1945"/>
  <c r="Q7" i="1945"/>
  <c r="P7" i="1945"/>
  <c r="AC7" i="1945" s="1"/>
  <c r="O7" i="1945"/>
  <c r="M7" i="1945"/>
  <c r="L22" i="1945"/>
  <c r="O22" i="1945" s="1"/>
  <c r="AF6" i="1945"/>
  <c r="AB6" i="1945"/>
  <c r="Q6" i="1945"/>
  <c r="O6" i="1945"/>
  <c r="M6" i="1945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2" i="1944"/>
  <c r="L21" i="1944"/>
  <c r="L19" i="1944"/>
  <c r="K19" i="1944"/>
  <c r="AE22" i="1947" l="1"/>
  <c r="AE7" i="1947"/>
  <c r="AE11" i="1947"/>
  <c r="AE21" i="1947"/>
  <c r="AE15" i="1947"/>
  <c r="AE8" i="1947"/>
  <c r="AE10" i="1947"/>
  <c r="AE16" i="1947"/>
  <c r="AE9" i="1947"/>
  <c r="AE18" i="1947"/>
  <c r="AE20" i="1947"/>
  <c r="AE14" i="1947"/>
  <c r="AE19" i="1947"/>
  <c r="AE12" i="1947"/>
  <c r="AE6" i="1947"/>
  <c r="AE17" i="1947"/>
  <c r="AE13" i="1947"/>
  <c r="K24" i="1946"/>
  <c r="AD8" i="1946"/>
  <c r="AD6" i="1946"/>
  <c r="AB24" i="1946"/>
  <c r="M24" i="1946"/>
  <c r="AD9" i="1946"/>
  <c r="AD24" i="1946" s="1"/>
  <c r="P24" i="1946"/>
  <c r="AC24" i="1946"/>
  <c r="AD15" i="1945"/>
  <c r="Q22" i="1945"/>
  <c r="AD17" i="1945"/>
  <c r="AD19" i="1945"/>
  <c r="AD7" i="1945"/>
  <c r="AD11" i="1945"/>
  <c r="AD16" i="1945"/>
  <c r="AD20" i="1945"/>
  <c r="AD8" i="1945"/>
  <c r="AD12" i="1945"/>
  <c r="M10" i="1945"/>
  <c r="M9" i="1945"/>
  <c r="AB9" i="1945"/>
  <c r="O10" i="1945"/>
  <c r="M13" i="1945"/>
  <c r="AB13" i="1945"/>
  <c r="AD13" i="1945" s="1"/>
  <c r="P6" i="1945"/>
  <c r="M8" i="1945"/>
  <c r="P10" i="1945"/>
  <c r="AC10" i="1945" s="1"/>
  <c r="M12" i="1945"/>
  <c r="M18" i="1945"/>
  <c r="AB18" i="1945"/>
  <c r="M21" i="1945"/>
  <c r="AB21" i="1945"/>
  <c r="AD21" i="1945" s="1"/>
  <c r="O18" i="1945"/>
  <c r="M20" i="1945"/>
  <c r="K22" i="1945"/>
  <c r="AF19" i="1944"/>
  <c r="AB19" i="1944"/>
  <c r="Q19" i="1944"/>
  <c r="P19" i="1944" s="1"/>
  <c r="AC19" i="1944" s="1"/>
  <c r="O19" i="1944"/>
  <c r="M19" i="1944"/>
  <c r="L13" i="1944"/>
  <c r="O13" i="1944" s="1"/>
  <c r="L12" i="1944"/>
  <c r="K12" i="1944" s="1"/>
  <c r="L11" i="1944"/>
  <c r="AB11" i="1944" s="1"/>
  <c r="K11" i="1944"/>
  <c r="L10" i="1944"/>
  <c r="L9" i="1944"/>
  <c r="O9" i="1944" s="1"/>
  <c r="L8" i="1944"/>
  <c r="AB8" i="1944" s="1"/>
  <c r="L7" i="1944"/>
  <c r="M7" i="1944" s="1"/>
  <c r="K6" i="1944"/>
  <c r="K22" i="1944"/>
  <c r="K21" i="1944"/>
  <c r="K20" i="1944"/>
  <c r="K18" i="1944"/>
  <c r="K10" i="1944"/>
  <c r="K7" i="1944"/>
  <c r="A78" i="1944"/>
  <c r="A79" i="1944" s="1"/>
  <c r="A80" i="1944" s="1"/>
  <c r="A81" i="1944" s="1"/>
  <c r="A82" i="1944" s="1"/>
  <c r="A83" i="1944" s="1"/>
  <c r="AF62" i="1944"/>
  <c r="AF61" i="1944"/>
  <c r="AA23" i="1944"/>
  <c r="Z23" i="1944"/>
  <c r="Y23" i="1944"/>
  <c r="X23" i="1944"/>
  <c r="W23" i="1944"/>
  <c r="V23" i="1944"/>
  <c r="U23" i="1944"/>
  <c r="T23" i="1944"/>
  <c r="S23" i="1944"/>
  <c r="R23" i="1944"/>
  <c r="N23" i="1944"/>
  <c r="J23" i="1944"/>
  <c r="I23" i="1944"/>
  <c r="AF22" i="1944"/>
  <c r="AB22" i="1944"/>
  <c r="Q22" i="1944"/>
  <c r="M22" i="1944"/>
  <c r="P22" i="1944"/>
  <c r="AC22" i="1944" s="1"/>
  <c r="AF21" i="1944"/>
  <c r="Q21" i="1944"/>
  <c r="P21" i="1944"/>
  <c r="AC21" i="1944" s="1"/>
  <c r="AF20" i="1944"/>
  <c r="Q20" i="1944"/>
  <c r="P20" i="1944"/>
  <c r="AC20" i="1944" s="1"/>
  <c r="O20" i="1944"/>
  <c r="AB20" i="1944"/>
  <c r="AF18" i="1944"/>
  <c r="AB18" i="1944"/>
  <c r="Q18" i="1944"/>
  <c r="P18" i="1944" s="1"/>
  <c r="AC18" i="1944" s="1"/>
  <c r="O18" i="1944"/>
  <c r="M18" i="1944"/>
  <c r="AF17" i="1944"/>
  <c r="AB17" i="1944"/>
  <c r="Q17" i="1944"/>
  <c r="P17" i="1944"/>
  <c r="AC17" i="1944" s="1"/>
  <c r="O17" i="1944"/>
  <c r="M17" i="1944"/>
  <c r="K17" i="1944"/>
  <c r="AF16" i="1944"/>
  <c r="AB16" i="1944"/>
  <c r="Q16" i="1944"/>
  <c r="P16" i="1944"/>
  <c r="AC16" i="1944" s="1"/>
  <c r="O16" i="1944"/>
  <c r="M16" i="1944"/>
  <c r="K16" i="1944"/>
  <c r="AF15" i="1944"/>
  <c r="AB15" i="1944"/>
  <c r="Q15" i="1944"/>
  <c r="P15" i="1944"/>
  <c r="AC15" i="1944" s="1"/>
  <c r="O15" i="1944"/>
  <c r="M15" i="1944"/>
  <c r="K15" i="1944"/>
  <c r="AF14" i="1944"/>
  <c r="AB14" i="1944"/>
  <c r="Q14" i="1944"/>
  <c r="P14" i="1944"/>
  <c r="AC14" i="1944" s="1"/>
  <c r="O14" i="1944"/>
  <c r="M14" i="1944"/>
  <c r="K14" i="1944"/>
  <c r="AF13" i="1944"/>
  <c r="Q13" i="1944"/>
  <c r="P13" i="1944" s="1"/>
  <c r="AC13" i="1944" s="1"/>
  <c r="M13" i="1944"/>
  <c r="AF12" i="1944"/>
  <c r="Q12" i="1944"/>
  <c r="M12" i="1944"/>
  <c r="AF11" i="1944"/>
  <c r="Q11" i="1944"/>
  <c r="M11" i="1944"/>
  <c r="AF10" i="1944"/>
  <c r="Q10" i="1944"/>
  <c r="P10" i="1944"/>
  <c r="AC10" i="1944" s="1"/>
  <c r="AF9" i="1944"/>
  <c r="AB9" i="1944"/>
  <c r="Q9" i="1944"/>
  <c r="AF8" i="1944"/>
  <c r="Q8" i="1944"/>
  <c r="O8" i="1944"/>
  <c r="AF7" i="1944"/>
  <c r="AB7" i="1944"/>
  <c r="Q7" i="1944"/>
  <c r="AF6" i="1944"/>
  <c r="AB6" i="1944"/>
  <c r="Q6" i="1944"/>
  <c r="P6" i="1944" s="1"/>
  <c r="O6" i="1944"/>
  <c r="M6" i="1944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14" i="1943"/>
  <c r="K14" i="1943" s="1"/>
  <c r="AF14" i="1943"/>
  <c r="Q14" i="1943"/>
  <c r="P14" i="1943" s="1"/>
  <c r="AC14" i="1943" s="1"/>
  <c r="O14" i="1943"/>
  <c r="M14" i="1943"/>
  <c r="L22" i="1943"/>
  <c r="AB22" i="1943" s="1"/>
  <c r="L21" i="1943"/>
  <c r="P21" i="1943" s="1"/>
  <c r="AC21" i="1943" s="1"/>
  <c r="L20" i="1943"/>
  <c r="L19" i="1943"/>
  <c r="K19" i="1943" s="1"/>
  <c r="L12" i="1943"/>
  <c r="AB12" i="1943" s="1"/>
  <c r="L11" i="1943"/>
  <c r="K11" i="1943" s="1"/>
  <c r="L10" i="1943"/>
  <c r="K10" i="1943" s="1"/>
  <c r="L9" i="1943"/>
  <c r="K9" i="1943" s="1"/>
  <c r="L8" i="1943"/>
  <c r="L7" i="1943"/>
  <c r="K7" i="1943" s="1"/>
  <c r="K20" i="1943"/>
  <c r="K17" i="1943"/>
  <c r="K13" i="1943"/>
  <c r="K8" i="1943"/>
  <c r="K6" i="1943"/>
  <c r="A78" i="1943"/>
  <c r="A79" i="1943" s="1"/>
  <c r="A80" i="1943" s="1"/>
  <c r="A81" i="1943" s="1"/>
  <c r="A82" i="1943" s="1"/>
  <c r="A83" i="1943" s="1"/>
  <c r="AF62" i="1943"/>
  <c r="AF61" i="1943"/>
  <c r="AA23" i="1943"/>
  <c r="Z23" i="1943"/>
  <c r="Y23" i="1943"/>
  <c r="X23" i="1943"/>
  <c r="W23" i="1943"/>
  <c r="V23" i="1943"/>
  <c r="U23" i="1943"/>
  <c r="T23" i="1943"/>
  <c r="S23" i="1943"/>
  <c r="R23" i="1943"/>
  <c r="N23" i="1943"/>
  <c r="J23" i="1943"/>
  <c r="I23" i="1943"/>
  <c r="AF22" i="1943"/>
  <c r="Q22" i="1943"/>
  <c r="O22" i="1943"/>
  <c r="AF21" i="1943"/>
  <c r="Q21" i="1943"/>
  <c r="O21" i="1943"/>
  <c r="AF20" i="1943"/>
  <c r="Q20" i="1943"/>
  <c r="M20" i="1943"/>
  <c r="O20" i="1943"/>
  <c r="AF19" i="1943"/>
  <c r="Q19" i="1943"/>
  <c r="AB19" i="1943"/>
  <c r="AF18" i="1943"/>
  <c r="AB18" i="1943"/>
  <c r="Q18" i="1943"/>
  <c r="P18" i="1943"/>
  <c r="AC18" i="1943" s="1"/>
  <c r="O18" i="1943"/>
  <c r="M18" i="1943"/>
  <c r="K18" i="1943"/>
  <c r="AF17" i="1943"/>
  <c r="Q17" i="1943"/>
  <c r="O17" i="1943"/>
  <c r="AF16" i="1943"/>
  <c r="AB16" i="1943"/>
  <c r="Q16" i="1943"/>
  <c r="P16" i="1943"/>
  <c r="AC16" i="1943" s="1"/>
  <c r="O16" i="1943"/>
  <c r="M16" i="1943"/>
  <c r="K16" i="1943"/>
  <c r="AF15" i="1943"/>
  <c r="AB15" i="1943"/>
  <c r="Q15" i="1943"/>
  <c r="P15" i="1943"/>
  <c r="AC15" i="1943" s="1"/>
  <c r="O15" i="1943"/>
  <c r="M15" i="1943"/>
  <c r="K15" i="1943"/>
  <c r="AF13" i="1943"/>
  <c r="Q13" i="1943"/>
  <c r="P13" i="1943" s="1"/>
  <c r="AC13" i="1943" s="1"/>
  <c r="O13" i="1943"/>
  <c r="AB13" i="1943"/>
  <c r="AF12" i="1943"/>
  <c r="Q12" i="1943"/>
  <c r="AF11" i="1943"/>
  <c r="AB11" i="1943"/>
  <c r="Q11" i="1943"/>
  <c r="AF10" i="1943"/>
  <c r="Q10" i="1943"/>
  <c r="AB10" i="1943"/>
  <c r="AF9" i="1943"/>
  <c r="Q9" i="1943"/>
  <c r="O9" i="1943"/>
  <c r="M9" i="1943"/>
  <c r="AF8" i="1943"/>
  <c r="Q8" i="1943"/>
  <c r="P8" i="1943" s="1"/>
  <c r="AC8" i="1943" s="1"/>
  <c r="AF7" i="1943"/>
  <c r="Q7" i="1943"/>
  <c r="AF6" i="1943"/>
  <c r="AB6" i="1943"/>
  <c r="Q6" i="1943"/>
  <c r="P6" i="1943" s="1"/>
  <c r="AC6" i="1943" s="1"/>
  <c r="O6" i="1943"/>
  <c r="M6" i="1943"/>
  <c r="AE16" i="1946" l="1"/>
  <c r="AE21" i="1946"/>
  <c r="AE23" i="1946"/>
  <c r="AE18" i="1946"/>
  <c r="AE19" i="1946"/>
  <c r="AE10" i="1946"/>
  <c r="AE7" i="1946"/>
  <c r="AE20" i="1946"/>
  <c r="AE17" i="1946"/>
  <c r="AE14" i="1946"/>
  <c r="AE11" i="1946"/>
  <c r="AE13" i="1946"/>
  <c r="AE9" i="1946"/>
  <c r="AE22" i="1946"/>
  <c r="AE12" i="1946"/>
  <c r="AE8" i="1946"/>
  <c r="AE6" i="1946"/>
  <c r="AE15" i="1946"/>
  <c r="AD10" i="1945"/>
  <c r="AD18" i="1945"/>
  <c r="M22" i="1945"/>
  <c r="AB22" i="1945"/>
  <c r="AD9" i="1945"/>
  <c r="P22" i="1945"/>
  <c r="AC6" i="1945"/>
  <c r="AD19" i="1944"/>
  <c r="M9" i="1944"/>
  <c r="O12" i="1944"/>
  <c r="P9" i="1944"/>
  <c r="AC9" i="1944" s="1"/>
  <c r="AD9" i="1944" s="1"/>
  <c r="P12" i="1944"/>
  <c r="AC12" i="1944" s="1"/>
  <c r="AD12" i="1944" s="1"/>
  <c r="K8" i="1944"/>
  <c r="AB12" i="1944"/>
  <c r="AB13" i="1944"/>
  <c r="AD13" i="1944" s="1"/>
  <c r="AD15" i="1944"/>
  <c r="AD18" i="1944"/>
  <c r="M8" i="1944"/>
  <c r="P11" i="1944"/>
  <c r="AC11" i="1944" s="1"/>
  <c r="AF64" i="1944"/>
  <c r="K13" i="1944"/>
  <c r="K9" i="1944"/>
  <c r="K23" i="1944" s="1"/>
  <c r="P8" i="1944"/>
  <c r="AC8" i="1944" s="1"/>
  <c r="AD8" i="1944" s="1"/>
  <c r="P7" i="1944"/>
  <c r="AC7" i="1944" s="1"/>
  <c r="AD14" i="1944"/>
  <c r="AD17" i="1944"/>
  <c r="AD16" i="1944"/>
  <c r="AC6" i="1944"/>
  <c r="AD20" i="1944"/>
  <c r="L23" i="1944"/>
  <c r="O23" i="1944" s="1"/>
  <c r="O7" i="1944"/>
  <c r="M10" i="1944"/>
  <c r="AB10" i="1944"/>
  <c r="O11" i="1944"/>
  <c r="M21" i="1944"/>
  <c r="AB21" i="1944"/>
  <c r="O22" i="1944"/>
  <c r="AD22" i="1944" s="1"/>
  <c r="Q23" i="1944"/>
  <c r="O10" i="1944"/>
  <c r="M20" i="1944"/>
  <c r="O21" i="1944"/>
  <c r="AB14" i="1943"/>
  <c r="AD14" i="1943" s="1"/>
  <c r="O7" i="1943"/>
  <c r="M11" i="1943"/>
  <c r="O11" i="1943"/>
  <c r="P11" i="1943"/>
  <c r="AC11" i="1943" s="1"/>
  <c r="AD11" i="1943" s="1"/>
  <c r="M21" i="1943"/>
  <c r="P22" i="1943"/>
  <c r="AC22" i="1943" s="1"/>
  <c r="AD22" i="1943" s="1"/>
  <c r="K22" i="1943"/>
  <c r="AB21" i="1943"/>
  <c r="AD21" i="1943" s="1"/>
  <c r="K21" i="1943"/>
  <c r="O10" i="1943"/>
  <c r="P10" i="1943"/>
  <c r="AC10" i="1943" s="1"/>
  <c r="AF64" i="1943"/>
  <c r="P9" i="1943"/>
  <c r="AC9" i="1943" s="1"/>
  <c r="M12" i="1943"/>
  <c r="O12" i="1943"/>
  <c r="P12" i="1943"/>
  <c r="AC12" i="1943" s="1"/>
  <c r="AD12" i="1943" s="1"/>
  <c r="K12" i="1943"/>
  <c r="AB9" i="1943"/>
  <c r="L23" i="1943"/>
  <c r="O23" i="1943" s="1"/>
  <c r="P7" i="1943"/>
  <c r="AC7" i="1943" s="1"/>
  <c r="Q23" i="1943"/>
  <c r="AD15" i="1943"/>
  <c r="AD6" i="1943"/>
  <c r="AD16" i="1943"/>
  <c r="AD18" i="1943"/>
  <c r="AD10" i="1943"/>
  <c r="AD13" i="1943"/>
  <c r="M8" i="1943"/>
  <c r="AB8" i="1943"/>
  <c r="M17" i="1943"/>
  <c r="AB17" i="1943"/>
  <c r="M7" i="1943"/>
  <c r="AB7" i="1943"/>
  <c r="O8" i="1943"/>
  <c r="M10" i="1943"/>
  <c r="M13" i="1943"/>
  <c r="P17" i="1943"/>
  <c r="AC17" i="1943" s="1"/>
  <c r="AD17" i="1943" s="1"/>
  <c r="O19" i="1943"/>
  <c r="P20" i="1943"/>
  <c r="AC20" i="1943" s="1"/>
  <c r="M22" i="1943"/>
  <c r="P19" i="1943"/>
  <c r="AC19" i="1943" s="1"/>
  <c r="AB20" i="1943"/>
  <c r="M19" i="1943"/>
  <c r="AC22" i="1945" l="1"/>
  <c r="AD6" i="1945"/>
  <c r="AD22" i="1945" s="1"/>
  <c r="AD21" i="1944"/>
  <c r="AD7" i="1944"/>
  <c r="AD11" i="1944"/>
  <c r="AB23" i="1944"/>
  <c r="P23" i="1944"/>
  <c r="AD10" i="1944"/>
  <c r="M23" i="1944"/>
  <c r="AD6" i="1944"/>
  <c r="AC23" i="1944"/>
  <c r="AD9" i="1943"/>
  <c r="AD7" i="1943"/>
  <c r="AD8" i="1943"/>
  <c r="K23" i="1943"/>
  <c r="AB23" i="1943"/>
  <c r="AD20" i="1943"/>
  <c r="M23" i="1943"/>
  <c r="AD19" i="1943"/>
  <c r="P23" i="1943"/>
  <c r="AE21" i="1945" l="1"/>
  <c r="AE17" i="1945"/>
  <c r="AE15" i="1945"/>
  <c r="AE10" i="1945"/>
  <c r="AE6" i="1945"/>
  <c r="AE19" i="1945"/>
  <c r="AE20" i="1945"/>
  <c r="AE16" i="1945"/>
  <c r="AE14" i="1945"/>
  <c r="AE11" i="1945"/>
  <c r="AE7" i="1945"/>
  <c r="AE18" i="1945"/>
  <c r="AE12" i="1945"/>
  <c r="AE8" i="1945"/>
  <c r="AE13" i="1945"/>
  <c r="AE9" i="1945"/>
  <c r="AD23" i="1944"/>
  <c r="AC23" i="1943"/>
  <c r="AD23" i="1943"/>
  <c r="AE14" i="1943" s="1"/>
  <c r="AE17" i="1944" l="1"/>
  <c r="AE19" i="1944"/>
  <c r="AE9" i="1944"/>
  <c r="AE18" i="1944"/>
  <c r="AE11" i="1944"/>
  <c r="AE13" i="1944"/>
  <c r="AE20" i="1944"/>
  <c r="AE10" i="1944"/>
  <c r="AE12" i="1944"/>
  <c r="AE22" i="1944"/>
  <c r="AE14" i="1944"/>
  <c r="AE21" i="1944"/>
  <c r="AE6" i="1944"/>
  <c r="AE15" i="1944"/>
  <c r="AE16" i="1944"/>
  <c r="AE8" i="1944"/>
  <c r="AE7" i="1944"/>
  <c r="AE22" i="1943"/>
  <c r="AE18" i="1943"/>
  <c r="AE16" i="1943"/>
  <c r="AE19" i="1943"/>
  <c r="AE20" i="1943"/>
  <c r="AE21" i="1943"/>
  <c r="AE12" i="1943"/>
  <c r="AE9" i="1943"/>
  <c r="AE13" i="1943"/>
  <c r="AE10" i="1943"/>
  <c r="AE6" i="1943"/>
  <c r="AE7" i="1943"/>
  <c r="AE17" i="1943"/>
  <c r="AE15" i="1943"/>
  <c r="AE11" i="1943"/>
  <c r="AE8" i="1943"/>
  <c r="R19" i="16" l="1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3" i="1942"/>
  <c r="L22" i="1942"/>
  <c r="L21" i="1942"/>
  <c r="K21" i="1942" s="1"/>
  <c r="L20" i="1942"/>
  <c r="K20" i="1942" s="1"/>
  <c r="L18" i="1942"/>
  <c r="AB18" i="1942" s="1"/>
  <c r="AF18" i="1942"/>
  <c r="Q18" i="1942"/>
  <c r="L17" i="1942"/>
  <c r="K17" i="1942" s="1"/>
  <c r="O18" i="1942" l="1"/>
  <c r="M18" i="1942"/>
  <c r="K18" i="1942"/>
  <c r="P18" i="1942"/>
  <c r="AC18" i="1942" s="1"/>
  <c r="AD18" i="1942" s="1"/>
  <c r="L14" i="1942" l="1"/>
  <c r="K14" i="1942"/>
  <c r="L13" i="1942"/>
  <c r="L11" i="1942"/>
  <c r="M11" i="1942" s="1"/>
  <c r="L10" i="1942"/>
  <c r="L9" i="1942"/>
  <c r="L8" i="1942"/>
  <c r="O8" i="1942" s="1"/>
  <c r="K7" i="1942"/>
  <c r="AF7" i="1942"/>
  <c r="AB7" i="1942"/>
  <c r="Q7" i="1942"/>
  <c r="P7" i="1942" s="1"/>
  <c r="AC7" i="1942" s="1"/>
  <c r="O7" i="1942"/>
  <c r="M7" i="1942"/>
  <c r="L6" i="1942"/>
  <c r="K6" i="1942" s="1"/>
  <c r="K23" i="1942"/>
  <c r="K22" i="1942"/>
  <c r="K19" i="1942"/>
  <c r="K15" i="1942"/>
  <c r="K12" i="1942"/>
  <c r="K10" i="1942"/>
  <c r="K9" i="1942"/>
  <c r="A79" i="1942"/>
  <c r="A80" i="1942" s="1"/>
  <c r="A81" i="1942" s="1"/>
  <c r="A82" i="1942" s="1"/>
  <c r="A83" i="1942" s="1"/>
  <c r="A84" i="1942" s="1"/>
  <c r="AF63" i="1942"/>
  <c r="AF62" i="1942"/>
  <c r="AA24" i="1942"/>
  <c r="Z24" i="1942"/>
  <c r="Y24" i="1942"/>
  <c r="X24" i="1942"/>
  <c r="W24" i="1942"/>
  <c r="V24" i="1942"/>
  <c r="U24" i="1942"/>
  <c r="T24" i="1942"/>
  <c r="S24" i="1942"/>
  <c r="R24" i="1942"/>
  <c r="N24" i="1942"/>
  <c r="J24" i="1942"/>
  <c r="I24" i="1942"/>
  <c r="AF23" i="1942"/>
  <c r="Q23" i="1942"/>
  <c r="P23" i="1942"/>
  <c r="AC23" i="1942" s="1"/>
  <c r="O23" i="1942"/>
  <c r="AF22" i="1942"/>
  <c r="Q22" i="1942"/>
  <c r="P22" i="1942" s="1"/>
  <c r="AC22" i="1942" s="1"/>
  <c r="O22" i="1942"/>
  <c r="AB22" i="1942"/>
  <c r="AF21" i="1942"/>
  <c r="Q21" i="1942"/>
  <c r="P21" i="1942" s="1"/>
  <c r="AC21" i="1942" s="1"/>
  <c r="O21" i="1942"/>
  <c r="AF20" i="1942"/>
  <c r="AB20" i="1942"/>
  <c r="Q20" i="1942"/>
  <c r="P20" i="1942"/>
  <c r="AC20" i="1942" s="1"/>
  <c r="O20" i="1942"/>
  <c r="M20" i="1942"/>
  <c r="AF19" i="1942"/>
  <c r="Q19" i="1942"/>
  <c r="AB19" i="1942"/>
  <c r="AF17" i="1942"/>
  <c r="AB17" i="1942"/>
  <c r="Q17" i="1942"/>
  <c r="P17" i="1942" s="1"/>
  <c r="AC17" i="1942" s="1"/>
  <c r="O17" i="1942"/>
  <c r="M17" i="1942"/>
  <c r="AF16" i="1942"/>
  <c r="AB16" i="1942"/>
  <c r="Q16" i="1942"/>
  <c r="P16" i="1942"/>
  <c r="AC16" i="1942" s="1"/>
  <c r="O16" i="1942"/>
  <c r="M16" i="1942"/>
  <c r="K16" i="1942"/>
  <c r="AF15" i="1942"/>
  <c r="AB15" i="1942"/>
  <c r="Q15" i="1942"/>
  <c r="P15" i="1942" s="1"/>
  <c r="AC15" i="1942" s="1"/>
  <c r="O15" i="1942"/>
  <c r="M15" i="1942"/>
  <c r="AF14" i="1942"/>
  <c r="AB14" i="1942"/>
  <c r="Q14" i="1942"/>
  <c r="P14" i="1942" s="1"/>
  <c r="AC14" i="1942" s="1"/>
  <c r="O14" i="1942"/>
  <c r="M14" i="1942"/>
  <c r="AF13" i="1942"/>
  <c r="AB13" i="1942"/>
  <c r="Q13" i="1942"/>
  <c r="P13" i="1942" s="1"/>
  <c r="AC13" i="1942" s="1"/>
  <c r="O13" i="1942"/>
  <c r="M13" i="1942"/>
  <c r="K13" i="1942"/>
  <c r="AF12" i="1942"/>
  <c r="AB12" i="1942"/>
  <c r="Q12" i="1942"/>
  <c r="P12" i="1942"/>
  <c r="AC12" i="1942" s="1"/>
  <c r="O12" i="1942"/>
  <c r="M12" i="1942"/>
  <c r="AF11" i="1942"/>
  <c r="Q11" i="1942"/>
  <c r="AF10" i="1942"/>
  <c r="Q10" i="1942"/>
  <c r="P10" i="1942" s="1"/>
  <c r="AC10" i="1942" s="1"/>
  <c r="AF9" i="1942"/>
  <c r="Q9" i="1942"/>
  <c r="P9" i="1942" s="1"/>
  <c r="AC9" i="1942" s="1"/>
  <c r="O9" i="1942"/>
  <c r="AB9" i="1942"/>
  <c r="AF8" i="1942"/>
  <c r="AB8" i="1942"/>
  <c r="Q8" i="1942"/>
  <c r="P8" i="1942" s="1"/>
  <c r="AC8" i="1942" s="1"/>
  <c r="M8" i="1942"/>
  <c r="K8" i="1942"/>
  <c r="AF6" i="1942"/>
  <c r="Q6" i="1942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2" i="1941"/>
  <c r="L21" i="1941"/>
  <c r="AB21" i="1941" s="1"/>
  <c r="AF21" i="1941"/>
  <c r="Q21" i="1941"/>
  <c r="P21" i="1941" s="1"/>
  <c r="AC21" i="1941" s="1"/>
  <c r="O21" i="1941"/>
  <c r="M21" i="1941"/>
  <c r="K21" i="1941"/>
  <c r="AF20" i="1941"/>
  <c r="AB20" i="1941"/>
  <c r="Q20" i="1941"/>
  <c r="P20" i="1941" s="1"/>
  <c r="AC20" i="1941" s="1"/>
  <c r="AD20" i="1941" s="1"/>
  <c r="O20" i="1941"/>
  <c r="M20" i="1941"/>
  <c r="K20" i="1941"/>
  <c r="L19" i="1941"/>
  <c r="L17" i="1941"/>
  <c r="M17" i="1941" s="1"/>
  <c r="L11" i="1941"/>
  <c r="O11" i="1941" s="1"/>
  <c r="L10" i="1941"/>
  <c r="L9" i="1941"/>
  <c r="K9" i="1941" s="1"/>
  <c r="L8" i="1941"/>
  <c r="M8" i="1941" s="1"/>
  <c r="L6" i="1941"/>
  <c r="K6" i="1941" s="1"/>
  <c r="K22" i="1941"/>
  <c r="K19" i="1941"/>
  <c r="K18" i="1941"/>
  <c r="K16" i="1941"/>
  <c r="K13" i="1941"/>
  <c r="K11" i="1941"/>
  <c r="K10" i="1941"/>
  <c r="A78" i="1941"/>
  <c r="A79" i="1941" s="1"/>
  <c r="A80" i="1941" s="1"/>
  <c r="A81" i="1941" s="1"/>
  <c r="A82" i="1941" s="1"/>
  <c r="A83" i="1941" s="1"/>
  <c r="AF62" i="1941"/>
  <c r="AF61" i="1941"/>
  <c r="AA23" i="1941"/>
  <c r="Z23" i="1941"/>
  <c r="Y23" i="1941"/>
  <c r="X23" i="1941"/>
  <c r="W23" i="1941"/>
  <c r="V23" i="1941"/>
  <c r="U23" i="1941"/>
  <c r="T23" i="1941"/>
  <c r="S23" i="1941"/>
  <c r="R23" i="1941"/>
  <c r="N23" i="1941"/>
  <c r="J23" i="1941"/>
  <c r="I23" i="1941"/>
  <c r="AF22" i="1941"/>
  <c r="AB22" i="1941"/>
  <c r="Q22" i="1941"/>
  <c r="P22" i="1941"/>
  <c r="AC22" i="1941" s="1"/>
  <c r="O22" i="1941"/>
  <c r="M22" i="1941"/>
  <c r="AF19" i="1941"/>
  <c r="Q19" i="1941"/>
  <c r="O19" i="1941"/>
  <c r="AF18" i="1941"/>
  <c r="Q18" i="1941"/>
  <c r="AB18" i="1941"/>
  <c r="AF17" i="1941"/>
  <c r="Q17" i="1941"/>
  <c r="O17" i="1941"/>
  <c r="AF16" i="1941"/>
  <c r="Q16" i="1941"/>
  <c r="P16" i="1941" s="1"/>
  <c r="AC16" i="1941" s="1"/>
  <c r="O16" i="1941"/>
  <c r="AF15" i="1941"/>
  <c r="AB15" i="1941"/>
  <c r="Q15" i="1941"/>
  <c r="P15" i="1941"/>
  <c r="AC15" i="1941" s="1"/>
  <c r="O15" i="1941"/>
  <c r="M15" i="1941"/>
  <c r="K15" i="1941"/>
  <c r="AF14" i="1941"/>
  <c r="AB14" i="1941"/>
  <c r="Q14" i="1941"/>
  <c r="P14" i="1941" s="1"/>
  <c r="AC14" i="1941" s="1"/>
  <c r="O14" i="1941"/>
  <c r="M14" i="1941"/>
  <c r="K14" i="1941"/>
  <c r="AF13" i="1941"/>
  <c r="Q13" i="1941"/>
  <c r="P13" i="1941"/>
  <c r="AC13" i="1941" s="1"/>
  <c r="O13" i="1941"/>
  <c r="AB13" i="1941"/>
  <c r="AF12" i="1941"/>
  <c r="AB12" i="1941"/>
  <c r="Q12" i="1941"/>
  <c r="P12" i="1941"/>
  <c r="AC12" i="1941" s="1"/>
  <c r="O12" i="1941"/>
  <c r="M12" i="1941"/>
  <c r="K12" i="1941"/>
  <c r="AF11" i="1941"/>
  <c r="Q11" i="1941"/>
  <c r="AF10" i="1941"/>
  <c r="Q10" i="1941"/>
  <c r="P10" i="1941"/>
  <c r="AC10" i="1941" s="1"/>
  <c r="AB10" i="1941"/>
  <c r="AF9" i="1941"/>
  <c r="Q9" i="1941"/>
  <c r="P9" i="1941" s="1"/>
  <c r="AC9" i="1941" s="1"/>
  <c r="O9" i="1941"/>
  <c r="M9" i="1941"/>
  <c r="AF8" i="1941"/>
  <c r="Q8" i="1941"/>
  <c r="AF7" i="1941"/>
  <c r="AB7" i="1941"/>
  <c r="Q7" i="1941"/>
  <c r="P7" i="1941"/>
  <c r="AC7" i="1941" s="1"/>
  <c r="O7" i="1941"/>
  <c r="M7" i="1941"/>
  <c r="K7" i="1941"/>
  <c r="AF6" i="1941"/>
  <c r="AB6" i="1941"/>
  <c r="Q6" i="1941"/>
  <c r="P6" i="1941"/>
  <c r="AC6" i="1941" s="1"/>
  <c r="O6" i="1941"/>
  <c r="M6" i="1941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2" i="1940"/>
  <c r="L21" i="1940"/>
  <c r="K21" i="1940" s="1"/>
  <c r="L20" i="1940"/>
  <c r="K20" i="1940"/>
  <c r="L19" i="1940"/>
  <c r="K19" i="1940" s="1"/>
  <c r="L18" i="1940"/>
  <c r="K18" i="1940" s="1"/>
  <c r="L17" i="1940"/>
  <c r="K17" i="1940" s="1"/>
  <c r="L16" i="1940"/>
  <c r="K16" i="1940" s="1"/>
  <c r="K14" i="1940"/>
  <c r="L13" i="1940"/>
  <c r="L11" i="1940"/>
  <c r="L10" i="1940"/>
  <c r="L9" i="1940"/>
  <c r="L8" i="1940"/>
  <c r="K8" i="1940" s="1"/>
  <c r="L6" i="1940"/>
  <c r="K6" i="1940" s="1"/>
  <c r="AB11" i="1942" l="1"/>
  <c r="AF65" i="1942"/>
  <c r="P11" i="1942"/>
  <c r="AC11" i="1942" s="1"/>
  <c r="K11" i="1942"/>
  <c r="AD8" i="1942"/>
  <c r="AD7" i="1942"/>
  <c r="AD16" i="1942"/>
  <c r="Q24" i="1942"/>
  <c r="AD12" i="1942"/>
  <c r="P6" i="1942"/>
  <c r="AD14" i="1942"/>
  <c r="AD15" i="1942"/>
  <c r="AD9" i="1942"/>
  <c r="AD17" i="1942"/>
  <c r="AD13" i="1942"/>
  <c r="AD20" i="1942"/>
  <c r="AC6" i="1942"/>
  <c r="AD22" i="1942"/>
  <c r="M6" i="1942"/>
  <c r="AB6" i="1942"/>
  <c r="M10" i="1942"/>
  <c r="AB10" i="1942"/>
  <c r="O11" i="1942"/>
  <c r="AD11" i="1942" s="1"/>
  <c r="O19" i="1942"/>
  <c r="M21" i="1942"/>
  <c r="AB21" i="1942"/>
  <c r="AD21" i="1942" s="1"/>
  <c r="M23" i="1942"/>
  <c r="AB23" i="1942"/>
  <c r="AD23" i="1942" s="1"/>
  <c r="L24" i="1942"/>
  <c r="O24" i="1942" s="1"/>
  <c r="O6" i="1942"/>
  <c r="M9" i="1942"/>
  <c r="O10" i="1942"/>
  <c r="P19" i="1942"/>
  <c r="AC19" i="1942" s="1"/>
  <c r="M22" i="1942"/>
  <c r="K24" i="1942"/>
  <c r="M19" i="1942"/>
  <c r="AD21" i="1941"/>
  <c r="P17" i="1941"/>
  <c r="AC17" i="1941" s="1"/>
  <c r="AB17" i="1941"/>
  <c r="K17" i="1941"/>
  <c r="AD22" i="1941"/>
  <c r="AD7" i="1941"/>
  <c r="AF64" i="1941"/>
  <c r="L23" i="1941"/>
  <c r="O23" i="1941" s="1"/>
  <c r="K8" i="1941"/>
  <c r="K23" i="1941" s="1"/>
  <c r="Q23" i="1941"/>
  <c r="P8" i="1941"/>
  <c r="AC8" i="1941" s="1"/>
  <c r="AB8" i="1941"/>
  <c r="AD6" i="1941"/>
  <c r="AD12" i="1941"/>
  <c r="AD17" i="1941"/>
  <c r="AD15" i="1941"/>
  <c r="AD14" i="1941"/>
  <c r="AD13" i="1941"/>
  <c r="AB9" i="1941"/>
  <c r="O10" i="1941"/>
  <c r="AD10" i="1941" s="1"/>
  <c r="P11" i="1941"/>
  <c r="AC11" i="1941" s="1"/>
  <c r="O18" i="1941"/>
  <c r="P19" i="1941"/>
  <c r="AC19" i="1941" s="1"/>
  <c r="M16" i="1941"/>
  <c r="AB16" i="1941"/>
  <c r="AD16" i="1941" s="1"/>
  <c r="P18" i="1941"/>
  <c r="AC18" i="1941" s="1"/>
  <c r="O8" i="1941"/>
  <c r="M11" i="1941"/>
  <c r="AB11" i="1941"/>
  <c r="M19" i="1941"/>
  <c r="AB19" i="1941"/>
  <c r="M10" i="1941"/>
  <c r="M13" i="1941"/>
  <c r="M18" i="1941"/>
  <c r="K22" i="1940"/>
  <c r="K13" i="1940"/>
  <c r="K12" i="1940"/>
  <c r="K11" i="1940"/>
  <c r="K10" i="1940"/>
  <c r="K9" i="1940"/>
  <c r="A78" i="1940"/>
  <c r="A79" i="1940" s="1"/>
  <c r="A80" i="1940" s="1"/>
  <c r="A81" i="1940" s="1"/>
  <c r="A82" i="1940" s="1"/>
  <c r="A83" i="1940" s="1"/>
  <c r="AF62" i="1940"/>
  <c r="AF61" i="1940"/>
  <c r="AF64" i="1940" s="1"/>
  <c r="AA23" i="1940"/>
  <c r="Z23" i="1940"/>
  <c r="Y23" i="1940"/>
  <c r="X23" i="1940"/>
  <c r="W23" i="1940"/>
  <c r="V23" i="1940"/>
  <c r="U23" i="1940"/>
  <c r="T23" i="1940"/>
  <c r="S23" i="1940"/>
  <c r="R23" i="1940"/>
  <c r="N23" i="1940"/>
  <c r="J23" i="1940"/>
  <c r="I23" i="1940"/>
  <c r="AF22" i="1940"/>
  <c r="Q22" i="1940"/>
  <c r="P22" i="1940"/>
  <c r="AC22" i="1940" s="1"/>
  <c r="O22" i="1940"/>
  <c r="AF21" i="1940"/>
  <c r="AB21" i="1940"/>
  <c r="Q21" i="1940"/>
  <c r="P21" i="1940" s="1"/>
  <c r="AC21" i="1940" s="1"/>
  <c r="O21" i="1940"/>
  <c r="M21" i="1940"/>
  <c r="AF20" i="1940"/>
  <c r="AB20" i="1940"/>
  <c r="Q20" i="1940"/>
  <c r="P20" i="1940" s="1"/>
  <c r="AC20" i="1940" s="1"/>
  <c r="O20" i="1940"/>
  <c r="M20" i="1940"/>
  <c r="AF19" i="1940"/>
  <c r="Q19" i="1940"/>
  <c r="P19" i="1940" s="1"/>
  <c r="AC19" i="1940" s="1"/>
  <c r="AF18" i="1940"/>
  <c r="AB18" i="1940"/>
  <c r="Q18" i="1940"/>
  <c r="P18" i="1940"/>
  <c r="AC18" i="1940" s="1"/>
  <c r="O18" i="1940"/>
  <c r="M18" i="1940"/>
  <c r="AF17" i="1940"/>
  <c r="AB17" i="1940"/>
  <c r="Q17" i="1940"/>
  <c r="P17" i="1940" s="1"/>
  <c r="AC17" i="1940" s="1"/>
  <c r="O17" i="1940"/>
  <c r="M17" i="1940"/>
  <c r="AF16" i="1940"/>
  <c r="AB16" i="1940"/>
  <c r="Q16" i="1940"/>
  <c r="P16" i="1940"/>
  <c r="AC16" i="1940" s="1"/>
  <c r="O16" i="1940"/>
  <c r="M16" i="1940"/>
  <c r="AF15" i="1940"/>
  <c r="AB15" i="1940"/>
  <c r="Q15" i="1940"/>
  <c r="P15" i="1940"/>
  <c r="AC15" i="1940" s="1"/>
  <c r="O15" i="1940"/>
  <c r="M15" i="1940"/>
  <c r="K15" i="1940"/>
  <c r="AF14" i="1940"/>
  <c r="AB14" i="1940"/>
  <c r="Q14" i="1940"/>
  <c r="P14" i="1940"/>
  <c r="AC14" i="1940" s="1"/>
  <c r="O14" i="1940"/>
  <c r="M14" i="1940"/>
  <c r="AF13" i="1940"/>
  <c r="AB13" i="1940"/>
  <c r="Q13" i="1940"/>
  <c r="P13" i="1940" s="1"/>
  <c r="AC13" i="1940" s="1"/>
  <c r="O13" i="1940"/>
  <c r="M13" i="1940"/>
  <c r="AF12" i="1940"/>
  <c r="AB12" i="1940"/>
  <c r="Q12" i="1940"/>
  <c r="P12" i="1940" s="1"/>
  <c r="AC12" i="1940" s="1"/>
  <c r="O12" i="1940"/>
  <c r="M12" i="1940"/>
  <c r="AF11" i="1940"/>
  <c r="AB11" i="1940"/>
  <c r="Q11" i="1940"/>
  <c r="P11" i="1940" s="1"/>
  <c r="AC11" i="1940" s="1"/>
  <c r="O11" i="1940"/>
  <c r="M11" i="1940"/>
  <c r="AF10" i="1940"/>
  <c r="AB10" i="1940"/>
  <c r="Q10" i="1940"/>
  <c r="P10" i="1940" s="1"/>
  <c r="AC10" i="1940" s="1"/>
  <c r="O10" i="1940"/>
  <c r="M10" i="1940"/>
  <c r="AF9" i="1940"/>
  <c r="Q9" i="1940"/>
  <c r="P9" i="1940"/>
  <c r="AC9" i="1940" s="1"/>
  <c r="AF8" i="1940"/>
  <c r="AB8" i="1940"/>
  <c r="Q8" i="1940"/>
  <c r="P8" i="1940"/>
  <c r="AC8" i="1940" s="1"/>
  <c r="O8" i="1940"/>
  <c r="M8" i="1940"/>
  <c r="AF7" i="1940"/>
  <c r="AB7" i="1940"/>
  <c r="Q7" i="1940"/>
  <c r="P7" i="1940"/>
  <c r="AC7" i="1940" s="1"/>
  <c r="O7" i="1940"/>
  <c r="M7" i="1940"/>
  <c r="K7" i="1940"/>
  <c r="AF6" i="1940"/>
  <c r="Q6" i="1940"/>
  <c r="P6" i="1940" s="1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0" i="1939"/>
  <c r="AF19" i="1939"/>
  <c r="AB19" i="1939"/>
  <c r="Q19" i="1939"/>
  <c r="P19" i="1939" s="1"/>
  <c r="AC19" i="1939" s="1"/>
  <c r="AD19" i="1939" s="1"/>
  <c r="O19" i="1939"/>
  <c r="M19" i="1939"/>
  <c r="K19" i="1939"/>
  <c r="L10" i="1939"/>
  <c r="M10" i="1939" s="1"/>
  <c r="AF10" i="1939"/>
  <c r="Q10" i="1939"/>
  <c r="O10" i="1939"/>
  <c r="AF18" i="1939"/>
  <c r="Q18" i="1939"/>
  <c r="L18" i="1939"/>
  <c r="AB18" i="1939" s="1"/>
  <c r="K7" i="1939"/>
  <c r="AF7" i="1939"/>
  <c r="Q7" i="1939"/>
  <c r="O7" i="1939"/>
  <c r="AB7" i="1939"/>
  <c r="L25" i="1939"/>
  <c r="K25" i="1939" s="1"/>
  <c r="L22" i="1939"/>
  <c r="K22" i="1939" s="1"/>
  <c r="L21" i="1939"/>
  <c r="K21" i="1939" s="1"/>
  <c r="K20" i="1939"/>
  <c r="L15" i="1939"/>
  <c r="K15" i="1939" s="1"/>
  <c r="L13" i="1939"/>
  <c r="K13" i="1939" s="1"/>
  <c r="L12" i="1939"/>
  <c r="L11" i="1939"/>
  <c r="K11" i="1939" s="1"/>
  <c r="K9" i="1939"/>
  <c r="L6" i="1939"/>
  <c r="K6" i="1939" s="1"/>
  <c r="K24" i="1939"/>
  <c r="K23" i="1939"/>
  <c r="K17" i="1939"/>
  <c r="K14" i="1939"/>
  <c r="K8" i="1939"/>
  <c r="A81" i="1939"/>
  <c r="A82" i="1939" s="1"/>
  <c r="A83" i="1939" s="1"/>
  <c r="A84" i="1939" s="1"/>
  <c r="A85" i="1939" s="1"/>
  <c r="A86" i="1939" s="1"/>
  <c r="AF65" i="1939"/>
  <c r="AF64" i="1939"/>
  <c r="AA26" i="1939"/>
  <c r="Z26" i="1939"/>
  <c r="Y26" i="1939"/>
  <c r="X26" i="1939"/>
  <c r="W26" i="1939"/>
  <c r="V26" i="1939"/>
  <c r="U26" i="1939"/>
  <c r="T26" i="1939"/>
  <c r="S26" i="1939"/>
  <c r="R26" i="1939"/>
  <c r="N26" i="1939"/>
  <c r="J26" i="1939"/>
  <c r="I26" i="1939"/>
  <c r="AF25" i="1939"/>
  <c r="Q25" i="1939"/>
  <c r="AF24" i="1939"/>
  <c r="Q24" i="1939"/>
  <c r="P24" i="1939"/>
  <c r="AC24" i="1939" s="1"/>
  <c r="O24" i="1939"/>
  <c r="AB24" i="1939"/>
  <c r="AF23" i="1939"/>
  <c r="AB23" i="1939"/>
  <c r="Q23" i="1939"/>
  <c r="O23" i="1939"/>
  <c r="M23" i="1939"/>
  <c r="P23" i="1939"/>
  <c r="AC23" i="1939" s="1"/>
  <c r="AF22" i="1939"/>
  <c r="Q22" i="1939"/>
  <c r="AF21" i="1939"/>
  <c r="Q21" i="1939"/>
  <c r="P21" i="1939" s="1"/>
  <c r="AC21" i="1939" s="1"/>
  <c r="O21" i="1939"/>
  <c r="AF20" i="1939"/>
  <c r="AB20" i="1939"/>
  <c r="Q20" i="1939"/>
  <c r="AF17" i="1939"/>
  <c r="Q17" i="1939"/>
  <c r="P17" i="1939"/>
  <c r="AC17" i="1939" s="1"/>
  <c r="AF16" i="1939"/>
  <c r="AB16" i="1939"/>
  <c r="Q16" i="1939"/>
  <c r="P16" i="1939"/>
  <c r="AC16" i="1939" s="1"/>
  <c r="O16" i="1939"/>
  <c r="M16" i="1939"/>
  <c r="K16" i="1939"/>
  <c r="AF15" i="1939"/>
  <c r="Q15" i="1939"/>
  <c r="AF14" i="1939"/>
  <c r="Q14" i="1939"/>
  <c r="M14" i="1939"/>
  <c r="AF13" i="1939"/>
  <c r="Q13" i="1939"/>
  <c r="AF12" i="1939"/>
  <c r="Q12" i="1939"/>
  <c r="AF11" i="1939"/>
  <c r="Q11" i="1939"/>
  <c r="M11" i="1939"/>
  <c r="AF9" i="1939"/>
  <c r="AB9" i="1939"/>
  <c r="Q9" i="1939"/>
  <c r="P9" i="1939" s="1"/>
  <c r="AC9" i="1939" s="1"/>
  <c r="O9" i="1939"/>
  <c r="M9" i="1939"/>
  <c r="AF8" i="1939"/>
  <c r="AB8" i="1939"/>
  <c r="Q8" i="1939"/>
  <c r="P8" i="1939"/>
  <c r="AC8" i="1939" s="1"/>
  <c r="O8" i="1939"/>
  <c r="M8" i="1939"/>
  <c r="AF6" i="1939"/>
  <c r="Q6" i="1939"/>
  <c r="M6" i="1939"/>
  <c r="L21" i="1938"/>
  <c r="L20" i="1938"/>
  <c r="L19" i="1938"/>
  <c r="AB19" i="1938" s="1"/>
  <c r="L18" i="1938"/>
  <c r="K18" i="1938"/>
  <c r="L17" i="1938"/>
  <c r="P17" i="1938" s="1"/>
  <c r="AC17" i="1938" s="1"/>
  <c r="L15" i="1938"/>
  <c r="K15" i="1938" s="1"/>
  <c r="L13" i="1938"/>
  <c r="K13" i="1938" s="1"/>
  <c r="L12" i="1938"/>
  <c r="K12" i="1938" s="1"/>
  <c r="L11" i="1938"/>
  <c r="K11" i="1938"/>
  <c r="L10" i="1938"/>
  <c r="K10" i="1938" s="1"/>
  <c r="L9" i="1938"/>
  <c r="L7" i="1938"/>
  <c r="K7" i="1938" s="1"/>
  <c r="L6" i="1938"/>
  <c r="K6" i="1938" s="1"/>
  <c r="K21" i="1938"/>
  <c r="K20" i="1938"/>
  <c r="K19" i="1938"/>
  <c r="K9" i="1938"/>
  <c r="K8" i="1938"/>
  <c r="A77" i="1938"/>
  <c r="A78" i="1938" s="1"/>
  <c r="A79" i="1938" s="1"/>
  <c r="A80" i="1938" s="1"/>
  <c r="A81" i="1938" s="1"/>
  <c r="A82" i="1938" s="1"/>
  <c r="AF61" i="1938"/>
  <c r="AF60" i="1938"/>
  <c r="AF63" i="1938" s="1"/>
  <c r="AA22" i="1938"/>
  <c r="Z22" i="1938"/>
  <c r="Y22" i="1938"/>
  <c r="X22" i="1938"/>
  <c r="W22" i="1938"/>
  <c r="V22" i="1938"/>
  <c r="U22" i="1938"/>
  <c r="T22" i="1938"/>
  <c r="S22" i="1938"/>
  <c r="R22" i="1938"/>
  <c r="N22" i="1938"/>
  <c r="J22" i="1938"/>
  <c r="I22" i="1938"/>
  <c r="AF21" i="1938"/>
  <c r="Q21" i="1938"/>
  <c r="P21" i="1938"/>
  <c r="AC21" i="1938" s="1"/>
  <c r="O21" i="1938"/>
  <c r="AF20" i="1938"/>
  <c r="Q20" i="1938"/>
  <c r="P20" i="1938" s="1"/>
  <c r="AC20" i="1938" s="1"/>
  <c r="O20" i="1938"/>
  <c r="AB20" i="1938"/>
  <c r="AF19" i="1938"/>
  <c r="Q19" i="1938"/>
  <c r="O19" i="1938"/>
  <c r="M19" i="1938"/>
  <c r="AF18" i="1938"/>
  <c r="Q18" i="1938"/>
  <c r="AB18" i="1938"/>
  <c r="AF17" i="1938"/>
  <c r="Q17" i="1938"/>
  <c r="O17" i="1938"/>
  <c r="AF16" i="1938"/>
  <c r="AB16" i="1938"/>
  <c r="Q16" i="1938"/>
  <c r="P16" i="1938"/>
  <c r="AC16" i="1938" s="1"/>
  <c r="AD16" i="1938" s="1"/>
  <c r="O16" i="1938"/>
  <c r="M16" i="1938"/>
  <c r="K16" i="1938"/>
  <c r="AF15" i="1938"/>
  <c r="AB15" i="1938"/>
  <c r="Q15" i="1938"/>
  <c r="P15" i="1938" s="1"/>
  <c r="AC15" i="1938" s="1"/>
  <c r="O15" i="1938"/>
  <c r="M15" i="1938"/>
  <c r="AF14" i="1938"/>
  <c r="AC14" i="1938"/>
  <c r="AD14" i="1938" s="1"/>
  <c r="AB14" i="1938"/>
  <c r="Q14" i="1938"/>
  <c r="P14" i="1938"/>
  <c r="O14" i="1938"/>
  <c r="M14" i="1938"/>
  <c r="K14" i="1938"/>
  <c r="AF13" i="1938"/>
  <c r="Q13" i="1938"/>
  <c r="AF12" i="1938"/>
  <c r="Q12" i="1938"/>
  <c r="AF11" i="1938"/>
  <c r="Q11" i="1938"/>
  <c r="AB11" i="1938"/>
  <c r="AF10" i="1938"/>
  <c r="AB10" i="1938"/>
  <c r="Q10" i="1938"/>
  <c r="P10" i="1938" s="1"/>
  <c r="AC10" i="1938" s="1"/>
  <c r="O10" i="1938"/>
  <c r="M10" i="1938"/>
  <c r="AF9" i="1938"/>
  <c r="Q9" i="1938"/>
  <c r="P9" i="1938"/>
  <c r="AC9" i="1938" s="1"/>
  <c r="O9" i="1938"/>
  <c r="AF8" i="1938"/>
  <c r="Q8" i="1938"/>
  <c r="P8" i="1938"/>
  <c r="AC8" i="1938" s="1"/>
  <c r="O8" i="1938"/>
  <c r="AB8" i="1938"/>
  <c r="AF7" i="1938"/>
  <c r="AB7" i="1938"/>
  <c r="Q7" i="1938"/>
  <c r="M7" i="1938"/>
  <c r="AF6" i="1938"/>
  <c r="AB6" i="1938"/>
  <c r="Q6" i="1938"/>
  <c r="O6" i="1938"/>
  <c r="M6" i="1938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1" i="1937"/>
  <c r="K21" i="1937" s="1"/>
  <c r="L20" i="1937"/>
  <c r="M20" i="1937" s="1"/>
  <c r="L19" i="1937"/>
  <c r="K19" i="1937"/>
  <c r="L18" i="1937"/>
  <c r="L17" i="1937"/>
  <c r="L13" i="1937"/>
  <c r="K13" i="1937" s="1"/>
  <c r="L12" i="1937"/>
  <c r="K12" i="1937" s="1"/>
  <c r="L11" i="1937"/>
  <c r="AB11" i="1937" s="1"/>
  <c r="L9" i="1937"/>
  <c r="K9" i="1937" s="1"/>
  <c r="L8" i="1937"/>
  <c r="L7" i="1937"/>
  <c r="K7" i="1937" s="1"/>
  <c r="K18" i="1937"/>
  <c r="K17" i="1937"/>
  <c r="K16" i="1937"/>
  <c r="K8" i="1937"/>
  <c r="A77" i="1937"/>
  <c r="A78" i="1937" s="1"/>
  <c r="A79" i="1937" s="1"/>
  <c r="A80" i="1937" s="1"/>
  <c r="A81" i="1937" s="1"/>
  <c r="A82" i="1937" s="1"/>
  <c r="AF61" i="1937"/>
  <c r="AF60" i="1937"/>
  <c r="AF63" i="1937" s="1"/>
  <c r="AA22" i="1937"/>
  <c r="Z22" i="1937"/>
  <c r="Y22" i="1937"/>
  <c r="X22" i="1937"/>
  <c r="W22" i="1937"/>
  <c r="V22" i="1937"/>
  <c r="U22" i="1937"/>
  <c r="T22" i="1937"/>
  <c r="S22" i="1937"/>
  <c r="R22" i="1937"/>
  <c r="N22" i="1937"/>
  <c r="J22" i="1937"/>
  <c r="I22" i="1937"/>
  <c r="AF21" i="1937"/>
  <c r="Q21" i="1937"/>
  <c r="P21" i="1937"/>
  <c r="AC21" i="1937" s="1"/>
  <c r="AF20" i="1937"/>
  <c r="AB20" i="1937"/>
  <c r="Q20" i="1937"/>
  <c r="AF19" i="1937"/>
  <c r="Q19" i="1937"/>
  <c r="AB19" i="1937"/>
  <c r="AF18" i="1937"/>
  <c r="AB18" i="1937"/>
  <c r="Q18" i="1937"/>
  <c r="P18" i="1937" s="1"/>
  <c r="AC18" i="1937" s="1"/>
  <c r="O18" i="1937"/>
  <c r="M18" i="1937"/>
  <c r="AF17" i="1937"/>
  <c r="AB17" i="1937"/>
  <c r="Q17" i="1937"/>
  <c r="O17" i="1937"/>
  <c r="M17" i="1937"/>
  <c r="P17" i="1937"/>
  <c r="AC17" i="1937" s="1"/>
  <c r="AF16" i="1937"/>
  <c r="AB16" i="1937"/>
  <c r="Q16" i="1937"/>
  <c r="P16" i="1937"/>
  <c r="AC16" i="1937" s="1"/>
  <c r="O16" i="1937"/>
  <c r="M16" i="1937"/>
  <c r="AF15" i="1937"/>
  <c r="AB15" i="1937"/>
  <c r="Q15" i="1937"/>
  <c r="P15" i="1937"/>
  <c r="AC15" i="1937" s="1"/>
  <c r="O15" i="1937"/>
  <c r="M15" i="1937"/>
  <c r="K15" i="1937"/>
  <c r="AF14" i="1937"/>
  <c r="AB14" i="1937"/>
  <c r="Q14" i="1937"/>
  <c r="P14" i="1937"/>
  <c r="AC14" i="1937" s="1"/>
  <c r="AD14" i="1937" s="1"/>
  <c r="O14" i="1937"/>
  <c r="M14" i="1937"/>
  <c r="K14" i="1937"/>
  <c r="AF13" i="1937"/>
  <c r="AB13" i="1937"/>
  <c r="Q13" i="1937"/>
  <c r="AF12" i="1937"/>
  <c r="Q12" i="1937"/>
  <c r="AB12" i="1937"/>
  <c r="AF11" i="1937"/>
  <c r="Q11" i="1937"/>
  <c r="M11" i="1937"/>
  <c r="AF10" i="1937"/>
  <c r="AB10" i="1937"/>
  <c r="Q10" i="1937"/>
  <c r="P10" i="1937"/>
  <c r="AC10" i="1937" s="1"/>
  <c r="AD10" i="1937" s="1"/>
  <c r="O10" i="1937"/>
  <c r="M10" i="1937"/>
  <c r="K10" i="1937"/>
  <c r="AF9" i="1937"/>
  <c r="Q9" i="1937"/>
  <c r="P9" i="1937"/>
  <c r="AC9" i="1937" s="1"/>
  <c r="AF8" i="1937"/>
  <c r="AB8" i="1937"/>
  <c r="Q8" i="1937"/>
  <c r="O8" i="1937"/>
  <c r="M8" i="1937"/>
  <c r="P8" i="1937"/>
  <c r="AC8" i="1937" s="1"/>
  <c r="AD8" i="1937" s="1"/>
  <c r="AF7" i="1937"/>
  <c r="AB7" i="1937"/>
  <c r="Q7" i="1937"/>
  <c r="P7" i="1937" s="1"/>
  <c r="AC7" i="1937" s="1"/>
  <c r="O7" i="1937"/>
  <c r="M7" i="1937"/>
  <c r="AF6" i="1937"/>
  <c r="AB6" i="1937"/>
  <c r="Q6" i="1937"/>
  <c r="P6" i="1937"/>
  <c r="AC6" i="1937" s="1"/>
  <c r="O6" i="1937"/>
  <c r="M6" i="1937"/>
  <c r="K6" i="1937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1" i="1936"/>
  <c r="AB21" i="1936" s="1"/>
  <c r="L20" i="1936"/>
  <c r="L19" i="1936"/>
  <c r="K19" i="1936" s="1"/>
  <c r="L18" i="1936"/>
  <c r="AB18" i="1936" s="1"/>
  <c r="AF17" i="1936"/>
  <c r="AB17" i="1936"/>
  <c r="Q17" i="1936"/>
  <c r="P17" i="1936"/>
  <c r="AC17" i="1936" s="1"/>
  <c r="O17" i="1936"/>
  <c r="M17" i="1936"/>
  <c r="K17" i="1936"/>
  <c r="K16" i="1936"/>
  <c r="L13" i="1936"/>
  <c r="K13" i="1936" s="1"/>
  <c r="L12" i="1936"/>
  <c r="K12" i="1936" s="1"/>
  <c r="K11" i="1936"/>
  <c r="L9" i="1936"/>
  <c r="M9" i="1936" s="1"/>
  <c r="L8" i="1936"/>
  <c r="K22" i="1936"/>
  <c r="K20" i="1936"/>
  <c r="K9" i="1936"/>
  <c r="K8" i="1936"/>
  <c r="K6" i="1936"/>
  <c r="A78" i="1936"/>
  <c r="A79" i="1936" s="1"/>
  <c r="A80" i="1936" s="1"/>
  <c r="A81" i="1936" s="1"/>
  <c r="A82" i="1936" s="1"/>
  <c r="A83" i="1936" s="1"/>
  <c r="AF62" i="1936"/>
  <c r="AF64" i="1936" s="1"/>
  <c r="AF61" i="1936"/>
  <c r="AA23" i="1936"/>
  <c r="Z23" i="1936"/>
  <c r="Y23" i="1936"/>
  <c r="X23" i="1936"/>
  <c r="W23" i="1936"/>
  <c r="V23" i="1936"/>
  <c r="U23" i="1936"/>
  <c r="T23" i="1936"/>
  <c r="S23" i="1936"/>
  <c r="R23" i="1936"/>
  <c r="N23" i="1936"/>
  <c r="J23" i="1936"/>
  <c r="I23" i="1936"/>
  <c r="AF22" i="1936"/>
  <c r="Q22" i="1936"/>
  <c r="P22" i="1936"/>
  <c r="AC22" i="1936" s="1"/>
  <c r="O22" i="1936"/>
  <c r="AB22" i="1936"/>
  <c r="AF21" i="1936"/>
  <c r="Q21" i="1936"/>
  <c r="O21" i="1936"/>
  <c r="AF20" i="1936"/>
  <c r="AB20" i="1936"/>
  <c r="Q20" i="1936"/>
  <c r="M20" i="1936"/>
  <c r="O20" i="1936"/>
  <c r="AF19" i="1936"/>
  <c r="Q19" i="1936"/>
  <c r="AB19" i="1936"/>
  <c r="AF18" i="1936"/>
  <c r="Q18" i="1936"/>
  <c r="AF16" i="1936"/>
  <c r="AB16" i="1936"/>
  <c r="Q16" i="1936"/>
  <c r="P16" i="1936" s="1"/>
  <c r="AC16" i="1936" s="1"/>
  <c r="O16" i="1936"/>
  <c r="M16" i="1936"/>
  <c r="AF15" i="1936"/>
  <c r="AB15" i="1936"/>
  <c r="Q15" i="1936"/>
  <c r="P15" i="1936"/>
  <c r="AC15" i="1936" s="1"/>
  <c r="AD15" i="1936" s="1"/>
  <c r="O15" i="1936"/>
  <c r="M15" i="1936"/>
  <c r="K15" i="1936"/>
  <c r="AF14" i="1936"/>
  <c r="AB14" i="1936"/>
  <c r="Q14" i="1936"/>
  <c r="P14" i="1936"/>
  <c r="AC14" i="1936" s="1"/>
  <c r="O14" i="1936"/>
  <c r="M14" i="1936"/>
  <c r="K14" i="1936"/>
  <c r="AF13" i="1936"/>
  <c r="AB13" i="1936"/>
  <c r="Q13" i="1936"/>
  <c r="AF12" i="1936"/>
  <c r="AB12" i="1936"/>
  <c r="Q12" i="1936"/>
  <c r="P12" i="1936" s="1"/>
  <c r="AC12" i="1936" s="1"/>
  <c r="M12" i="1936"/>
  <c r="AF11" i="1936"/>
  <c r="Q11" i="1936"/>
  <c r="P11" i="1936"/>
  <c r="AC11" i="1936" s="1"/>
  <c r="AF10" i="1936"/>
  <c r="AB10" i="1936"/>
  <c r="Q10" i="1936"/>
  <c r="P10" i="1936"/>
  <c r="AC10" i="1936" s="1"/>
  <c r="O10" i="1936"/>
  <c r="M10" i="1936"/>
  <c r="K10" i="1936"/>
  <c r="AF9" i="1936"/>
  <c r="AB9" i="1936"/>
  <c r="Q9" i="1936"/>
  <c r="AF8" i="1936"/>
  <c r="Q8" i="1936"/>
  <c r="P8" i="1936" s="1"/>
  <c r="AC8" i="1936" s="1"/>
  <c r="AF7" i="1936"/>
  <c r="AB7" i="1936"/>
  <c r="Q7" i="1936"/>
  <c r="P7" i="1936"/>
  <c r="AC7" i="1936" s="1"/>
  <c r="O7" i="1936"/>
  <c r="M7" i="1936"/>
  <c r="K7" i="1936"/>
  <c r="AF6" i="1936"/>
  <c r="AB6" i="1936"/>
  <c r="Q6" i="1936"/>
  <c r="M6" i="1936"/>
  <c r="P6" i="193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1" i="1935"/>
  <c r="K21" i="1935" s="1"/>
  <c r="L20" i="1935"/>
  <c r="K20" i="1935" s="1"/>
  <c r="L19" i="1935"/>
  <c r="L18" i="1935"/>
  <c r="K18" i="1935" s="1"/>
  <c r="L17" i="1935"/>
  <c r="K17" i="1935" s="1"/>
  <c r="L16" i="1935"/>
  <c r="L13" i="1935"/>
  <c r="L12" i="1935"/>
  <c r="K12" i="1935" s="1"/>
  <c r="L11" i="1935"/>
  <c r="L9" i="1935"/>
  <c r="L8" i="1935"/>
  <c r="K19" i="1935"/>
  <c r="K13" i="1935"/>
  <c r="K9" i="1935"/>
  <c r="K8" i="1935"/>
  <c r="L6" i="1935"/>
  <c r="K6" i="1935" s="1"/>
  <c r="A77" i="1935"/>
  <c r="A78" i="1935" s="1"/>
  <c r="A79" i="1935" s="1"/>
  <c r="A80" i="1935" s="1"/>
  <c r="A81" i="1935" s="1"/>
  <c r="A82" i="1935" s="1"/>
  <c r="AF61" i="1935"/>
  <c r="AF60" i="1935"/>
  <c r="AA22" i="1935"/>
  <c r="Z22" i="1935"/>
  <c r="Y22" i="1935"/>
  <c r="X22" i="1935"/>
  <c r="W22" i="1935"/>
  <c r="V22" i="1935"/>
  <c r="U22" i="1935"/>
  <c r="T22" i="1935"/>
  <c r="S22" i="1935"/>
  <c r="R22" i="1935"/>
  <c r="N22" i="1935"/>
  <c r="J22" i="1935"/>
  <c r="I22" i="1935"/>
  <c r="AF21" i="1935"/>
  <c r="Q21" i="1935"/>
  <c r="AF20" i="1935"/>
  <c r="Q20" i="1935"/>
  <c r="AF19" i="1935"/>
  <c r="Q19" i="1935"/>
  <c r="AB19" i="1935"/>
  <c r="AF18" i="1935"/>
  <c r="Q18" i="1935"/>
  <c r="M18" i="1935"/>
  <c r="AF17" i="1935"/>
  <c r="Q17" i="1935"/>
  <c r="AF16" i="1935"/>
  <c r="AB16" i="1935"/>
  <c r="Q16" i="1935"/>
  <c r="P16" i="1935" s="1"/>
  <c r="AC16" i="1935" s="1"/>
  <c r="O16" i="1935"/>
  <c r="M16" i="1935"/>
  <c r="K16" i="1935"/>
  <c r="AF15" i="1935"/>
  <c r="AC15" i="1935"/>
  <c r="AD15" i="1935" s="1"/>
  <c r="AB15" i="1935"/>
  <c r="Q15" i="1935"/>
  <c r="P15" i="1935"/>
  <c r="O15" i="1935"/>
  <c r="M15" i="1935"/>
  <c r="K15" i="1935"/>
  <c r="AF14" i="1935"/>
  <c r="AB14" i="1935"/>
  <c r="Q14" i="1935"/>
  <c r="P14" i="1935"/>
  <c r="AC14" i="1935" s="1"/>
  <c r="O14" i="1935"/>
  <c r="M14" i="1935"/>
  <c r="K14" i="1935"/>
  <c r="AF13" i="1935"/>
  <c r="AB13" i="1935"/>
  <c r="Q13" i="1935"/>
  <c r="P13" i="1935" s="1"/>
  <c r="AC13" i="1935" s="1"/>
  <c r="O13" i="1935"/>
  <c r="M13" i="1935"/>
  <c r="AF12" i="1935"/>
  <c r="Q12" i="1935"/>
  <c r="AB12" i="1935"/>
  <c r="AF11" i="1935"/>
  <c r="Q11" i="1935"/>
  <c r="K11" i="1935"/>
  <c r="AF10" i="1935"/>
  <c r="AB10" i="1935"/>
  <c r="Q10" i="1935"/>
  <c r="P10" i="1935"/>
  <c r="AC10" i="1935" s="1"/>
  <c r="O10" i="1935"/>
  <c r="M10" i="1935"/>
  <c r="K10" i="1935"/>
  <c r="AF9" i="1935"/>
  <c r="Q9" i="1935"/>
  <c r="O9" i="1935"/>
  <c r="AF8" i="1935"/>
  <c r="Q8" i="1935"/>
  <c r="P8" i="1935" s="1"/>
  <c r="AC8" i="1935" s="1"/>
  <c r="AB8" i="1935"/>
  <c r="AF7" i="1935"/>
  <c r="AB7" i="1935"/>
  <c r="Q7" i="1935"/>
  <c r="P7" i="1935" s="1"/>
  <c r="AC7" i="1935" s="1"/>
  <c r="AD7" i="1935" s="1"/>
  <c r="O7" i="1935"/>
  <c r="M7" i="1935"/>
  <c r="K7" i="1935"/>
  <c r="AF6" i="1935"/>
  <c r="AB6" i="1935"/>
  <c r="Q6" i="1935"/>
  <c r="O6" i="1935"/>
  <c r="M6" i="1935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2" i="1934"/>
  <c r="K22" i="1934" s="1"/>
  <c r="L20" i="1934"/>
  <c r="L18" i="1934"/>
  <c r="K18" i="1934" s="1"/>
  <c r="K17" i="1934"/>
  <c r="L13" i="1934"/>
  <c r="M13" i="1934" s="1"/>
  <c r="K12" i="1934"/>
  <c r="L10" i="1934"/>
  <c r="K10" i="1934" s="1"/>
  <c r="L9" i="1934"/>
  <c r="K9" i="1934" s="1"/>
  <c r="L7" i="1934"/>
  <c r="K7" i="1934" s="1"/>
  <c r="K20" i="1934"/>
  <c r="K19" i="1934"/>
  <c r="K14" i="1934"/>
  <c r="K11" i="1934"/>
  <c r="K8" i="1934"/>
  <c r="K6" i="1934"/>
  <c r="A78" i="1934"/>
  <c r="A79" i="1934" s="1"/>
  <c r="A80" i="1934" s="1"/>
  <c r="A81" i="1934" s="1"/>
  <c r="A82" i="1934" s="1"/>
  <c r="A83" i="1934" s="1"/>
  <c r="AF62" i="1934"/>
  <c r="AF61" i="1934"/>
  <c r="AA23" i="1934"/>
  <c r="Z23" i="1934"/>
  <c r="Y23" i="1934"/>
  <c r="X23" i="1934"/>
  <c r="W23" i="1934"/>
  <c r="V23" i="1934"/>
  <c r="U23" i="1934"/>
  <c r="T23" i="1934"/>
  <c r="S23" i="1934"/>
  <c r="R23" i="1934"/>
  <c r="N23" i="1934"/>
  <c r="J23" i="1934"/>
  <c r="I23" i="1934"/>
  <c r="AF22" i="1934"/>
  <c r="Q22" i="1934"/>
  <c r="M22" i="1934"/>
  <c r="AF21" i="1934"/>
  <c r="AB21" i="1934"/>
  <c r="Q21" i="1934"/>
  <c r="P21" i="1934"/>
  <c r="AC21" i="1934" s="1"/>
  <c r="AD21" i="1934" s="1"/>
  <c r="O21" i="1934"/>
  <c r="M21" i="1934"/>
  <c r="K21" i="1934"/>
  <c r="AF20" i="1934"/>
  <c r="Q20" i="1934"/>
  <c r="O20" i="1934"/>
  <c r="M20" i="1934"/>
  <c r="AB20" i="1934"/>
  <c r="AF19" i="1934"/>
  <c r="AB19" i="1934"/>
  <c r="Q19" i="1934"/>
  <c r="P19" i="1934" s="1"/>
  <c r="AC19" i="1934" s="1"/>
  <c r="M19" i="1934"/>
  <c r="AF18" i="1934"/>
  <c r="Q18" i="1934"/>
  <c r="AF17" i="1934"/>
  <c r="AB17" i="1934"/>
  <c r="Q17" i="1934"/>
  <c r="P17" i="1934"/>
  <c r="AC17" i="1934" s="1"/>
  <c r="AD17" i="1934" s="1"/>
  <c r="O17" i="1934"/>
  <c r="M17" i="1934"/>
  <c r="AF16" i="1934"/>
  <c r="AB16" i="1934"/>
  <c r="Q16" i="1934"/>
  <c r="P16" i="1934"/>
  <c r="AC16" i="1934" s="1"/>
  <c r="O16" i="1934"/>
  <c r="M16" i="1934"/>
  <c r="K16" i="1934"/>
  <c r="AF15" i="1934"/>
  <c r="AB15" i="1934"/>
  <c r="Q15" i="1934"/>
  <c r="P15" i="1934"/>
  <c r="AC15" i="1934" s="1"/>
  <c r="O15" i="1934"/>
  <c r="M15" i="1934"/>
  <c r="K15" i="1934"/>
  <c r="AF14" i="1934"/>
  <c r="AB14" i="1934"/>
  <c r="Q14" i="1934"/>
  <c r="O14" i="1934"/>
  <c r="M14" i="1934"/>
  <c r="P14" i="1934"/>
  <c r="AC14" i="1934" s="1"/>
  <c r="AF13" i="1934"/>
  <c r="AB13" i="1934"/>
  <c r="Q13" i="1934"/>
  <c r="P13" i="1934"/>
  <c r="AC13" i="1934" s="1"/>
  <c r="AF12" i="1934"/>
  <c r="Q12" i="1934"/>
  <c r="P12" i="1934"/>
  <c r="AC12" i="1934" s="1"/>
  <c r="AF11" i="1934"/>
  <c r="AB11" i="1934"/>
  <c r="Q11" i="1934"/>
  <c r="O11" i="1934"/>
  <c r="M11" i="1934"/>
  <c r="P11" i="1934"/>
  <c r="AC11" i="1934" s="1"/>
  <c r="AD11" i="1934" s="1"/>
  <c r="AF10" i="1934"/>
  <c r="Q10" i="1934"/>
  <c r="P10" i="1934"/>
  <c r="AC10" i="1934" s="1"/>
  <c r="AF9" i="1934"/>
  <c r="Q9" i="1934"/>
  <c r="AF8" i="1934"/>
  <c r="AB8" i="1934"/>
  <c r="Q8" i="1934"/>
  <c r="P8" i="1934" s="1"/>
  <c r="AC8" i="1934" s="1"/>
  <c r="O8" i="1934"/>
  <c r="M8" i="1934"/>
  <c r="AF7" i="1934"/>
  <c r="AB7" i="1934"/>
  <c r="Q7" i="1934"/>
  <c r="M7" i="1934"/>
  <c r="AF6" i="1934"/>
  <c r="Q6" i="1934"/>
  <c r="D19" i="16"/>
  <c r="D18" i="16"/>
  <c r="D17" i="16"/>
  <c r="D16" i="16"/>
  <c r="L23" i="1933"/>
  <c r="L21" i="1933"/>
  <c r="L20" i="1933"/>
  <c r="K20" i="1933" s="1"/>
  <c r="L19" i="1933"/>
  <c r="L18" i="1933"/>
  <c r="K18" i="1933"/>
  <c r="L15" i="1933"/>
  <c r="L14" i="1933"/>
  <c r="L13" i="1933"/>
  <c r="K13" i="1933"/>
  <c r="L12" i="1933"/>
  <c r="K12" i="1933"/>
  <c r="L11" i="1933"/>
  <c r="K11" i="1933"/>
  <c r="L10" i="1933"/>
  <c r="L9" i="1933"/>
  <c r="K9" i="1933" s="1"/>
  <c r="L8" i="1933"/>
  <c r="K8" i="1933" s="1"/>
  <c r="K7" i="1933"/>
  <c r="AD10" i="1942" l="1"/>
  <c r="AD19" i="1942"/>
  <c r="M24" i="1942"/>
  <c r="P24" i="1942"/>
  <c r="AB24" i="1942"/>
  <c r="AD6" i="1942"/>
  <c r="AC24" i="1942"/>
  <c r="AD18" i="1941"/>
  <c r="AD8" i="1941"/>
  <c r="AB23" i="1941"/>
  <c r="M23" i="1941"/>
  <c r="AD19" i="1941"/>
  <c r="AC23" i="1941"/>
  <c r="AD11" i="1941"/>
  <c r="AD9" i="1941"/>
  <c r="P23" i="1941"/>
  <c r="AD13" i="1940"/>
  <c r="AD7" i="1940"/>
  <c r="Q23" i="1940"/>
  <c r="AD18" i="1940"/>
  <c r="AD15" i="1940"/>
  <c r="AD11" i="1940"/>
  <c r="AD14" i="1940"/>
  <c r="AD17" i="1940"/>
  <c r="AD21" i="1940"/>
  <c r="AD8" i="1940"/>
  <c r="AD12" i="1940"/>
  <c r="AD10" i="1940"/>
  <c r="AD20" i="1940"/>
  <c r="AD16" i="1940"/>
  <c r="AC6" i="1940"/>
  <c r="P23" i="1940"/>
  <c r="AD22" i="1940"/>
  <c r="M22" i="1940"/>
  <c r="AB22" i="1940"/>
  <c r="L23" i="1940"/>
  <c r="O23" i="1940" s="1"/>
  <c r="M6" i="1940"/>
  <c r="AB9" i="1940"/>
  <c r="O6" i="1940"/>
  <c r="O9" i="1940"/>
  <c r="M19" i="1940"/>
  <c r="AB19" i="1940"/>
  <c r="AB6" i="1940"/>
  <c r="M9" i="1940"/>
  <c r="O19" i="1940"/>
  <c r="O6" i="1939"/>
  <c r="AB6" i="1939"/>
  <c r="P10" i="1939"/>
  <c r="AC10" i="1939" s="1"/>
  <c r="K10" i="1939"/>
  <c r="AB10" i="1939"/>
  <c r="M15" i="1939"/>
  <c r="O15" i="1939"/>
  <c r="P12" i="1939"/>
  <c r="AC12" i="1939" s="1"/>
  <c r="P15" i="1939"/>
  <c r="AC15" i="1939" s="1"/>
  <c r="O18" i="1939"/>
  <c r="AB15" i="1939"/>
  <c r="AD15" i="1939" s="1"/>
  <c r="M20" i="1939"/>
  <c r="AB22" i="1939"/>
  <c r="K18" i="1939"/>
  <c r="P18" i="1939"/>
  <c r="AC18" i="1939" s="1"/>
  <c r="O20" i="1939"/>
  <c r="P20" i="1939"/>
  <c r="AC20" i="1939" s="1"/>
  <c r="P25" i="1939"/>
  <c r="AC25" i="1939" s="1"/>
  <c r="M18" i="1939"/>
  <c r="L26" i="1939"/>
  <c r="O26" i="1939" s="1"/>
  <c r="M12" i="1939"/>
  <c r="AB12" i="1939"/>
  <c r="O25" i="1939"/>
  <c r="AF67" i="1939"/>
  <c r="K12" i="1939"/>
  <c r="P7" i="1939"/>
  <c r="AC7" i="1939" s="1"/>
  <c r="AD7" i="1939" s="1"/>
  <c r="O12" i="1939"/>
  <c r="AD23" i="1939"/>
  <c r="M7" i="1939"/>
  <c r="P13" i="1939"/>
  <c r="AC13" i="1939" s="1"/>
  <c r="O13" i="1939"/>
  <c r="Q26" i="1939"/>
  <c r="P11" i="1939"/>
  <c r="AC11" i="1939" s="1"/>
  <c r="AB11" i="1939"/>
  <c r="O11" i="1939"/>
  <c r="AD8" i="1939"/>
  <c r="AD9" i="1939"/>
  <c r="AD16" i="1939"/>
  <c r="AD24" i="1939"/>
  <c r="M17" i="1939"/>
  <c r="P6" i="1939"/>
  <c r="M13" i="1939"/>
  <c r="AB13" i="1939"/>
  <c r="O14" i="1939"/>
  <c r="O17" i="1939"/>
  <c r="M21" i="1939"/>
  <c r="AB21" i="1939"/>
  <c r="AD21" i="1939" s="1"/>
  <c r="O22" i="1939"/>
  <c r="M25" i="1939"/>
  <c r="AB25" i="1939"/>
  <c r="AB14" i="1939"/>
  <c r="AB17" i="1939"/>
  <c r="AD17" i="1939" s="1"/>
  <c r="P14" i="1939"/>
  <c r="AC14" i="1939" s="1"/>
  <c r="P22" i="1939"/>
  <c r="AC22" i="1939" s="1"/>
  <c r="M24" i="1939"/>
  <c r="M22" i="1939"/>
  <c r="P19" i="1938"/>
  <c r="AC19" i="1938" s="1"/>
  <c r="AD19" i="1938" s="1"/>
  <c r="K17" i="1938"/>
  <c r="AB13" i="1938"/>
  <c r="O12" i="1938"/>
  <c r="P12" i="1938"/>
  <c r="AC12" i="1938" s="1"/>
  <c r="P11" i="1938"/>
  <c r="AC11" i="1938" s="1"/>
  <c r="O11" i="1938"/>
  <c r="Q22" i="1938"/>
  <c r="AD10" i="1938"/>
  <c r="O7" i="1938"/>
  <c r="P7" i="1938"/>
  <c r="AC7" i="1938" s="1"/>
  <c r="AD7" i="1938" s="1"/>
  <c r="L22" i="1938"/>
  <c r="O22" i="1938" s="1"/>
  <c r="P6" i="1938"/>
  <c r="AC6" i="1938" s="1"/>
  <c r="AD15" i="1938"/>
  <c r="AD8" i="1938"/>
  <c r="AD20" i="1938"/>
  <c r="AD11" i="1938"/>
  <c r="M9" i="1938"/>
  <c r="AB9" i="1938"/>
  <c r="M12" i="1938"/>
  <c r="AB12" i="1938"/>
  <c r="AD12" i="1938" s="1"/>
  <c r="O13" i="1938"/>
  <c r="M17" i="1938"/>
  <c r="AB17" i="1938"/>
  <c r="AD17" i="1938" s="1"/>
  <c r="O18" i="1938"/>
  <c r="M21" i="1938"/>
  <c r="AB21" i="1938"/>
  <c r="AD21" i="1938" s="1"/>
  <c r="M8" i="1938"/>
  <c r="M11" i="1938"/>
  <c r="K22" i="1938"/>
  <c r="P13" i="1938"/>
  <c r="AC13" i="1938" s="1"/>
  <c r="P18" i="1938"/>
  <c r="AC18" i="1938" s="1"/>
  <c r="AD18" i="1938" s="1"/>
  <c r="M20" i="1938"/>
  <c r="M13" i="1938"/>
  <c r="M18" i="1938"/>
  <c r="M21" i="1937"/>
  <c r="AB21" i="1937"/>
  <c r="AB22" i="1937" s="1"/>
  <c r="O21" i="1937"/>
  <c r="O20" i="1937"/>
  <c r="K20" i="1937"/>
  <c r="M9" i="1937"/>
  <c r="AB9" i="1937"/>
  <c r="O9" i="1937"/>
  <c r="O13" i="1937"/>
  <c r="M13" i="1937"/>
  <c r="O11" i="1937"/>
  <c r="P11" i="1937"/>
  <c r="AC11" i="1937" s="1"/>
  <c r="AD11" i="1937" s="1"/>
  <c r="K11" i="1937"/>
  <c r="K22" i="1937" s="1"/>
  <c r="AD9" i="1937"/>
  <c r="Q22" i="1937"/>
  <c r="AD7" i="1937"/>
  <c r="AD16" i="1937"/>
  <c r="AD17" i="1937"/>
  <c r="AD18" i="1937"/>
  <c r="AD15" i="1937"/>
  <c r="AD6" i="1937"/>
  <c r="O12" i="1937"/>
  <c r="P13" i="1937"/>
  <c r="AC13" i="1937" s="1"/>
  <c r="O19" i="1937"/>
  <c r="P20" i="1937"/>
  <c r="AC20" i="1937" s="1"/>
  <c r="AD20" i="1937" s="1"/>
  <c r="L22" i="1937"/>
  <c r="O22" i="1937" s="1"/>
  <c r="P12" i="1937"/>
  <c r="AC12" i="1937" s="1"/>
  <c r="P19" i="1937"/>
  <c r="AC19" i="1937" s="1"/>
  <c r="AD19" i="1937" s="1"/>
  <c r="M12" i="1937"/>
  <c r="M19" i="1937"/>
  <c r="P21" i="1936"/>
  <c r="AC21" i="1936" s="1"/>
  <c r="AD21" i="1936" s="1"/>
  <c r="K21" i="1936"/>
  <c r="M21" i="1936"/>
  <c r="P18" i="1936"/>
  <c r="AC18" i="1936" s="1"/>
  <c r="AD18" i="1936" s="1"/>
  <c r="K18" i="1936"/>
  <c r="O18" i="1936"/>
  <c r="AD17" i="1936"/>
  <c r="M13" i="1936"/>
  <c r="P9" i="1936"/>
  <c r="AC9" i="1936" s="1"/>
  <c r="O13" i="1936"/>
  <c r="AD14" i="1936"/>
  <c r="P13" i="1936"/>
  <c r="AC13" i="1936" s="1"/>
  <c r="Q23" i="1936"/>
  <c r="AD10" i="1936"/>
  <c r="AD13" i="1936"/>
  <c r="AD16" i="1936"/>
  <c r="AD7" i="1936"/>
  <c r="AD22" i="1936"/>
  <c r="AC6" i="1936"/>
  <c r="O6" i="1936"/>
  <c r="M8" i="1936"/>
  <c r="AB8" i="1936"/>
  <c r="O9" i="1936"/>
  <c r="AD9" i="1936" s="1"/>
  <c r="M11" i="1936"/>
  <c r="AB11" i="1936"/>
  <c r="O12" i="1936"/>
  <c r="AD12" i="1936" s="1"/>
  <c r="M18" i="1936"/>
  <c r="O19" i="1936"/>
  <c r="P20" i="1936"/>
  <c r="AC20" i="1936" s="1"/>
  <c r="AD20" i="1936" s="1"/>
  <c r="M22" i="1936"/>
  <c r="L23" i="1936"/>
  <c r="O23" i="1936" s="1"/>
  <c r="O8" i="1936"/>
  <c r="O11" i="1936"/>
  <c r="P19" i="1936"/>
  <c r="AC19" i="1936" s="1"/>
  <c r="M19" i="1936"/>
  <c r="O21" i="1935"/>
  <c r="P20" i="1935"/>
  <c r="AC20" i="1935" s="1"/>
  <c r="O20" i="1935"/>
  <c r="M20" i="1935"/>
  <c r="AB20" i="1935"/>
  <c r="O18" i="1935"/>
  <c r="P18" i="1935"/>
  <c r="AC18" i="1935" s="1"/>
  <c r="AB18" i="1935"/>
  <c r="O17" i="1935"/>
  <c r="M17" i="1935"/>
  <c r="P11" i="1935"/>
  <c r="AC11" i="1935" s="1"/>
  <c r="M11" i="1935"/>
  <c r="AB11" i="1935"/>
  <c r="O11" i="1935"/>
  <c r="AD10" i="1935"/>
  <c r="AD13" i="1935"/>
  <c r="AD16" i="1935"/>
  <c r="P17" i="1935"/>
  <c r="AC17" i="1935" s="1"/>
  <c r="AB17" i="1935"/>
  <c r="Q22" i="1935"/>
  <c r="P9" i="1935"/>
  <c r="AC9" i="1935" s="1"/>
  <c r="AD14" i="1935"/>
  <c r="O8" i="1935"/>
  <c r="P21" i="1935"/>
  <c r="AC21" i="1935" s="1"/>
  <c r="AF63" i="1935"/>
  <c r="P6" i="1935"/>
  <c r="AC6" i="1935" s="1"/>
  <c r="AD6" i="1935" s="1"/>
  <c r="AD8" i="1935"/>
  <c r="M9" i="1935"/>
  <c r="AB9" i="1935"/>
  <c r="AD9" i="1935" s="1"/>
  <c r="O12" i="1935"/>
  <c r="O19" i="1935"/>
  <c r="M21" i="1935"/>
  <c r="AB21" i="1935"/>
  <c r="L22" i="1935"/>
  <c r="O22" i="1935" s="1"/>
  <c r="M8" i="1935"/>
  <c r="P12" i="1935"/>
  <c r="AC12" i="1935" s="1"/>
  <c r="AD12" i="1935" s="1"/>
  <c r="P19" i="1935"/>
  <c r="AC19" i="1935" s="1"/>
  <c r="M12" i="1935"/>
  <c r="M19" i="1935"/>
  <c r="P22" i="1934"/>
  <c r="AC22" i="1934" s="1"/>
  <c r="O22" i="1934"/>
  <c r="AB22" i="1934"/>
  <c r="P18" i="1934"/>
  <c r="AC18" i="1934" s="1"/>
  <c r="K13" i="1934"/>
  <c r="AD14" i="1934"/>
  <c r="AD16" i="1934"/>
  <c r="O7" i="1934"/>
  <c r="P7" i="1934"/>
  <c r="AC7" i="1934" s="1"/>
  <c r="AF64" i="1934"/>
  <c r="M10" i="1934"/>
  <c r="AB10" i="1934"/>
  <c r="P9" i="1934"/>
  <c r="AC9" i="1934" s="1"/>
  <c r="Q23" i="1934"/>
  <c r="AD8" i="1934"/>
  <c r="P6" i="1934"/>
  <c r="AD15" i="1934"/>
  <c r="AD7" i="1934"/>
  <c r="AC6" i="1934"/>
  <c r="M6" i="1934"/>
  <c r="AB6" i="1934"/>
  <c r="M9" i="1934"/>
  <c r="AB9" i="1934"/>
  <c r="O10" i="1934"/>
  <c r="M12" i="1934"/>
  <c r="AB12" i="1934"/>
  <c r="O13" i="1934"/>
  <c r="AD13" i="1934" s="1"/>
  <c r="M18" i="1934"/>
  <c r="AB18" i="1934"/>
  <c r="O19" i="1934"/>
  <c r="AD19" i="1934" s="1"/>
  <c r="P20" i="1934"/>
  <c r="AC20" i="1934" s="1"/>
  <c r="AD20" i="1934" s="1"/>
  <c r="L23" i="1934"/>
  <c r="O23" i="1934" s="1"/>
  <c r="O6" i="1934"/>
  <c r="O9" i="1934"/>
  <c r="O12" i="1934"/>
  <c r="O18" i="1934"/>
  <c r="K23" i="1934"/>
  <c r="L6" i="1933"/>
  <c r="K23" i="1933"/>
  <c r="K22" i="1933"/>
  <c r="K21" i="1933"/>
  <c r="K19" i="1933"/>
  <c r="K16" i="1933"/>
  <c r="K15" i="1933"/>
  <c r="K14" i="1933"/>
  <c r="K10" i="1933"/>
  <c r="A79" i="1933"/>
  <c r="A80" i="1933" s="1"/>
  <c r="A81" i="1933" s="1"/>
  <c r="A82" i="1933" s="1"/>
  <c r="A83" i="1933" s="1"/>
  <c r="A84" i="1933" s="1"/>
  <c r="AF63" i="1933"/>
  <c r="AF62" i="1933"/>
  <c r="AA24" i="1933"/>
  <c r="Z24" i="1933"/>
  <c r="Y24" i="1933"/>
  <c r="X24" i="1933"/>
  <c r="W24" i="1933"/>
  <c r="V24" i="1933"/>
  <c r="U24" i="1933"/>
  <c r="T24" i="1933"/>
  <c r="S24" i="1933"/>
  <c r="R24" i="1933"/>
  <c r="N24" i="1933"/>
  <c r="J24" i="1933"/>
  <c r="I24" i="1933"/>
  <c r="AF23" i="1933"/>
  <c r="AB23" i="1933"/>
  <c r="Q23" i="1933"/>
  <c r="P23" i="1933" s="1"/>
  <c r="AC23" i="1933" s="1"/>
  <c r="O23" i="1933"/>
  <c r="M23" i="1933"/>
  <c r="AF22" i="1933"/>
  <c r="Q22" i="1933"/>
  <c r="P22" i="1933"/>
  <c r="AC22" i="1933" s="1"/>
  <c r="AF21" i="1933"/>
  <c r="Q21" i="1933"/>
  <c r="P21" i="1933" s="1"/>
  <c r="AC21" i="1933" s="1"/>
  <c r="O21" i="1933"/>
  <c r="AF20" i="1933"/>
  <c r="AB20" i="1933"/>
  <c r="Q20" i="1933"/>
  <c r="P20" i="1933"/>
  <c r="AC20" i="1933" s="1"/>
  <c r="O20" i="1933"/>
  <c r="M20" i="1933"/>
  <c r="AF19" i="1933"/>
  <c r="Q19" i="1933"/>
  <c r="P19" i="1933" s="1"/>
  <c r="AC19" i="1933" s="1"/>
  <c r="O19" i="1933"/>
  <c r="AF18" i="1933"/>
  <c r="AB18" i="1933"/>
  <c r="Q18" i="1933"/>
  <c r="P18" i="1933" s="1"/>
  <c r="AC18" i="1933" s="1"/>
  <c r="O18" i="1933"/>
  <c r="M18" i="1933"/>
  <c r="AF17" i="1933"/>
  <c r="AB17" i="1933"/>
  <c r="Q17" i="1933"/>
  <c r="P17" i="1933"/>
  <c r="AC17" i="1933" s="1"/>
  <c r="O17" i="1933"/>
  <c r="M17" i="1933"/>
  <c r="K17" i="1933"/>
  <c r="AF16" i="1933"/>
  <c r="Q16" i="1933"/>
  <c r="P16" i="1933"/>
  <c r="AC16" i="1933" s="1"/>
  <c r="O16" i="1933"/>
  <c r="AB16" i="1933"/>
  <c r="AF15" i="1933"/>
  <c r="AB15" i="1933"/>
  <c r="Q15" i="1933"/>
  <c r="P15" i="1933" s="1"/>
  <c r="AC15" i="1933" s="1"/>
  <c r="O15" i="1933"/>
  <c r="M15" i="1933"/>
  <c r="AF14" i="1933"/>
  <c r="Q14" i="1933"/>
  <c r="P14" i="1933" s="1"/>
  <c r="AC14" i="1933" s="1"/>
  <c r="AF13" i="1933"/>
  <c r="AB13" i="1933"/>
  <c r="Q13" i="1933"/>
  <c r="P13" i="1933" s="1"/>
  <c r="AC13" i="1933" s="1"/>
  <c r="O13" i="1933"/>
  <c r="M13" i="1933"/>
  <c r="AF12" i="1933"/>
  <c r="AB12" i="1933"/>
  <c r="Q12" i="1933"/>
  <c r="P12" i="1933" s="1"/>
  <c r="AC12" i="1933" s="1"/>
  <c r="O12" i="1933"/>
  <c r="M12" i="1933"/>
  <c r="AF11" i="1933"/>
  <c r="Q11" i="1933"/>
  <c r="P11" i="1933" s="1"/>
  <c r="AC11" i="1933" s="1"/>
  <c r="AF10" i="1933"/>
  <c r="Q10" i="1933"/>
  <c r="P10" i="1933"/>
  <c r="AC10" i="1933" s="1"/>
  <c r="O10" i="1933"/>
  <c r="AF9" i="1933"/>
  <c r="AB9" i="1933"/>
  <c r="Q9" i="1933"/>
  <c r="P9" i="1933" s="1"/>
  <c r="AC9" i="1933" s="1"/>
  <c r="O9" i="1933"/>
  <c r="M9" i="1933"/>
  <c r="AF8" i="1933"/>
  <c r="Q8" i="1933"/>
  <c r="P8" i="1933" s="1"/>
  <c r="AC8" i="1933" s="1"/>
  <c r="O8" i="1933"/>
  <c r="AF7" i="1933"/>
  <c r="AB7" i="1933"/>
  <c r="Q7" i="1933"/>
  <c r="P7" i="1933" s="1"/>
  <c r="AC7" i="1933" s="1"/>
  <c r="O7" i="1933"/>
  <c r="M7" i="1933"/>
  <c r="AF6" i="1933"/>
  <c r="Q6" i="1933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5" i="1932"/>
  <c r="L24" i="1932"/>
  <c r="K24" i="1932"/>
  <c r="L23" i="1932"/>
  <c r="L22" i="1932"/>
  <c r="M22" i="1932" s="1"/>
  <c r="AF22" i="1932"/>
  <c r="AB22" i="1932"/>
  <c r="Q22" i="1932"/>
  <c r="O22" i="1932"/>
  <c r="K21" i="1932"/>
  <c r="L20" i="1932"/>
  <c r="AB20" i="1932" s="1"/>
  <c r="L17" i="1932"/>
  <c r="K17" i="1932" s="1"/>
  <c r="L16" i="1932"/>
  <c r="K16" i="1932" s="1"/>
  <c r="L15" i="1932"/>
  <c r="K15" i="1932" s="1"/>
  <c r="L13" i="1932"/>
  <c r="AB13" i="1932" s="1"/>
  <c r="AF13" i="1932"/>
  <c r="Q13" i="1932"/>
  <c r="L12" i="1932"/>
  <c r="K12" i="1932" s="1"/>
  <c r="L11" i="1932"/>
  <c r="AB11" i="1932" s="1"/>
  <c r="L9" i="1932"/>
  <c r="O9" i="1932" s="1"/>
  <c r="AF9" i="1932"/>
  <c r="Q9" i="1932"/>
  <c r="L8" i="1932"/>
  <c r="M8" i="1932" s="1"/>
  <c r="AF8" i="1932"/>
  <c r="Q8" i="1932"/>
  <c r="K7" i="1932"/>
  <c r="L6" i="1932"/>
  <c r="K6" i="1932" s="1"/>
  <c r="K25" i="1932"/>
  <c r="K23" i="1932"/>
  <c r="K19" i="1932"/>
  <c r="K11" i="1932"/>
  <c r="K10" i="1932"/>
  <c r="A81" i="1932"/>
  <c r="A82" i="1932" s="1"/>
  <c r="A83" i="1932" s="1"/>
  <c r="A84" i="1932" s="1"/>
  <c r="A85" i="1932" s="1"/>
  <c r="A86" i="1932" s="1"/>
  <c r="AF65" i="1932"/>
  <c r="AF64" i="1932"/>
  <c r="AA26" i="1932"/>
  <c r="Z26" i="1932"/>
  <c r="Y26" i="1932"/>
  <c r="X26" i="1932"/>
  <c r="W26" i="1932"/>
  <c r="V26" i="1932"/>
  <c r="U26" i="1932"/>
  <c r="T26" i="1932"/>
  <c r="S26" i="1932"/>
  <c r="R26" i="1932"/>
  <c r="N26" i="1932"/>
  <c r="J26" i="1932"/>
  <c r="I26" i="1932"/>
  <c r="AF25" i="1932"/>
  <c r="Q25" i="1932"/>
  <c r="P25" i="1932"/>
  <c r="AC25" i="1932" s="1"/>
  <c r="O25" i="1932"/>
  <c r="AF24" i="1932"/>
  <c r="Q24" i="1932"/>
  <c r="AB24" i="1932"/>
  <c r="AF23" i="1932"/>
  <c r="Q23" i="1932"/>
  <c r="P23" i="1932"/>
  <c r="AC23" i="1932" s="1"/>
  <c r="O23" i="1932"/>
  <c r="AF21" i="1932"/>
  <c r="Q21" i="1932"/>
  <c r="P21" i="1932" s="1"/>
  <c r="AC21" i="1932" s="1"/>
  <c r="O21" i="1932"/>
  <c r="AB21" i="1932"/>
  <c r="AF20" i="1932"/>
  <c r="Q20" i="1932"/>
  <c r="M20" i="1932"/>
  <c r="AF19" i="1932"/>
  <c r="AB19" i="1932"/>
  <c r="Q19" i="1932"/>
  <c r="P19" i="1932" s="1"/>
  <c r="AC19" i="1932" s="1"/>
  <c r="O19" i="1932"/>
  <c r="M19" i="1932"/>
  <c r="AF18" i="1932"/>
  <c r="AB18" i="1932"/>
  <c r="Q18" i="1932"/>
  <c r="P18" i="1932"/>
  <c r="AC18" i="1932" s="1"/>
  <c r="O18" i="1932"/>
  <c r="M18" i="1932"/>
  <c r="K18" i="1932"/>
  <c r="AF17" i="1932"/>
  <c r="AB17" i="1932"/>
  <c r="Q17" i="1932"/>
  <c r="O17" i="1932"/>
  <c r="AF16" i="1932"/>
  <c r="Q16" i="1932"/>
  <c r="P16" i="1932" s="1"/>
  <c r="AC16" i="1932" s="1"/>
  <c r="O16" i="1932"/>
  <c r="AB16" i="1932"/>
  <c r="AF15" i="1932"/>
  <c r="Q15" i="1932"/>
  <c r="P15" i="1932" s="1"/>
  <c r="AC15" i="1932" s="1"/>
  <c r="AF14" i="1932"/>
  <c r="AB14" i="1932"/>
  <c r="Q14" i="1932"/>
  <c r="P14" i="1932"/>
  <c r="AC14" i="1932" s="1"/>
  <c r="O14" i="1932"/>
  <c r="M14" i="1932"/>
  <c r="K14" i="1932"/>
  <c r="AF12" i="1932"/>
  <c r="Q12" i="1932"/>
  <c r="AB12" i="1932"/>
  <c r="AF11" i="1932"/>
  <c r="Q11" i="1932"/>
  <c r="O11" i="1932"/>
  <c r="AF10" i="1932"/>
  <c r="Q10" i="1932"/>
  <c r="M10" i="1932"/>
  <c r="AF7" i="1932"/>
  <c r="Q7" i="1932"/>
  <c r="P7" i="1932" s="1"/>
  <c r="AC7" i="1932" s="1"/>
  <c r="O7" i="1932"/>
  <c r="AF6" i="1932"/>
  <c r="Q6" i="1932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L23" i="1931"/>
  <c r="K23" i="1931" s="1"/>
  <c r="L22" i="1931"/>
  <c r="L21" i="1931"/>
  <c r="P21" i="1931" s="1"/>
  <c r="AC21" i="1931" s="1"/>
  <c r="AF22" i="1931"/>
  <c r="Q22" i="1931"/>
  <c r="O22" i="1931"/>
  <c r="AB22" i="1931"/>
  <c r="AF21" i="1931"/>
  <c r="AB21" i="1931"/>
  <c r="Q21" i="1931"/>
  <c r="M21" i="1931"/>
  <c r="L20" i="1931"/>
  <c r="K20" i="1931" s="1"/>
  <c r="L19" i="1931"/>
  <c r="K19" i="1931" s="1"/>
  <c r="L18" i="1931"/>
  <c r="K18" i="1931" s="1"/>
  <c r="L17" i="1931"/>
  <c r="K17" i="1931" s="1"/>
  <c r="L13" i="1931"/>
  <c r="K13" i="1931" s="1"/>
  <c r="L12" i="1931"/>
  <c r="AB12" i="1931" s="1"/>
  <c r="L10" i="1931"/>
  <c r="K10" i="1931" s="1"/>
  <c r="L9" i="1931"/>
  <c r="K9" i="1931" s="1"/>
  <c r="L8" i="1931"/>
  <c r="K8" i="1931" s="1"/>
  <c r="L7" i="1931"/>
  <c r="K7" i="1931" s="1"/>
  <c r="AG19" i="16"/>
  <c r="AG18" i="16"/>
  <c r="AG17" i="16"/>
  <c r="AG16" i="16"/>
  <c r="K16" i="1931"/>
  <c r="K15" i="1931"/>
  <c r="K6" i="1931"/>
  <c r="M23" i="1931"/>
  <c r="M15" i="1931"/>
  <c r="A79" i="1931"/>
  <c r="A80" i="1931" s="1"/>
  <c r="A81" i="1931" s="1"/>
  <c r="A82" i="1931" s="1"/>
  <c r="A83" i="1931" s="1"/>
  <c r="A84" i="1931" s="1"/>
  <c r="AF63" i="1931"/>
  <c r="AF62" i="1931"/>
  <c r="AA24" i="1931"/>
  <c r="Z24" i="1931"/>
  <c r="Y24" i="1931"/>
  <c r="X24" i="1931"/>
  <c r="W24" i="1931"/>
  <c r="V24" i="1931"/>
  <c r="U24" i="1931"/>
  <c r="T24" i="1931"/>
  <c r="S24" i="1931"/>
  <c r="R24" i="1931"/>
  <c r="N24" i="1931"/>
  <c r="J24" i="1931"/>
  <c r="AF23" i="1931"/>
  <c r="AB23" i="1931"/>
  <c r="Q23" i="1931"/>
  <c r="AF20" i="1931"/>
  <c r="Q20" i="1931"/>
  <c r="P20" i="1931" s="1"/>
  <c r="AC20" i="1931" s="1"/>
  <c r="AF19" i="1931"/>
  <c r="Q19" i="1931"/>
  <c r="AF18" i="1931"/>
  <c r="Q18" i="1931"/>
  <c r="AF17" i="1931"/>
  <c r="Q17" i="1931"/>
  <c r="P17" i="1931" s="1"/>
  <c r="AC17" i="1931" s="1"/>
  <c r="AF16" i="1931"/>
  <c r="AB16" i="1931"/>
  <c r="Q16" i="1931"/>
  <c r="P16" i="1931" s="1"/>
  <c r="AC16" i="1931" s="1"/>
  <c r="O16" i="1931"/>
  <c r="M16" i="1931"/>
  <c r="AF15" i="1931"/>
  <c r="AB15" i="1931"/>
  <c r="Q15" i="1931"/>
  <c r="AF14" i="1931"/>
  <c r="AB14" i="1931"/>
  <c r="Q14" i="1931"/>
  <c r="P14" i="1931"/>
  <c r="AC14" i="1931" s="1"/>
  <c r="O14" i="1931"/>
  <c r="M14" i="1931"/>
  <c r="K14" i="1931"/>
  <c r="AF13" i="1931"/>
  <c r="AB13" i="1931"/>
  <c r="Q13" i="1931"/>
  <c r="P13" i="1931" s="1"/>
  <c r="AC13" i="1931" s="1"/>
  <c r="O13" i="1931"/>
  <c r="M13" i="1931"/>
  <c r="AF12" i="1931"/>
  <c r="Q12" i="1931"/>
  <c r="AF11" i="1931"/>
  <c r="AB11" i="1931"/>
  <c r="Q11" i="1931"/>
  <c r="P11" i="1931"/>
  <c r="AC11" i="1931" s="1"/>
  <c r="O11" i="1931"/>
  <c r="M11" i="1931"/>
  <c r="K11" i="1931"/>
  <c r="AF10" i="1931"/>
  <c r="Q10" i="1931"/>
  <c r="AF9" i="1931"/>
  <c r="Q9" i="1931"/>
  <c r="P9" i="1931" s="1"/>
  <c r="AC9" i="1931" s="1"/>
  <c r="I24" i="1931"/>
  <c r="AF8" i="1931"/>
  <c r="AB8" i="1931"/>
  <c r="Q8" i="1931"/>
  <c r="P8" i="1931" s="1"/>
  <c r="AC8" i="1931" s="1"/>
  <c r="O8" i="1931"/>
  <c r="M8" i="1931"/>
  <c r="AF7" i="1931"/>
  <c r="Q7" i="1931"/>
  <c r="M7" i="1931"/>
  <c r="AF6" i="1931"/>
  <c r="AB6" i="1931"/>
  <c r="Q6" i="1931"/>
  <c r="O6" i="1931"/>
  <c r="M6" i="1931"/>
  <c r="AD24" i="1942" l="1"/>
  <c r="AD23" i="1941"/>
  <c r="AE21" i="1941" s="1"/>
  <c r="AD19" i="1940"/>
  <c r="AD9" i="1940"/>
  <c r="M23" i="1940"/>
  <c r="K23" i="1940"/>
  <c r="AB23" i="1940"/>
  <c r="AD6" i="1940"/>
  <c r="AC23" i="1940"/>
  <c r="AD10" i="1939"/>
  <c r="AD12" i="1939"/>
  <c r="AD18" i="1939"/>
  <c r="AD20" i="1939"/>
  <c r="AD25" i="1939"/>
  <c r="AD11" i="1939"/>
  <c r="M26" i="1939"/>
  <c r="AD13" i="1939"/>
  <c r="AB26" i="1939"/>
  <c r="AD14" i="1939"/>
  <c r="AD22" i="1939"/>
  <c r="K26" i="1939"/>
  <c r="AC6" i="1939"/>
  <c r="P26" i="1939"/>
  <c r="AD13" i="1938"/>
  <c r="M22" i="1938"/>
  <c r="AB22" i="1938"/>
  <c r="AC22" i="1938"/>
  <c r="AD6" i="1938"/>
  <c r="AD9" i="1938"/>
  <c r="P22" i="1938"/>
  <c r="AD21" i="1937"/>
  <c r="AD13" i="1937"/>
  <c r="M22" i="1937"/>
  <c r="AD12" i="1937"/>
  <c r="P22" i="1937"/>
  <c r="AC22" i="1937"/>
  <c r="AD11" i="1936"/>
  <c r="AB23" i="1936"/>
  <c r="M23" i="1936"/>
  <c r="AD19" i="1936"/>
  <c r="AD8" i="1936"/>
  <c r="AC23" i="1936"/>
  <c r="AD6" i="1936"/>
  <c r="K23" i="1936"/>
  <c r="P23" i="1936"/>
  <c r="AD20" i="1935"/>
  <c r="AD18" i="1935"/>
  <c r="AD11" i="1935"/>
  <c r="M22" i="1935"/>
  <c r="AD19" i="1935"/>
  <c r="AD21" i="1935"/>
  <c r="AD17" i="1935"/>
  <c r="K22" i="1935"/>
  <c r="AB22" i="1935"/>
  <c r="P22" i="1935"/>
  <c r="AC22" i="1935"/>
  <c r="AD22" i="1934"/>
  <c r="AD18" i="1934"/>
  <c r="AD10" i="1934"/>
  <c r="AD9" i="1934"/>
  <c r="AD12" i="1934"/>
  <c r="P23" i="1934"/>
  <c r="AB23" i="1934"/>
  <c r="AD6" i="1934"/>
  <c r="AC23" i="1934"/>
  <c r="M23" i="1934"/>
  <c r="AF65" i="1933"/>
  <c r="P6" i="1933"/>
  <c r="AD9" i="1933"/>
  <c r="D5" i="16" s="1"/>
  <c r="AG5" i="16" s="1"/>
  <c r="AD12" i="1933"/>
  <c r="AD20" i="1933"/>
  <c r="D15" i="16" s="1"/>
  <c r="AG15" i="16" s="1"/>
  <c r="AD15" i="1933"/>
  <c r="D10" i="16" s="1"/>
  <c r="AG10" i="16" s="1"/>
  <c r="AD23" i="1933"/>
  <c r="K6" i="1933"/>
  <c r="K24" i="1933" s="1"/>
  <c r="Q24" i="1933"/>
  <c r="AD17" i="1933"/>
  <c r="D12" i="16" s="1"/>
  <c r="AG12" i="16" s="1"/>
  <c r="AD13" i="1933"/>
  <c r="D8" i="16" s="1"/>
  <c r="AG8" i="16" s="1"/>
  <c r="AD7" i="1933"/>
  <c r="AD18" i="1933"/>
  <c r="D13" i="16" s="1"/>
  <c r="AG13" i="16" s="1"/>
  <c r="AC6" i="1933"/>
  <c r="P24" i="1933"/>
  <c r="AD16" i="1933"/>
  <c r="D11" i="16" s="1"/>
  <c r="AG11" i="16" s="1"/>
  <c r="M6" i="1933"/>
  <c r="M11" i="1933"/>
  <c r="AB11" i="1933"/>
  <c r="M14" i="1933"/>
  <c r="AB14" i="1933"/>
  <c r="M22" i="1933"/>
  <c r="AB22" i="1933"/>
  <c r="AB8" i="1933"/>
  <c r="AD8" i="1933" s="1"/>
  <c r="M10" i="1933"/>
  <c r="O11" i="1933"/>
  <c r="O14" i="1933"/>
  <c r="M19" i="1933"/>
  <c r="AB21" i="1933"/>
  <c r="AD21" i="1933" s="1"/>
  <c r="O22" i="1933"/>
  <c r="L24" i="1933"/>
  <c r="O24" i="1933" s="1"/>
  <c r="AB6" i="1933"/>
  <c r="O6" i="1933"/>
  <c r="M8" i="1933"/>
  <c r="AB10" i="1933"/>
  <c r="AD10" i="1933" s="1"/>
  <c r="D6" i="16" s="1"/>
  <c r="AG6" i="16" s="1"/>
  <c r="AB19" i="1933"/>
  <c r="AD19" i="1933" s="1"/>
  <c r="D14" i="16" s="1"/>
  <c r="AG14" i="16" s="1"/>
  <c r="M21" i="1933"/>
  <c r="M16" i="1933"/>
  <c r="M15" i="1932"/>
  <c r="M17" i="1932"/>
  <c r="AF67" i="1932"/>
  <c r="P22" i="1932"/>
  <c r="AC22" i="1932" s="1"/>
  <c r="AD22" i="1932" s="1"/>
  <c r="P12" i="1932"/>
  <c r="AC12" i="1932" s="1"/>
  <c r="AB15" i="1932"/>
  <c r="P17" i="1932"/>
  <c r="AC17" i="1932" s="1"/>
  <c r="K22" i="1932"/>
  <c r="P11" i="1932"/>
  <c r="AC11" i="1932" s="1"/>
  <c r="O20" i="1932"/>
  <c r="K20" i="1932"/>
  <c r="M11" i="1932"/>
  <c r="P20" i="1932"/>
  <c r="AC20" i="1932" s="1"/>
  <c r="O15" i="1932"/>
  <c r="AD15" i="1932" s="1"/>
  <c r="O13" i="1932"/>
  <c r="K13" i="1932"/>
  <c r="P13" i="1932"/>
  <c r="AC13" i="1932" s="1"/>
  <c r="O12" i="1932"/>
  <c r="O8" i="1932"/>
  <c r="AB9" i="1932"/>
  <c r="M13" i="1932"/>
  <c r="K9" i="1932"/>
  <c r="P9" i="1932"/>
  <c r="AC9" i="1932" s="1"/>
  <c r="AD11" i="1932"/>
  <c r="AD20" i="1932"/>
  <c r="K8" i="1932"/>
  <c r="AB8" i="1932"/>
  <c r="O6" i="1932"/>
  <c r="M9" i="1932"/>
  <c r="P8" i="1932"/>
  <c r="AC8" i="1932" s="1"/>
  <c r="Q26" i="1932"/>
  <c r="AD14" i="1932"/>
  <c r="AB6" i="1932"/>
  <c r="AD19" i="1932"/>
  <c r="M6" i="1932"/>
  <c r="P6" i="1932"/>
  <c r="AC6" i="1932" s="1"/>
  <c r="AD18" i="1932"/>
  <c r="AD17" i="1932"/>
  <c r="AD16" i="1932"/>
  <c r="AD21" i="1932"/>
  <c r="AB10" i="1932"/>
  <c r="M7" i="1932"/>
  <c r="AB7" i="1932"/>
  <c r="AD7" i="1932" s="1"/>
  <c r="O10" i="1932"/>
  <c r="M23" i="1932"/>
  <c r="AB23" i="1932"/>
  <c r="AD23" i="1932" s="1"/>
  <c r="O24" i="1932"/>
  <c r="M25" i="1932"/>
  <c r="AB25" i="1932"/>
  <c r="AD25" i="1932" s="1"/>
  <c r="L26" i="1932"/>
  <c r="O26" i="1932" s="1"/>
  <c r="P10" i="1932"/>
  <c r="AC10" i="1932" s="1"/>
  <c r="M12" i="1932"/>
  <c r="M16" i="1932"/>
  <c r="M21" i="1932"/>
  <c r="P24" i="1932"/>
  <c r="AC24" i="1932" s="1"/>
  <c r="M24" i="1932"/>
  <c r="O19" i="1931"/>
  <c r="M12" i="1931"/>
  <c r="O21" i="1931"/>
  <c r="AD21" i="1931" s="1"/>
  <c r="K22" i="1931"/>
  <c r="P22" i="1931"/>
  <c r="AC22" i="1931" s="1"/>
  <c r="AD22" i="1931" s="1"/>
  <c r="P12" i="1931"/>
  <c r="AC12" i="1931" s="1"/>
  <c r="P19" i="1931"/>
  <c r="AC19" i="1931" s="1"/>
  <c r="AD19" i="1931" s="1"/>
  <c r="K12" i="1931"/>
  <c r="K21" i="1931"/>
  <c r="O7" i="1931"/>
  <c r="AB7" i="1931"/>
  <c r="AB19" i="1931"/>
  <c r="M22" i="1931"/>
  <c r="AB18" i="1931"/>
  <c r="M18" i="1931"/>
  <c r="AB9" i="1931"/>
  <c r="M9" i="1931"/>
  <c r="M10" i="1931"/>
  <c r="O10" i="1931"/>
  <c r="P23" i="1931"/>
  <c r="AC23" i="1931" s="1"/>
  <c r="M19" i="1931"/>
  <c r="P18" i="1931"/>
  <c r="AC18" i="1931" s="1"/>
  <c r="P15" i="1931"/>
  <c r="AC15" i="1931" s="1"/>
  <c r="AB10" i="1931"/>
  <c r="AF65" i="1931"/>
  <c r="P10" i="1931"/>
  <c r="AC10" i="1931" s="1"/>
  <c r="P7" i="1931"/>
  <c r="AC7" i="1931" s="1"/>
  <c r="AD7" i="1931" s="1"/>
  <c r="Q24" i="1931"/>
  <c r="P6" i="1931"/>
  <c r="AC6" i="1931" s="1"/>
  <c r="AD6" i="1931" s="1"/>
  <c r="AD11" i="1931"/>
  <c r="AD8" i="1931"/>
  <c r="AD13" i="1931"/>
  <c r="AD14" i="1931"/>
  <c r="AD16" i="1931"/>
  <c r="L24" i="1931"/>
  <c r="O24" i="1931" s="1"/>
  <c r="O9" i="1931"/>
  <c r="AD9" i="1931" s="1"/>
  <c r="O12" i="1931"/>
  <c r="AD12" i="1931" s="1"/>
  <c r="K24" i="1931"/>
  <c r="O15" i="1931"/>
  <c r="M17" i="1931"/>
  <c r="AB17" i="1931"/>
  <c r="O18" i="1931"/>
  <c r="M20" i="1931"/>
  <c r="AB20" i="1931"/>
  <c r="O23" i="1931"/>
  <c r="O17" i="1931"/>
  <c r="O20" i="1931"/>
  <c r="AE7" i="1942" l="1"/>
  <c r="AE18" i="1942"/>
  <c r="AE9" i="1942"/>
  <c r="AE12" i="1942"/>
  <c r="AE6" i="1942"/>
  <c r="AE23" i="1942"/>
  <c r="AE13" i="1942"/>
  <c r="AE20" i="1942"/>
  <c r="AE14" i="1942"/>
  <c r="AE10" i="1942"/>
  <c r="AE15" i="1942"/>
  <c r="AE22" i="1942"/>
  <c r="AE16" i="1942"/>
  <c r="AE11" i="1942"/>
  <c r="AE17" i="1942"/>
  <c r="AE8" i="1942"/>
  <c r="AE19" i="1942"/>
  <c r="AE21" i="1942"/>
  <c r="AE22" i="1941"/>
  <c r="AE20" i="1941"/>
  <c r="AE16" i="1941"/>
  <c r="AE15" i="1941"/>
  <c r="AE7" i="1941"/>
  <c r="AE18" i="1941"/>
  <c r="AE17" i="1941"/>
  <c r="AE14" i="1941"/>
  <c r="AE13" i="1941"/>
  <c r="AE9" i="1941"/>
  <c r="AE19" i="1941"/>
  <c r="AE12" i="1941"/>
  <c r="AE8" i="1941"/>
  <c r="AE11" i="1941"/>
  <c r="AE10" i="1941"/>
  <c r="AE6" i="1941"/>
  <c r="AD23" i="1940"/>
  <c r="AE22" i="1940" s="1"/>
  <c r="AC26" i="1939"/>
  <c r="AD6" i="1939"/>
  <c r="AD26" i="1939" s="1"/>
  <c r="AD22" i="1938"/>
  <c r="AE21" i="1938" s="1"/>
  <c r="AD22" i="1937"/>
  <c r="AE21" i="1937" s="1"/>
  <c r="AD23" i="1936"/>
  <c r="AD22" i="1935"/>
  <c r="AE21" i="1935" s="1"/>
  <c r="AD23" i="1934"/>
  <c r="AE10" i="1934" s="1"/>
  <c r="D4" i="16"/>
  <c r="AG4" i="16" s="1"/>
  <c r="AD14" i="1933"/>
  <c r="D9" i="16" s="1"/>
  <c r="AG9" i="16" s="1"/>
  <c r="AD22" i="1933"/>
  <c r="AD11" i="1933"/>
  <c r="D7" i="16" s="1"/>
  <c r="AG7" i="16" s="1"/>
  <c r="M24" i="1933"/>
  <c r="AB24" i="1933"/>
  <c r="AD6" i="1933"/>
  <c r="D3" i="16" s="1"/>
  <c r="AG3" i="16" s="1"/>
  <c r="AC24" i="1933"/>
  <c r="AD12" i="1932"/>
  <c r="K26" i="1932"/>
  <c r="AD9" i="1932"/>
  <c r="AD13" i="1932"/>
  <c r="AD8" i="1932"/>
  <c r="AD6" i="1932"/>
  <c r="AC26" i="1932"/>
  <c r="M26" i="1932"/>
  <c r="AB26" i="1932"/>
  <c r="P26" i="1932"/>
  <c r="AD24" i="1932"/>
  <c r="AD10" i="1932"/>
  <c r="AD23" i="1931"/>
  <c r="AD10" i="1931"/>
  <c r="AC24" i="1931"/>
  <c r="P24" i="1931"/>
  <c r="AD18" i="1931"/>
  <c r="AD15" i="1931"/>
  <c r="M24" i="1931"/>
  <c r="AD20" i="1931"/>
  <c r="AD17" i="1931"/>
  <c r="AB24" i="1931"/>
  <c r="AE16" i="1940" l="1"/>
  <c r="AE21" i="1940"/>
  <c r="AE13" i="1940"/>
  <c r="AE19" i="1940"/>
  <c r="AE14" i="1940"/>
  <c r="AE15" i="1940"/>
  <c r="AE7" i="1940"/>
  <c r="AE11" i="1940"/>
  <c r="AE6" i="1940"/>
  <c r="AE18" i="1940"/>
  <c r="AE9" i="1940"/>
  <c r="AE8" i="1940"/>
  <c r="AE10" i="1940"/>
  <c r="AE20" i="1940"/>
  <c r="AE12" i="1940"/>
  <c r="AE17" i="1940"/>
  <c r="AE10" i="1939"/>
  <c r="AE19" i="1939"/>
  <c r="AE7" i="1939"/>
  <c r="AE18" i="1939"/>
  <c r="AE25" i="1939"/>
  <c r="AE21" i="1939"/>
  <c r="AE22" i="1939"/>
  <c r="AE17" i="1939"/>
  <c r="AE14" i="1939"/>
  <c r="AE9" i="1939"/>
  <c r="AE23" i="1939"/>
  <c r="AE15" i="1939"/>
  <c r="AE11" i="1939"/>
  <c r="AE6" i="1939"/>
  <c r="AE16" i="1939"/>
  <c r="AE24" i="1939"/>
  <c r="AE20" i="1939"/>
  <c r="AE12" i="1939"/>
  <c r="AE8" i="1939"/>
  <c r="AE13" i="1939"/>
  <c r="AE8" i="1938"/>
  <c r="AE19" i="1938"/>
  <c r="AE6" i="1938"/>
  <c r="AE12" i="1938"/>
  <c r="AE14" i="1938"/>
  <c r="AE7" i="1938"/>
  <c r="AE15" i="1938"/>
  <c r="AE17" i="1938"/>
  <c r="AE20" i="1938"/>
  <c r="AE9" i="1938"/>
  <c r="AE11" i="1938"/>
  <c r="AE13" i="1938"/>
  <c r="AE16" i="1938"/>
  <c r="AE10" i="1938"/>
  <c r="AE18" i="1938"/>
  <c r="AE8" i="1937"/>
  <c r="AE19" i="1937"/>
  <c r="AE13" i="1937"/>
  <c r="AE16" i="1937"/>
  <c r="AE12" i="1937"/>
  <c r="AE15" i="1937"/>
  <c r="AE9" i="1937"/>
  <c r="AE18" i="1937"/>
  <c r="AE10" i="1937"/>
  <c r="AE14" i="1937"/>
  <c r="AE17" i="1937"/>
  <c r="AE6" i="1937"/>
  <c r="AE7" i="1937"/>
  <c r="AE20" i="1937"/>
  <c r="AE11" i="1937"/>
  <c r="AE18" i="1936"/>
  <c r="AE17" i="1936"/>
  <c r="AE14" i="1936"/>
  <c r="AE7" i="1936"/>
  <c r="AE13" i="1936"/>
  <c r="AE22" i="1936"/>
  <c r="AE20" i="1936"/>
  <c r="AE16" i="1936"/>
  <c r="AE8" i="1936"/>
  <c r="AE21" i="1936"/>
  <c r="AE9" i="1936"/>
  <c r="AE12" i="1936"/>
  <c r="AE11" i="1936"/>
  <c r="AE19" i="1936"/>
  <c r="AE10" i="1936"/>
  <c r="AE15" i="1936"/>
  <c r="AE6" i="1936"/>
  <c r="AE19" i="1935"/>
  <c r="AE15" i="1935"/>
  <c r="AE9" i="1935"/>
  <c r="AE11" i="1935"/>
  <c r="AE6" i="1935"/>
  <c r="AE20" i="1935"/>
  <c r="AE7" i="1935"/>
  <c r="AE18" i="1935"/>
  <c r="AE16" i="1935"/>
  <c r="AE13" i="1935"/>
  <c r="AE14" i="1935"/>
  <c r="AE17" i="1935"/>
  <c r="AE8" i="1935"/>
  <c r="AE12" i="1935"/>
  <c r="AE10" i="1935"/>
  <c r="AE16" i="1934"/>
  <c r="AE12" i="1934"/>
  <c r="AE18" i="1934"/>
  <c r="AE15" i="1934"/>
  <c r="AE7" i="1934"/>
  <c r="AE20" i="1934"/>
  <c r="AE13" i="1934"/>
  <c r="AE8" i="1934"/>
  <c r="AE11" i="1934"/>
  <c r="AE6" i="1934"/>
  <c r="AE19" i="1934"/>
  <c r="AE9" i="1934"/>
  <c r="AE17" i="1934"/>
  <c r="AE14" i="1934"/>
  <c r="AE21" i="1934"/>
  <c r="AE22" i="1934"/>
  <c r="AD24" i="1933"/>
  <c r="AE20" i="1933" s="1"/>
  <c r="AD26" i="1932"/>
  <c r="AE22" i="1932" s="1"/>
  <c r="AD24" i="1931"/>
  <c r="AE17" i="1933" l="1"/>
  <c r="AE9" i="1933"/>
  <c r="AE23" i="1933"/>
  <c r="AE8" i="1933"/>
  <c r="AE16" i="1933"/>
  <c r="AE19" i="1933"/>
  <c r="AE7" i="1933"/>
  <c r="AE21" i="1933"/>
  <c r="AE10" i="1933"/>
  <c r="AE11" i="1933"/>
  <c r="AE18" i="1933"/>
  <c r="AE12" i="1933"/>
  <c r="AE14" i="1933"/>
  <c r="AE13" i="1933"/>
  <c r="AE22" i="1933"/>
  <c r="AE6" i="1933"/>
  <c r="AE15" i="1933"/>
  <c r="AE9" i="1932"/>
  <c r="AE13" i="1932"/>
  <c r="AE23" i="1932"/>
  <c r="AE8" i="1932"/>
  <c r="AE11" i="1932"/>
  <c r="AE17" i="1932"/>
  <c r="AE15" i="1932"/>
  <c r="AE6" i="1932"/>
  <c r="AE19" i="1932"/>
  <c r="AE18" i="1932"/>
  <c r="AE25" i="1932"/>
  <c r="AE21" i="1932"/>
  <c r="AE24" i="1932"/>
  <c r="AE12" i="1932"/>
  <c r="AE20" i="1932"/>
  <c r="AE7" i="1932"/>
  <c r="AE10" i="1932"/>
  <c r="AE16" i="1932"/>
  <c r="AE14" i="1932"/>
  <c r="AE21" i="1931"/>
  <c r="AE22" i="1931"/>
  <c r="AE11" i="1931"/>
  <c r="AE14" i="1931"/>
  <c r="AE19" i="1931"/>
  <c r="AE9" i="1931"/>
  <c r="AE20" i="1931"/>
  <c r="AE17" i="1931"/>
  <c r="AE12" i="1931"/>
  <c r="AE23" i="1931"/>
  <c r="AE7" i="1931"/>
  <c r="AE10" i="1931"/>
  <c r="AE6" i="1931"/>
  <c r="AE15" i="1931"/>
  <c r="AE16" i="1931"/>
  <c r="AE13" i="1931"/>
  <c r="AE8" i="1931"/>
  <c r="AE18" i="1931"/>
</calcChain>
</file>

<file path=xl/sharedStrings.xml><?xml version="1.0" encoding="utf-8"?>
<sst xmlns="http://schemas.openxmlformats.org/spreadsheetml/2006/main" count="5441" uniqueCount="589">
  <si>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</si>
  <si>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</si>
  <si>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</si>
  <si>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</si>
  <si>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</si>
  <si>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</si>
  <si>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</si>
  <si>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</si>
  <si>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</si>
  <si>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</si>
  <si>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</si>
  <si>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</si>
  <si>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</si>
  <si>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</si>
  <si>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</si>
  <si>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</si>
  <si>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</si>
  <si>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</si>
  <si>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</si>
  <si>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</si>
  <si>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</si>
  <si>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</si>
  <si>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</si>
  <si>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</si>
  <si>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</si>
  <si>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</si>
  <si>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</si>
  <si>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</si>
  <si>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</si>
  <si>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</si>
  <si>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</si>
  <si>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</si>
  <si>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</si>
  <si>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</si>
  <si>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</si>
  <si>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</si>
  <si>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</si>
  <si>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</si>
  <si>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</si>
  <si>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</si>
  <si>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</si>
  <si>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</si>
  <si>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</si>
  <si>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</si>
  <si>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</si>
  <si>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</si>
  <si>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</si>
  <si>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</si>
  <si>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</si>
  <si>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</si>
  <si>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</si>
  <si>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</si>
  <si>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</si>
  <si>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</si>
  <si>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</si>
  <si>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</si>
  <si>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</si>
  <si>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</si>
  <si>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</si>
  <si>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</si>
  <si>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</si>
  <si>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</si>
  <si>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</si>
  <si>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</si>
  <si>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</si>
  <si>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</si>
  <si>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</si>
  <si>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</si>
  <si>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</si>
  <si>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</si>
  <si>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</si>
  <si>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</si>
  <si>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</si>
  <si>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</si>
  <si>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</si>
  <si>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</si>
  <si>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</si>
  <si>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</si>
  <si>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</si>
  <si>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</si>
  <si>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</si>
  <si>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</si>
  <si>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</si>
  <si>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</si>
  <si>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</si>
  <si>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</si>
  <si>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</si>
  <si>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</si>
  <si>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</si>
  <si>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</si>
  <si>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</si>
  <si>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</si>
  <si>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</si>
  <si>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</si>
  <si>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</si>
  <si>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</si>
  <si>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</si>
  <si>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</si>
  <si>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</si>
  <si>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</si>
  <si>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</si>
  <si>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</si>
  <si>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</si>
  <si>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</si>
  <si>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</si>
  <si>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</si>
  <si>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</si>
  <si>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</si>
  <si>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</si>
  <si>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</si>
  <si>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</si>
  <si>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</si>
  <si>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</si>
  <si>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</si>
  <si>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</si>
  <si>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</si>
  <si>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</si>
  <si>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</si>
  <si>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SST</t>
    <phoneticPr fontId="2" type="noConversion"/>
  </si>
  <si>
    <t>가스</t>
    <phoneticPr fontId="2" type="noConversion"/>
  </si>
  <si>
    <t>AYE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</si>
  <si>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</si>
  <si>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</si>
  <si>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</si>
  <si>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수리후양산</t>
    <phoneticPr fontId="2" type="noConversion"/>
  </si>
  <si>
    <t>품  명</t>
    <phoneticPr fontId="2" type="noConversion"/>
  </si>
  <si>
    <t>.</t>
    <phoneticPr fontId="2" type="noConversion"/>
  </si>
  <si>
    <t>8</t>
    <phoneticPr fontId="2" type="noConversion"/>
  </si>
  <si>
    <t>SGP2030R N/P</t>
    <phoneticPr fontId="2" type="noConversion"/>
  </si>
  <si>
    <t>SGF2033</t>
    <phoneticPr fontId="2" type="noConversion"/>
  </si>
  <si>
    <t>COVER</t>
    <phoneticPr fontId="2" type="noConversion"/>
  </si>
  <si>
    <t>JD4901</t>
    <phoneticPr fontId="2" type="noConversion"/>
  </si>
  <si>
    <t>SF2255 I/V</t>
    <phoneticPr fontId="2" type="noConversion"/>
  </si>
  <si>
    <t>SGP2020R</t>
    <phoneticPr fontId="2" type="noConversion"/>
  </si>
  <si>
    <t>K-JR01903-D180ZA</t>
    <phoneticPr fontId="2" type="noConversion"/>
  </si>
  <si>
    <t>STOPPPER</t>
    <phoneticPr fontId="2" type="noConversion"/>
  </si>
  <si>
    <t>7</t>
    <phoneticPr fontId="2" type="noConversion"/>
  </si>
  <si>
    <t>NP595-877-014#LB</t>
    <phoneticPr fontId="2" type="noConversion"/>
  </si>
  <si>
    <t>발주분양산</t>
    <phoneticPr fontId="2" type="noConversion"/>
  </si>
  <si>
    <t>HICON</t>
    <phoneticPr fontId="2" type="noConversion"/>
  </si>
  <si>
    <t>2</t>
    <phoneticPr fontId="2" type="noConversion"/>
  </si>
  <si>
    <t>11</t>
    <phoneticPr fontId="2" type="noConversion"/>
  </si>
  <si>
    <t>SGP2030R</t>
    <phoneticPr fontId="2" type="noConversion"/>
  </si>
  <si>
    <t>HR03B-406A1</t>
    <phoneticPr fontId="2" type="noConversion"/>
  </si>
  <si>
    <t>KR6458AB456PMA</t>
    <phoneticPr fontId="2" type="noConversion"/>
  </si>
  <si>
    <t>SF2250EPR</t>
    <phoneticPr fontId="2" type="noConversion"/>
  </si>
  <si>
    <t>AMM0849A-KAA-R2</t>
    <phoneticPr fontId="2" type="noConversion"/>
  </si>
  <si>
    <t>GN2330</t>
    <phoneticPr fontId="2" type="noConversion"/>
  </si>
  <si>
    <t>AMB20G2B-KAA-R1</t>
    <phoneticPr fontId="2" type="noConversion"/>
  </si>
  <si>
    <t>에젝터 이상</t>
    <phoneticPr fontId="2" type="noConversion"/>
  </si>
  <si>
    <t>에젝터 볼스크류 교체 에정</t>
    <phoneticPr fontId="2" type="noConversion"/>
  </si>
  <si>
    <t>소딕</t>
    <phoneticPr fontId="2" type="noConversion"/>
  </si>
  <si>
    <t>NP504-291-147#LO</t>
    <phoneticPr fontId="2" type="noConversion"/>
  </si>
  <si>
    <t xml:space="preserve">SGF2030 </t>
    <phoneticPr fontId="2" type="noConversion"/>
  </si>
  <si>
    <t>발주/SPL</t>
    <phoneticPr fontId="2" type="noConversion"/>
  </si>
  <si>
    <t>F/ADAPTER</t>
    <phoneticPr fontId="2" type="noConversion"/>
  </si>
  <si>
    <t>NEXT</t>
    <phoneticPr fontId="2" type="noConversion"/>
  </si>
  <si>
    <t xml:space="preserve">SF2255 </t>
    <phoneticPr fontId="2" type="noConversion"/>
  </si>
  <si>
    <t>H과제 BOTTOM_A1-02</t>
    <phoneticPr fontId="2" type="noConversion"/>
  </si>
  <si>
    <t>JTN</t>
    <phoneticPr fontId="2" type="noConversion"/>
  </si>
  <si>
    <r>
      <t>2021년 02월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</si>
  <si>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02월 호기별 가동현황</t>
    <phoneticPr fontId="2" type="noConversion"/>
  </si>
  <si>
    <t>BOTTOM</t>
    <phoneticPr fontId="2" type="noConversion"/>
  </si>
  <si>
    <t>AMB0360A-KAA-R1</t>
    <phoneticPr fontId="2" type="noConversion"/>
  </si>
  <si>
    <t>NP413-187-105#IN-A</t>
    <phoneticPr fontId="2" type="noConversion"/>
  </si>
  <si>
    <t>SGF2041</t>
    <phoneticPr fontId="2" type="noConversion"/>
  </si>
  <si>
    <t>TOP/BOTTOM</t>
    <phoneticPr fontId="2" type="noConversion"/>
  </si>
  <si>
    <t>12X12</t>
    <phoneticPr fontId="2" type="noConversion"/>
  </si>
  <si>
    <t>SF2250</t>
    <phoneticPr fontId="2" type="noConversion"/>
  </si>
  <si>
    <t>2*1</t>
    <phoneticPr fontId="2" type="noConversion"/>
  </si>
  <si>
    <t>BLOCK</t>
    <phoneticPr fontId="2" type="noConversion"/>
  </si>
  <si>
    <t>5.1MM</t>
    <phoneticPr fontId="2" type="noConversion"/>
  </si>
  <si>
    <t>F11 N/P</t>
    <phoneticPr fontId="2" type="noConversion"/>
  </si>
  <si>
    <t>NP413-187-105#IN-B</t>
    <phoneticPr fontId="2" type="noConversion"/>
  </si>
  <si>
    <t>ACTUATOR</t>
    <phoneticPr fontId="2" type="noConversion"/>
  </si>
  <si>
    <t>AMB1901D-JAA-R2</t>
    <phoneticPr fontId="2" type="noConversion"/>
  </si>
  <si>
    <t>NP413-187-105#MO</t>
    <phoneticPr fontId="2" type="noConversion"/>
  </si>
  <si>
    <t>AMB0187A-KAA-R1</t>
    <phoneticPr fontId="2" type="noConversion"/>
  </si>
  <si>
    <t>BASE</t>
    <phoneticPr fontId="2" type="noConversion"/>
  </si>
  <si>
    <t>AMB0245A-KAA-R1</t>
    <phoneticPr fontId="2" type="noConversion"/>
  </si>
  <si>
    <t>30P</t>
    <phoneticPr fontId="2" type="noConversion"/>
  </si>
  <si>
    <t>전일 ISSUE 사항(01일)</t>
    <phoneticPr fontId="2" type="noConversion"/>
  </si>
  <si>
    <t>세척-&gt;코아파손3회수리</t>
    <phoneticPr fontId="2" type="noConversion"/>
  </si>
  <si>
    <t>12*12</t>
    <phoneticPr fontId="2" type="noConversion"/>
  </si>
  <si>
    <t>발주분양산-&gt;코아파손3회정지</t>
    <phoneticPr fontId="2" type="noConversion"/>
  </si>
  <si>
    <t>NEXT</t>
    <phoneticPr fontId="2" type="noConversion"/>
  </si>
  <si>
    <t>2</t>
    <phoneticPr fontId="2" type="noConversion"/>
  </si>
  <si>
    <t>BOTTOM</t>
    <phoneticPr fontId="2" type="noConversion"/>
  </si>
  <si>
    <t>H과제 BOTTOM_A1-02</t>
    <phoneticPr fontId="2" type="noConversion"/>
  </si>
  <si>
    <t>MCS</t>
    <phoneticPr fontId="2" type="noConversion"/>
  </si>
  <si>
    <t>3</t>
    <phoneticPr fontId="2" type="noConversion"/>
  </si>
  <si>
    <t>COVER</t>
    <phoneticPr fontId="2" type="noConversion"/>
  </si>
  <si>
    <t>AMB0360A-KAA-R1</t>
    <phoneticPr fontId="2" type="noConversion"/>
  </si>
  <si>
    <t>11</t>
    <phoneticPr fontId="2" type="noConversion"/>
  </si>
  <si>
    <t>HR03B-406A1</t>
    <phoneticPr fontId="2" type="noConversion"/>
  </si>
  <si>
    <t>수리후양산-&gt;코아파손정지</t>
    <phoneticPr fontId="2" type="noConversion"/>
  </si>
  <si>
    <t>PIN BLOCK(5.1mm)</t>
    <phoneticPr fontId="2" type="noConversion"/>
  </si>
  <si>
    <t>JTN</t>
    <phoneticPr fontId="2" type="noConversion"/>
  </si>
  <si>
    <t>12</t>
    <phoneticPr fontId="2" type="noConversion"/>
  </si>
  <si>
    <t>AMB1901D-JAA-R2</t>
    <phoneticPr fontId="2" type="noConversion"/>
  </si>
  <si>
    <t>13</t>
    <phoneticPr fontId="2" type="noConversion"/>
  </si>
  <si>
    <t>14</t>
    <phoneticPr fontId="2" type="noConversion"/>
  </si>
  <si>
    <t>ACTUATOR</t>
    <phoneticPr fontId="2" type="noConversion"/>
  </si>
  <si>
    <t>AYE</t>
    <phoneticPr fontId="2" type="noConversion"/>
  </si>
  <si>
    <t>5</t>
    <phoneticPr fontId="2" type="noConversion"/>
  </si>
  <si>
    <t>NP413-187-105#IN-A</t>
    <phoneticPr fontId="2" type="noConversion"/>
  </si>
  <si>
    <t>치수확인후양산</t>
    <phoneticPr fontId="2" type="noConversion"/>
  </si>
  <si>
    <t>NP413-187-105#IN-B</t>
    <phoneticPr fontId="2" type="noConversion"/>
  </si>
  <si>
    <t>15</t>
    <phoneticPr fontId="2" type="noConversion"/>
  </si>
  <si>
    <t>당일 진행 사항(02일)</t>
    <phoneticPr fontId="2" type="noConversion"/>
  </si>
  <si>
    <t>AMB09J2A-KAA-R1</t>
    <phoneticPr fontId="2" type="noConversion"/>
  </si>
  <si>
    <t>LATCH PLATE</t>
    <phoneticPr fontId="2" type="noConversion"/>
  </si>
  <si>
    <t>ADAPTER</t>
    <phoneticPr fontId="2" type="noConversion"/>
  </si>
  <si>
    <t>AMB07Z1A-KAA-R1</t>
    <phoneticPr fontId="2" type="noConversion"/>
  </si>
  <si>
    <t>AMB0244A-KAA-R1</t>
    <phoneticPr fontId="2" type="noConversion"/>
  </si>
  <si>
    <t>5</t>
    <phoneticPr fontId="2" type="noConversion"/>
  </si>
  <si>
    <t>STOPPER</t>
    <phoneticPr fontId="2" type="noConversion"/>
  </si>
  <si>
    <t>AMB0188A-KAA-R1</t>
    <phoneticPr fontId="2" type="noConversion"/>
  </si>
  <si>
    <t>AMM0890A-KAD-R1</t>
    <phoneticPr fontId="2" type="noConversion"/>
  </si>
  <si>
    <t>9</t>
    <phoneticPr fontId="2" type="noConversion"/>
  </si>
  <si>
    <t>AMB0189A-KAA-R1</t>
    <phoneticPr fontId="2" type="noConversion"/>
  </si>
  <si>
    <t>AMB09J4B-KAA-R1</t>
    <phoneticPr fontId="2" type="noConversion"/>
  </si>
  <si>
    <t>SAMPLE 진행 사항(01일)</t>
    <phoneticPr fontId="2" type="noConversion"/>
  </si>
  <si>
    <t>KR6463-D180PSA</t>
    <phoneticPr fontId="2" type="noConversion"/>
  </si>
  <si>
    <t>6</t>
    <phoneticPr fontId="2" type="noConversion"/>
  </si>
  <si>
    <t>KR6463-A180YA</t>
    <phoneticPr fontId="2" type="noConversion"/>
  </si>
  <si>
    <t>AMB0172A-KAA-R2(2C)</t>
    <phoneticPr fontId="2" type="noConversion"/>
  </si>
  <si>
    <t>SST</t>
    <phoneticPr fontId="2" type="noConversion"/>
  </si>
  <si>
    <t>SLIDER</t>
    <phoneticPr fontId="2" type="noConversion"/>
  </si>
  <si>
    <t>SGF2041</t>
    <phoneticPr fontId="2" type="noConversion"/>
  </si>
  <si>
    <t>수정</t>
    <phoneticPr fontId="2" type="noConversion"/>
  </si>
  <si>
    <t>5050GM</t>
    <phoneticPr fontId="2" type="noConversion"/>
  </si>
  <si>
    <t>증작</t>
    <phoneticPr fontId="2" type="noConversion"/>
  </si>
  <si>
    <t>SGF2050</t>
    <phoneticPr fontId="2" type="noConversion"/>
  </si>
  <si>
    <t>SGF2033</t>
    <phoneticPr fontId="2" type="noConversion"/>
  </si>
  <si>
    <t>SGP2030R</t>
    <phoneticPr fontId="2" type="noConversion"/>
  </si>
  <si>
    <t>상측박힘2회진행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</si>
  <si>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</si>
  <si>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</si>
  <si>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t>수리완료</t>
    <phoneticPr fontId="2" type="noConversion"/>
  </si>
  <si>
    <r>
      <t>2021년 02월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</si>
  <si>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AMB20E4A-KAA-R8</t>
    <phoneticPr fontId="2" type="noConversion"/>
  </si>
  <si>
    <t>PX13322</t>
    <phoneticPr fontId="2" type="noConversion"/>
  </si>
  <si>
    <t>NP413-136-097#GP</t>
    <phoneticPr fontId="2" type="noConversion"/>
  </si>
  <si>
    <t>SF2255</t>
    <phoneticPr fontId="2" type="noConversion"/>
  </si>
  <si>
    <t>7301</t>
    <phoneticPr fontId="2" type="noConversion"/>
  </si>
  <si>
    <t>AMB1936A-KAA-R1</t>
    <phoneticPr fontId="2" type="noConversion"/>
  </si>
  <si>
    <t>전일 ISSUE 사항(02일)</t>
    <phoneticPr fontId="2" type="noConversion"/>
  </si>
  <si>
    <t>밀핀파손수리</t>
    <phoneticPr fontId="2" type="noConversion"/>
  </si>
  <si>
    <t>수리후양산-&gt;코아파손수리-&gt;BOTTOM만 양산</t>
    <phoneticPr fontId="2" type="noConversion"/>
  </si>
  <si>
    <t>1</t>
    <phoneticPr fontId="2" type="noConversion"/>
  </si>
  <si>
    <t>F/A</t>
    <phoneticPr fontId="2" type="noConversion"/>
  </si>
  <si>
    <t>설비수리후양산</t>
    <phoneticPr fontId="2" type="noConversion"/>
  </si>
  <si>
    <t>발주분양산-&gt;상측박힘6회수리</t>
    <phoneticPr fontId="2" type="noConversion"/>
  </si>
  <si>
    <t>당일 진행 사항(03일)</t>
    <phoneticPr fontId="2" type="noConversion"/>
  </si>
  <si>
    <t>AMB07Z2A-KAA-R1</t>
    <phoneticPr fontId="2" type="noConversion"/>
  </si>
  <si>
    <t>KR6125-A048AD</t>
    <phoneticPr fontId="2" type="noConversion"/>
  </si>
  <si>
    <t>KR6125-B048UA</t>
    <phoneticPr fontId="2" type="noConversion"/>
  </si>
  <si>
    <t>세척후양산</t>
    <phoneticPr fontId="2" type="noConversion"/>
  </si>
  <si>
    <t>SAMPLE 진행 사항(02일)</t>
    <phoneticPr fontId="2" type="noConversion"/>
  </si>
  <si>
    <t>KR6463-B180PMA</t>
    <phoneticPr fontId="2" type="noConversion"/>
  </si>
  <si>
    <t>HR05B-BASE1</t>
    <phoneticPr fontId="2" type="noConversion"/>
  </si>
  <si>
    <t>가스수리,상측박힘정지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</si>
  <si>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</si>
  <si>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</si>
  <si>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t>협의중</t>
    <phoneticPr fontId="2" type="noConversion"/>
  </si>
  <si>
    <r>
      <t>2021년 02월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</si>
  <si>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8301</t>
    <phoneticPr fontId="2" type="noConversion"/>
  </si>
  <si>
    <t>AMB0240A-KAA-R1</t>
    <phoneticPr fontId="2" type="noConversion"/>
  </si>
  <si>
    <t>KR6463-C180TA</t>
    <phoneticPr fontId="2" type="noConversion"/>
  </si>
  <si>
    <t>KR6463-D180PLA</t>
    <phoneticPr fontId="2" type="noConversion"/>
  </si>
  <si>
    <t>전일 ISSUE 사항(03일)</t>
    <phoneticPr fontId="2" type="noConversion"/>
  </si>
  <si>
    <t>코아파손2회정지</t>
    <phoneticPr fontId="2" type="noConversion"/>
  </si>
  <si>
    <t>당일 진행 사항(04일)</t>
    <phoneticPr fontId="2" type="noConversion"/>
  </si>
  <si>
    <t>KR6463-GA180PLA</t>
    <phoneticPr fontId="2" type="noConversion"/>
  </si>
  <si>
    <t>HSF05-M04B1</t>
    <phoneticPr fontId="2" type="noConversion"/>
  </si>
  <si>
    <t>HSF05-M01B1</t>
    <phoneticPr fontId="2" type="noConversion"/>
  </si>
  <si>
    <t>SAMPLE 진행 사항(03일)</t>
    <phoneticPr fontId="2" type="noConversion"/>
  </si>
  <si>
    <t>AMB0240A-KAA-R1(2C)</t>
    <phoneticPr fontId="2" type="noConversion"/>
  </si>
  <si>
    <t>오조립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</si>
  <si>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</si>
  <si>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</si>
  <si>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2021년 02월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</si>
  <si>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PX13322 W/T</t>
    <phoneticPr fontId="2" type="noConversion"/>
  </si>
  <si>
    <t>HDB08PL-96B1</t>
    <phoneticPr fontId="2" type="noConversion"/>
  </si>
  <si>
    <t>TOP</t>
    <phoneticPr fontId="2" type="noConversion"/>
  </si>
  <si>
    <t>4*8,6*12,8*8</t>
    <phoneticPr fontId="2" type="noConversion"/>
  </si>
  <si>
    <t>전일 ISSUE 사항(04일)</t>
    <phoneticPr fontId="2" type="noConversion"/>
  </si>
  <si>
    <t>코아파손수리-&gt;휨정지</t>
    <phoneticPr fontId="2" type="noConversion"/>
  </si>
  <si>
    <t>발주분양산-&gt;상측박힘수리-&gt;1C파손막음</t>
    <phoneticPr fontId="2" type="noConversion"/>
  </si>
  <si>
    <t>발주분양산-&gt;눌림 사고</t>
    <phoneticPr fontId="2" type="noConversion"/>
  </si>
  <si>
    <t>3종</t>
    <phoneticPr fontId="2" type="noConversion"/>
  </si>
  <si>
    <t>발주분양산-&gt;코아파손2회정지</t>
    <phoneticPr fontId="2" type="noConversion"/>
  </si>
  <si>
    <t>발주분양산-&gt;형상이상,치수NG2회정지</t>
    <phoneticPr fontId="2" type="noConversion"/>
  </si>
  <si>
    <t>HSF05-M01B1(증)</t>
    <phoneticPr fontId="2" type="noConversion"/>
  </si>
  <si>
    <t>발주분양산-&gt;형상이상정지</t>
    <phoneticPr fontId="2" type="noConversion"/>
  </si>
  <si>
    <t>당일 진행 사항(05일)</t>
    <phoneticPr fontId="2" type="noConversion"/>
  </si>
  <si>
    <t>코아파손정지</t>
    <phoneticPr fontId="2" type="noConversion"/>
  </si>
  <si>
    <t>AMB07U9A-KAA-R3</t>
    <phoneticPr fontId="2" type="noConversion"/>
  </si>
  <si>
    <t>K-AR3532-1A</t>
    <phoneticPr fontId="2" type="noConversion"/>
  </si>
  <si>
    <t>SAMPLE 진행 사항(04일)</t>
    <phoneticPr fontId="2" type="noConversion"/>
  </si>
  <si>
    <t>NP635-315-006#LB</t>
    <phoneticPr fontId="2" type="noConversion"/>
  </si>
  <si>
    <t>요청</t>
    <phoneticPr fontId="2" type="noConversion"/>
  </si>
  <si>
    <t>A CAV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</si>
  <si>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</si>
  <si>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</si>
  <si>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2021년 02월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</si>
  <si>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4*8</t>
    <phoneticPr fontId="2" type="noConversion"/>
  </si>
  <si>
    <t>AMB0359A-KAA-R1</t>
    <phoneticPr fontId="2" type="noConversion"/>
  </si>
  <si>
    <t>K-AR3531-1A</t>
    <phoneticPr fontId="2" type="noConversion"/>
  </si>
  <si>
    <t>전일 ISSUE 사항(05일)</t>
    <phoneticPr fontId="2" type="noConversion"/>
  </si>
  <si>
    <t>코아파손2회수리</t>
    <phoneticPr fontId="2" type="noConversion"/>
  </si>
  <si>
    <t>발주분양산-&gt;뜯김수리</t>
    <phoneticPr fontId="2" type="noConversion"/>
  </si>
  <si>
    <t>수리후양산(1C수리안됨)</t>
    <phoneticPr fontId="2" type="noConversion"/>
  </si>
  <si>
    <t>6*12</t>
    <phoneticPr fontId="2" type="noConversion"/>
  </si>
  <si>
    <t>발주분양산-&gt;코아파손정지</t>
    <phoneticPr fontId="2" type="noConversion"/>
  </si>
  <si>
    <t>당일 진행 사항(06일)</t>
    <phoneticPr fontId="2" type="noConversion"/>
  </si>
  <si>
    <t>8*8</t>
    <phoneticPr fontId="2" type="noConversion"/>
  </si>
  <si>
    <t>K-R2863-1C</t>
    <phoneticPr fontId="2" type="noConversion"/>
  </si>
  <si>
    <t>SAMPLE 진행 사항(05일)</t>
    <phoneticPr fontId="2" type="noConversion"/>
  </si>
  <si>
    <t>AMB20E4B-KAA-R8</t>
    <phoneticPr fontId="2" type="noConversion"/>
  </si>
  <si>
    <t>뜯김수리</t>
    <phoneticPr fontId="2" type="noConversion"/>
  </si>
  <si>
    <t>AMB0172A-KAA-R2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</si>
  <si>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</si>
  <si>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</si>
  <si>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2021년 02월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</si>
  <si>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LEAD GUIDE</t>
    <phoneticPr fontId="2" type="noConversion"/>
  </si>
  <si>
    <t>K-R2867-1A</t>
  </si>
  <si>
    <t>전일 ISSUE 사항(06일)</t>
    <phoneticPr fontId="2" type="noConversion"/>
  </si>
  <si>
    <t>수리후양산-&gt;뜯김수리-&gt;코아파손수리</t>
    <phoneticPr fontId="2" type="noConversion"/>
  </si>
  <si>
    <t>K-R2867-1A</t>
    <phoneticPr fontId="2" type="noConversion"/>
  </si>
  <si>
    <t>당일 진행 사항(08일)</t>
    <phoneticPr fontId="2" type="noConversion"/>
  </si>
  <si>
    <t>CAM</t>
    <phoneticPr fontId="2" type="noConversion"/>
  </si>
  <si>
    <t>K-R2981-1B</t>
    <phoneticPr fontId="2" type="noConversion"/>
  </si>
  <si>
    <t>K-R2862-1E</t>
    <phoneticPr fontId="2" type="noConversion"/>
  </si>
  <si>
    <t>K-AR3534-1A</t>
    <phoneticPr fontId="2" type="noConversion"/>
  </si>
  <si>
    <t>22P(4POST)</t>
    <phoneticPr fontId="2" type="noConversion"/>
  </si>
  <si>
    <t>16</t>
    <phoneticPr fontId="2" type="noConversion"/>
  </si>
  <si>
    <t>SAMPLE 진행 사항(06일)</t>
    <phoneticPr fontId="2" type="noConversion"/>
  </si>
  <si>
    <t>SGF2030</t>
    <phoneticPr fontId="2" type="noConversion"/>
  </si>
  <si>
    <t>이관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</si>
  <si>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</si>
  <si>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</si>
  <si>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2021년 02월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</si>
  <si>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SGF2033 N/P</t>
    <phoneticPr fontId="2" type="noConversion"/>
  </si>
  <si>
    <t>AMB0245A-KAA-R2</t>
    <phoneticPr fontId="2" type="noConversion"/>
  </si>
  <si>
    <t>22P</t>
    <phoneticPr fontId="2" type="noConversion"/>
  </si>
  <si>
    <t>전일 ISSUE 사항(08일)</t>
    <phoneticPr fontId="2" type="noConversion"/>
  </si>
  <si>
    <t>코아파손수리</t>
    <phoneticPr fontId="2" type="noConversion"/>
  </si>
  <si>
    <t>발주분양산-&gt;POST박힘3회수리</t>
    <phoneticPr fontId="2" type="noConversion"/>
  </si>
  <si>
    <t>발주분양산-&gt;코아파손1C막음</t>
    <phoneticPr fontId="2" type="noConversion"/>
  </si>
  <si>
    <t>발주분양산-&gt;뜯김4회정지</t>
    <phoneticPr fontId="2" type="noConversion"/>
  </si>
  <si>
    <t>발주분양산-&gt;오조립2회수리</t>
    <phoneticPr fontId="2" type="noConversion"/>
  </si>
  <si>
    <t>당일 진행 사항(09일)</t>
    <phoneticPr fontId="2" type="noConversion"/>
  </si>
  <si>
    <t>HR05B-BOTTOM1</t>
    <phoneticPr fontId="2" type="noConversion"/>
  </si>
  <si>
    <t>FLOATING</t>
    <phoneticPr fontId="2" type="noConversion"/>
  </si>
  <si>
    <t>HR05B-FLOATING1</t>
    <phoneticPr fontId="2" type="noConversion"/>
  </si>
  <si>
    <t>10</t>
    <phoneticPr fontId="2" type="noConversion"/>
  </si>
  <si>
    <t>HR05B-COVER1</t>
    <phoneticPr fontId="2" type="noConversion"/>
  </si>
  <si>
    <t>SAMPLE 진행 사항(08일)</t>
    <phoneticPr fontId="2" type="noConversion"/>
  </si>
  <si>
    <t>뜯김4회정지</t>
    <phoneticPr fontId="2" type="noConversion"/>
  </si>
  <si>
    <t>NP595-352-012#LB-1</t>
    <phoneticPr fontId="2" type="noConversion"/>
  </si>
  <si>
    <t>옵션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</si>
  <si>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</si>
  <si>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</si>
  <si>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2021년 02월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</si>
  <si>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HB05B-FLOATING1</t>
    <phoneticPr fontId="2" type="noConversion"/>
  </si>
  <si>
    <t>SGF2030 N/P</t>
    <phoneticPr fontId="2" type="noConversion"/>
  </si>
  <si>
    <t>HB05B-BOTTOM1</t>
    <phoneticPr fontId="2" type="noConversion"/>
  </si>
  <si>
    <t>HB05B-COVER1</t>
    <phoneticPr fontId="2" type="noConversion"/>
  </si>
  <si>
    <t>HB05B-BASE1</t>
    <phoneticPr fontId="2" type="noConversion"/>
  </si>
  <si>
    <t>전일 ISSUE 사항(09일)</t>
    <phoneticPr fontId="2" type="noConversion"/>
  </si>
  <si>
    <t>발주분양산-&gt;상측박힘수리</t>
    <phoneticPr fontId="2" type="noConversion"/>
  </si>
  <si>
    <t>발주분양산-&gt;뜯김정지</t>
    <phoneticPr fontId="2" type="noConversion"/>
  </si>
  <si>
    <t>당일 진행 사항(10일)</t>
    <phoneticPr fontId="2" type="noConversion"/>
  </si>
  <si>
    <t>발주분양산-&gt;BURR수리</t>
    <phoneticPr fontId="2" type="noConversion"/>
  </si>
  <si>
    <t>수리후양산-&gt;뜯김정지</t>
    <phoneticPr fontId="2" type="noConversion"/>
  </si>
  <si>
    <t>뜯김</t>
    <phoneticPr fontId="2" type="noConversion"/>
  </si>
  <si>
    <t>K-JR01903-A180AWB</t>
    <phoneticPr fontId="2" type="noConversion"/>
  </si>
  <si>
    <t>신작</t>
    <phoneticPr fontId="2" type="noConversion"/>
  </si>
  <si>
    <t>형상이상</t>
    <phoneticPr fontId="2" type="noConversion"/>
  </si>
  <si>
    <t>SAMPLE 진행 사항(09일)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</si>
  <si>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</si>
  <si>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</si>
  <si>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t>K-JR01903-D180ZA(증)</t>
    <phoneticPr fontId="2" type="noConversion"/>
  </si>
  <si>
    <t>4</t>
    <phoneticPr fontId="2" type="noConversion"/>
  </si>
  <si>
    <t>PIN BLOCK COVER(5.1mm)</t>
    <phoneticPr fontId="2" type="noConversion"/>
  </si>
  <si>
    <r>
      <t>2021년 02월 10일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</si>
  <si>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AMB0482A-KAA-R1</t>
    <phoneticPr fontId="2" type="noConversion"/>
  </si>
  <si>
    <t>F11</t>
    <phoneticPr fontId="2" type="noConversion"/>
  </si>
  <si>
    <t>LATCH</t>
    <phoneticPr fontId="2" type="noConversion"/>
  </si>
  <si>
    <t>AMB09J3B-KAA-R1</t>
    <phoneticPr fontId="2" type="noConversion"/>
  </si>
  <si>
    <t>AMB0186A-KAA-R1</t>
    <phoneticPr fontId="2" type="noConversion"/>
  </si>
  <si>
    <t>AMB1935A-KAA-R1</t>
    <phoneticPr fontId="2" type="noConversion"/>
  </si>
  <si>
    <t>전일 ISSUE 사항(10일)</t>
    <phoneticPr fontId="2" type="noConversion"/>
  </si>
  <si>
    <t>L/P</t>
    <phoneticPr fontId="2" type="noConversion"/>
  </si>
  <si>
    <t>수리후양산-&gt;뜯김3회정지</t>
    <phoneticPr fontId="2" type="noConversion"/>
  </si>
  <si>
    <t>5.1MM CAP</t>
    <phoneticPr fontId="2" type="noConversion"/>
  </si>
  <si>
    <t>당일 진행 사항(15일)</t>
    <phoneticPr fontId="2" type="noConversion"/>
  </si>
  <si>
    <t>AMB07P2A-KAA-R1</t>
    <phoneticPr fontId="2" type="noConversion"/>
  </si>
  <si>
    <t>AMM08006A-KAA-R1</t>
    <phoneticPr fontId="2" type="noConversion"/>
  </si>
  <si>
    <t>OK75SSD-050-T32-BA-1</t>
    <phoneticPr fontId="2" type="noConversion"/>
  </si>
  <si>
    <t>OKINS</t>
    <phoneticPr fontId="2" type="noConversion"/>
  </si>
  <si>
    <t>SAMPLE 진행 사항(10일)</t>
    <phoneticPr fontId="2" type="noConversion"/>
  </si>
  <si>
    <t>KR6197-GT153PNA</t>
    <phoneticPr fontId="2" type="noConversion"/>
  </si>
  <si>
    <t>K-JR01903-B180AZB</t>
    <phoneticPr fontId="2" type="noConversion"/>
  </si>
  <si>
    <t>SF2250EPR I/V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</si>
  <si>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</si>
  <si>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</si>
  <si>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2021년 02월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</si>
  <si>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AM0143A-K</t>
    <phoneticPr fontId="2" type="noConversion"/>
  </si>
  <si>
    <t>NP635-315-006#IN-A</t>
    <phoneticPr fontId="2" type="noConversion"/>
  </si>
  <si>
    <t>전일 ISSUE 사항(15일)</t>
    <phoneticPr fontId="2" type="noConversion"/>
  </si>
  <si>
    <t>발주분양산-&gt;미성형정지</t>
    <phoneticPr fontId="2" type="noConversion"/>
  </si>
  <si>
    <t>형상이상정지</t>
    <phoneticPr fontId="2" type="noConversion"/>
  </si>
  <si>
    <t>당일 진행 사항(16일)</t>
    <phoneticPr fontId="2" type="noConversion"/>
  </si>
  <si>
    <t>SAMPLE 진행 사항(15일)</t>
    <phoneticPr fontId="2" type="noConversion"/>
  </si>
  <si>
    <t>AMB07U9A-KAA-R3(2C)</t>
    <phoneticPr fontId="2" type="noConversion"/>
  </si>
  <si>
    <t>KR6166-GQ200JA</t>
    <phoneticPr fontId="2" type="noConversion"/>
  </si>
  <si>
    <t>BLUE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</si>
  <si>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</si>
  <si>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</si>
  <si>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2021년 02월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</si>
  <si>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전일 ISSUE 사항(16일)</t>
    <phoneticPr fontId="2" type="noConversion"/>
  </si>
  <si>
    <t>당일 진행 사항(17일)</t>
    <phoneticPr fontId="2" type="noConversion"/>
  </si>
  <si>
    <t>BC1-LG411A</t>
    <phoneticPr fontId="2" type="noConversion"/>
  </si>
  <si>
    <t>K-AR3532-1A(2C)</t>
    <phoneticPr fontId="2" type="noConversion"/>
  </si>
  <si>
    <t>BC1-A411A</t>
    <phoneticPr fontId="2" type="noConversion"/>
  </si>
  <si>
    <t>SAMPLE 진행 사항(16일)</t>
    <phoneticPr fontId="2" type="noConversion"/>
  </si>
  <si>
    <t>AMB20E4A-KAA-R9</t>
    <phoneticPr fontId="2" type="noConversion"/>
  </si>
  <si>
    <t>AMB1904F-KAA-R1</t>
    <phoneticPr fontId="2" type="noConversion"/>
  </si>
  <si>
    <t>코아파손</t>
    <phoneticPr fontId="2" type="noConversion"/>
  </si>
  <si>
    <t>SGF2050 N/P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</si>
  <si>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</si>
  <si>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</si>
  <si>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2021년 02월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</si>
  <si>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BASE,BOTTOM</t>
    <phoneticPr fontId="2" type="noConversion"/>
  </si>
  <si>
    <t>HL072-10M1/2</t>
    <phoneticPr fontId="2" type="noConversion"/>
  </si>
  <si>
    <t>SGP2021R</t>
    <phoneticPr fontId="2" type="noConversion"/>
  </si>
  <si>
    <t>전일 ISSUE 사항(17일)</t>
    <phoneticPr fontId="2" type="noConversion"/>
  </si>
  <si>
    <t>미성형정지</t>
    <phoneticPr fontId="2" type="noConversion"/>
  </si>
  <si>
    <t>발주분양산-&gt;밀핀파손정지</t>
    <phoneticPr fontId="2" type="noConversion"/>
  </si>
  <si>
    <t>HS05B-BASE1</t>
    <phoneticPr fontId="2" type="noConversion"/>
  </si>
  <si>
    <t>수리후양산-&gt;수정정지</t>
    <phoneticPr fontId="2" type="noConversion"/>
  </si>
  <si>
    <t>당일 진행 사항(18일)</t>
    <phoneticPr fontId="2" type="noConversion"/>
  </si>
  <si>
    <t>수정후양산</t>
    <phoneticPr fontId="2" type="noConversion"/>
  </si>
  <si>
    <t>수리후양산-&gt;파손정지</t>
    <phoneticPr fontId="2" type="noConversion"/>
  </si>
  <si>
    <t>SAMPLE 진행 사항(17일)</t>
    <phoneticPr fontId="2" type="noConversion"/>
  </si>
  <si>
    <t>게이트추가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</si>
  <si>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</si>
  <si>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</si>
  <si>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2021년 02월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</si>
  <si>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전일 ISSUE 사항(18일)</t>
    <phoneticPr fontId="2" type="noConversion"/>
  </si>
  <si>
    <t>발주분양산-&gt;금형안닫힘정지</t>
    <phoneticPr fontId="2" type="noConversion"/>
  </si>
  <si>
    <t>당일 진행 사항(19일)</t>
    <phoneticPr fontId="2" type="noConversion"/>
  </si>
  <si>
    <t>HL072-10M3-1</t>
    <phoneticPr fontId="2" type="noConversion"/>
  </si>
  <si>
    <t>수정확인후양산</t>
    <phoneticPr fontId="2" type="noConversion"/>
  </si>
  <si>
    <t>SAMPLE 진행 사항(18일)</t>
    <phoneticPr fontId="2" type="noConversion"/>
  </si>
  <si>
    <t>AMB0173B-KAA-R1</t>
    <phoneticPr fontId="2" type="noConversion"/>
  </si>
  <si>
    <t>치수NG2회,상측박힘2회정지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</si>
  <si>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</si>
  <si>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</si>
  <si>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t>에젝터 볼스크류 교체 완료</t>
    <phoneticPr fontId="2" type="noConversion"/>
  </si>
  <si>
    <r>
      <t>2021년 02월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</si>
  <si>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SHAFT</t>
    <phoneticPr fontId="2" type="noConversion"/>
  </si>
  <si>
    <t>KR6202-06KA</t>
    <phoneticPr fontId="2" type="noConversion"/>
  </si>
  <si>
    <t>JCL3030</t>
    <phoneticPr fontId="2" type="noConversion"/>
  </si>
  <si>
    <t>AMB0172A-KAA-R3</t>
    <phoneticPr fontId="2" type="noConversion"/>
  </si>
  <si>
    <t>전일 ISSUE 사항(19일)</t>
    <phoneticPr fontId="2" type="noConversion"/>
  </si>
  <si>
    <t>발주분양산-&gt;코아파손-&gt;뜯김-&gt;코아파손정지</t>
    <phoneticPr fontId="2" type="noConversion"/>
  </si>
  <si>
    <t>발주분양산-&gt;노즐막힘정지</t>
    <phoneticPr fontId="2" type="noConversion"/>
  </si>
  <si>
    <t>당일 진행 사항(20일)</t>
    <phoneticPr fontId="2" type="noConversion"/>
  </si>
  <si>
    <t>NP413-187-105#IN-B(#A)</t>
    <phoneticPr fontId="2" type="noConversion"/>
  </si>
  <si>
    <t>AMM1237A-KAA/B-R1</t>
    <phoneticPr fontId="2" type="noConversion"/>
  </si>
  <si>
    <t>STOPPER L/R</t>
    <phoneticPr fontId="2" type="noConversion"/>
  </si>
  <si>
    <t>SAMPLE 진행 사항(19일)</t>
    <phoneticPr fontId="2" type="noConversion"/>
  </si>
  <si>
    <t>AMB07Y8A-KAA-R1</t>
    <phoneticPr fontId="2" type="noConversion"/>
  </si>
  <si>
    <t>11,13</t>
    <phoneticPr fontId="2" type="noConversion"/>
  </si>
  <si>
    <t>AMB0358A-KAA-R1</t>
    <phoneticPr fontId="2" type="noConversion"/>
  </si>
  <si>
    <t>AMB0243A-KAA-R1</t>
    <phoneticPr fontId="2" type="noConversion"/>
  </si>
  <si>
    <t>AMB0185A-KAA-R1</t>
    <phoneticPr fontId="2" type="noConversion"/>
  </si>
  <si>
    <t>2C</t>
    <phoneticPr fontId="2" type="noConversion"/>
  </si>
  <si>
    <t>치수확인용</t>
    <phoneticPr fontId="2" type="noConversion"/>
  </si>
  <si>
    <t>치수NG 3회진행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</si>
  <si>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</si>
  <si>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</si>
  <si>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2021년 02월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</si>
  <si>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STOPPPER L/R</t>
    <phoneticPr fontId="2" type="noConversion"/>
  </si>
  <si>
    <t>AMB1237A-KAA/B-R1</t>
    <phoneticPr fontId="2" type="noConversion"/>
  </si>
  <si>
    <t>전일 ISSUE 사항(20일)</t>
    <phoneticPr fontId="2" type="noConversion"/>
  </si>
  <si>
    <t>발주분양산-&gt;상측박힘3회수리</t>
    <phoneticPr fontId="2" type="noConversion"/>
  </si>
  <si>
    <t>뜯김2회수리</t>
    <phoneticPr fontId="2" type="noConversion"/>
  </si>
  <si>
    <t>설비이상정지</t>
    <phoneticPr fontId="2" type="noConversion"/>
  </si>
  <si>
    <t>수리후양산-&gt;코아파손3회수리</t>
    <phoneticPr fontId="2" type="noConversion"/>
  </si>
  <si>
    <t>수리후양산-&gt;금형안닫힘수리</t>
    <phoneticPr fontId="2" type="noConversion"/>
  </si>
  <si>
    <t>당일 진행 사항(22일)</t>
    <phoneticPr fontId="2" type="noConversion"/>
  </si>
  <si>
    <t>AMC0821A-KAA-R1</t>
    <phoneticPr fontId="2" type="noConversion"/>
  </si>
  <si>
    <t>SAMPLE 진행 사항(20일)</t>
    <phoneticPr fontId="2" type="noConversion"/>
  </si>
  <si>
    <t>NP635-315-007#LB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</si>
  <si>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</si>
  <si>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</si>
  <si>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2021년 02월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</si>
  <si>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HRCS-00C13-N</t>
    <phoneticPr fontId="2" type="noConversion"/>
  </si>
  <si>
    <t>2C CONN</t>
    <phoneticPr fontId="2" type="noConversion"/>
  </si>
  <si>
    <t>G1300H</t>
    <phoneticPr fontId="2" type="noConversion"/>
  </si>
  <si>
    <t>AMM0890A-KAC-R1</t>
    <phoneticPr fontId="2" type="noConversion"/>
  </si>
  <si>
    <t>HRCS-00C11-N</t>
    <phoneticPr fontId="2" type="noConversion"/>
  </si>
  <si>
    <t>K-R2866-1A</t>
    <phoneticPr fontId="2" type="noConversion"/>
  </si>
  <si>
    <t>2C BASE</t>
    <phoneticPr fontId="2" type="noConversion"/>
  </si>
  <si>
    <t>발주분양산-&gt;가스정지</t>
    <phoneticPr fontId="2" type="noConversion"/>
  </si>
  <si>
    <t>HRCS-00C11-N(3.3)</t>
    <phoneticPr fontId="2" type="noConversion"/>
  </si>
  <si>
    <t>당일 진행 사항(23일)</t>
    <phoneticPr fontId="2" type="noConversion"/>
  </si>
  <si>
    <t>전일 ISSUE 사항(22일)</t>
    <phoneticPr fontId="2" type="noConversion"/>
  </si>
  <si>
    <t>AMB09J4B-KAA-R2</t>
    <phoneticPr fontId="2" type="noConversion"/>
  </si>
  <si>
    <t>SAMPLE 진행 사항(22일)</t>
    <phoneticPr fontId="2" type="noConversion"/>
  </si>
  <si>
    <t>AMB1934A-KAA-R1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</si>
  <si>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</si>
  <si>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</si>
  <si>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2021년 02월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</si>
  <si>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HS05B-FLOATING1</t>
    <phoneticPr fontId="2" type="noConversion"/>
  </si>
  <si>
    <t>K-AR3533-1A</t>
    <phoneticPr fontId="2" type="noConversion"/>
  </si>
  <si>
    <t>HS05B-BOTTOM1</t>
    <phoneticPr fontId="2" type="noConversion"/>
  </si>
  <si>
    <t>전일 ISSUE 사항(23일)</t>
    <phoneticPr fontId="2" type="noConversion"/>
  </si>
  <si>
    <t>수리후양산-&gt;치수NG</t>
    <phoneticPr fontId="2" type="noConversion"/>
  </si>
  <si>
    <t>HS05B-BOTTOM</t>
    <phoneticPr fontId="2" type="noConversion"/>
  </si>
  <si>
    <t>수리후양산-&gt;코아파손수리</t>
    <phoneticPr fontId="2" type="noConversion"/>
  </si>
  <si>
    <t>당일 진행 사항(24일)</t>
    <phoneticPr fontId="2" type="noConversion"/>
  </si>
  <si>
    <t>설비이동양산</t>
    <phoneticPr fontId="2" type="noConversion"/>
  </si>
  <si>
    <t>HS05B-COVER1</t>
    <phoneticPr fontId="2" type="noConversion"/>
  </si>
  <si>
    <t>KR6197-D475PA</t>
    <phoneticPr fontId="2" type="noConversion"/>
  </si>
  <si>
    <t>SAMPLE 진행 사항(23일)</t>
    <phoneticPr fontId="2" type="noConversion"/>
  </si>
  <si>
    <t>치수NG</t>
    <phoneticPr fontId="2" type="noConversion"/>
  </si>
  <si>
    <t>AMB0190A-KAA-R1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</si>
  <si>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</si>
  <si>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</si>
  <si>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2021년 02월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</si>
  <si>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FLOATING/A</t>
    <phoneticPr fontId="2" type="noConversion"/>
  </si>
  <si>
    <t>K-JR01923-B324AUC</t>
    <phoneticPr fontId="2" type="noConversion"/>
  </si>
  <si>
    <t>HRCS-00C11C</t>
    <phoneticPr fontId="2" type="noConversion"/>
  </si>
  <si>
    <t>전일 ISSUE 사항(24일)</t>
    <phoneticPr fontId="2" type="noConversion"/>
  </si>
  <si>
    <t>발주분양산-&gt;상측박힘2회수리</t>
    <phoneticPr fontId="2" type="noConversion"/>
  </si>
  <si>
    <t>재고분양산</t>
    <phoneticPr fontId="2" type="noConversion"/>
  </si>
  <si>
    <t>발주분양산-&gt;밀핀2회수리</t>
    <phoneticPr fontId="2" type="noConversion"/>
  </si>
  <si>
    <t>당일 진행 사항(25일)</t>
    <phoneticPr fontId="2" type="noConversion"/>
  </si>
  <si>
    <t>AMB07U1A-KAA-R5</t>
    <phoneticPr fontId="2" type="noConversion"/>
  </si>
  <si>
    <t>HRCS-00C12C</t>
    <phoneticPr fontId="2" type="noConversion"/>
  </si>
  <si>
    <t>NP612-316-003#LB</t>
    <phoneticPr fontId="2" type="noConversion"/>
  </si>
  <si>
    <t>SAMPLE 진행 사항(24일)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</si>
  <si>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</si>
  <si>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</si>
  <si>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2021년 02월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</si>
  <si>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전일 ISSUE 사항(25일)</t>
    <phoneticPr fontId="2" type="noConversion"/>
  </si>
  <si>
    <t>당일 진행 사항(26일)</t>
    <phoneticPr fontId="2" type="noConversion"/>
  </si>
  <si>
    <t>K-JR01920-B414AZB</t>
    <phoneticPr fontId="2" type="noConversion"/>
  </si>
  <si>
    <t>K-JR01920-C01AWA</t>
    <phoneticPr fontId="2" type="noConversion"/>
  </si>
  <si>
    <t>K-JR01918-B484AWA</t>
    <phoneticPr fontId="2" type="noConversion"/>
  </si>
  <si>
    <t>SAMPLE 진행 사항(25일)</t>
    <phoneticPr fontId="2" type="noConversion"/>
  </si>
  <si>
    <t>K-AR3549-1A(4C)</t>
    <phoneticPr fontId="2" type="noConversion"/>
  </si>
  <si>
    <t>K-AR3548-1A(4C)</t>
    <phoneticPr fontId="2" type="noConversion"/>
  </si>
  <si>
    <t>K-AR3552-1A(8C)</t>
    <phoneticPr fontId="2" type="noConversion"/>
  </si>
  <si>
    <t>K-AR3553-1A(8C)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</si>
  <si>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</si>
  <si>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</si>
  <si>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2021년 02월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</si>
  <si>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전일 ISSUE 사항(26일)</t>
    <phoneticPr fontId="2" type="noConversion"/>
  </si>
  <si>
    <t>수리후양산-&gt;뜯김수리</t>
    <phoneticPr fontId="2" type="noConversion"/>
  </si>
  <si>
    <t>발주분양산-&gt;코아파손수리</t>
    <phoneticPr fontId="2" type="noConversion"/>
  </si>
  <si>
    <t>당일 진행 사항(27일)</t>
    <phoneticPr fontId="2" type="noConversion"/>
  </si>
  <si>
    <t>SAMPLE 진행 사항(26일)</t>
    <phoneticPr fontId="2" type="noConversion"/>
  </si>
  <si>
    <t>밀핀돌림 2회진행</t>
    <phoneticPr fontId="2" type="noConversion"/>
  </si>
  <si>
    <t>K-AR3550-1A(4C)</t>
    <phoneticPr fontId="2" type="noConversion"/>
  </si>
  <si>
    <t>상측박힘수리,사상</t>
    <phoneticPr fontId="2" type="noConversion"/>
  </si>
  <si>
    <t>KR6156HA841YA</t>
    <phoneticPr fontId="2" type="noConversion"/>
  </si>
  <si>
    <t>KR6463-GA180XXX</t>
    <phoneticPr fontId="2" type="noConversion"/>
  </si>
  <si>
    <t>ER010688</t>
    <phoneticPr fontId="2" type="noConversion"/>
  </si>
  <si>
    <t>원재료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</si>
  <si>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</si>
  <si>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</si>
  <si>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2021년 02월 27일(주간)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</si>
  <si>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전일 ISSUE 사항(27일)</t>
    <phoneticPr fontId="2" type="noConversion"/>
  </si>
  <si>
    <t>H과제 FLOATING_A1-01</t>
    <phoneticPr fontId="2" type="noConversion"/>
  </si>
  <si>
    <t>AMB0157C-KAA-R1</t>
    <phoneticPr fontId="2" type="noConversion"/>
  </si>
  <si>
    <t>NP635-315-006#IN-B</t>
    <phoneticPr fontId="2" type="noConversion"/>
  </si>
  <si>
    <t>72P</t>
    <phoneticPr fontId="2" type="noConversion"/>
  </si>
  <si>
    <t>SAMPLE 진행 사항(27일)</t>
    <phoneticPr fontId="2" type="noConversion"/>
  </si>
  <si>
    <t>KR6197-GK209XX</t>
    <phoneticPr fontId="2" type="noConversion"/>
  </si>
  <si>
    <t>SF22255 I/V</t>
    <phoneticPr fontId="2" type="noConversion"/>
  </si>
  <si>
    <t>금형 수리 내역(27일)</t>
    <phoneticPr fontId="2" type="noConversion"/>
  </si>
  <si>
    <t>설비 점검 내역(27일)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</si>
</sst>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16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9" fontId="7" fillId="29" borderId="3" xfId="8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'01'!$D$6:$D$23</c:f>
              <c:strCache>
                <c:ptCount val="17"/>
                <c:pt idx="0">
                  <c:v>F/ADAPTER</c:v>
                </c:pt>
                <c:pt idx="1">
                  <c:v>BOTTOM</c:v>
                </c:pt>
                <c:pt idx="2">
                  <c:v>COVER</c:v>
                </c:pt>
                <c:pt idx="3">
                  <c:v>STOPPPER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3">
                  <c:v>ACTUATOR</c:v>
                </c:pt>
                <c:pt idx="15">
                  <c:v>BASE</c:v>
                </c:pt>
                <c:pt idx="16">
                  <c:v>STOPPPER</c:v>
                </c:pt>
              </c:strCache>
            </c:strRef>
          </c:cat>
          <c:val>
            <c:numRef>
              <c:f>'01'!$L$6:$L$23</c:f>
              <c:numCache>
                <c:formatCode>_(* #,##0_);_(* \(#,##0\);_(* "-"_);_(@_)</c:formatCode>
                <c:ptCount val="18"/>
                <c:pt idx="1">
                  <c:v>3268</c:v>
                </c:pt>
                <c:pt idx="2">
                  <c:v>3592</c:v>
                </c:pt>
                <c:pt idx="3">
                  <c:v>4441</c:v>
                </c:pt>
                <c:pt idx="4">
                  <c:v>780</c:v>
                </c:pt>
                <c:pt idx="6">
                  <c:v>2806</c:v>
                </c:pt>
                <c:pt idx="7">
                  <c:v>1314</c:v>
                </c:pt>
                <c:pt idx="10">
                  <c:v>670</c:v>
                </c:pt>
                <c:pt idx="11">
                  <c:v>11416</c:v>
                </c:pt>
                <c:pt idx="12">
                  <c:v>660</c:v>
                </c:pt>
                <c:pt idx="13">
                  <c:v>5105</c:v>
                </c:pt>
                <c:pt idx="14">
                  <c:v>660</c:v>
                </c:pt>
                <c:pt idx="15">
                  <c:v>568</c:v>
                </c:pt>
                <c:pt idx="16">
                  <c:v>3880</c:v>
                </c:pt>
                <c:pt idx="17">
                  <c:v>39891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7-4D98-84AE-44A379EB912D}"/>
            </c:ext>
          </c:extLst>
        </c:ser>
        <c:ser>
          <c:idx val="1"/>
          <c:order val="1"/>
          <c:tx>
            <c:v>계획</c:v>
          </c:tx>
          <c:cat>
            <c:strRef>
              <c:f>'01'!$D$6:$D$23</c:f>
              <c:strCache>
                <c:ptCount val="17"/>
                <c:pt idx="0">
                  <c:v>F/ADAPTER</c:v>
                </c:pt>
                <c:pt idx="1">
                  <c:v>BOTTOM</c:v>
                </c:pt>
                <c:pt idx="2">
                  <c:v>COVER</c:v>
                </c:pt>
                <c:pt idx="3">
                  <c:v>STOPPPER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3">
                  <c:v>ACTUATOR</c:v>
                </c:pt>
                <c:pt idx="15">
                  <c:v>BASE</c:v>
                </c:pt>
                <c:pt idx="16">
                  <c:v>STOPPPER</c:v>
                </c:pt>
              </c:strCache>
            </c:strRef>
          </c:cat>
          <c:val>
            <c:numRef>
              <c:f>'01'!$J$6:$J$23</c:f>
              <c:numCache>
                <c:formatCode>_(* #,##0_);_(* \(#,##0\);_(* "-"_);_(@_)</c:formatCode>
                <c:ptCount val="18"/>
                <c:pt idx="0">
                  <c:v>500</c:v>
                </c:pt>
                <c:pt idx="1">
                  <c:v>3268</c:v>
                </c:pt>
                <c:pt idx="2">
                  <c:v>3592</c:v>
                </c:pt>
                <c:pt idx="3">
                  <c:v>4441</c:v>
                </c:pt>
                <c:pt idx="4">
                  <c:v>780</c:v>
                </c:pt>
                <c:pt idx="5">
                  <c:v>609</c:v>
                </c:pt>
                <c:pt idx="6">
                  <c:v>2806</c:v>
                </c:pt>
                <c:pt idx="7">
                  <c:v>1314</c:v>
                </c:pt>
                <c:pt idx="8">
                  <c:v>452</c:v>
                </c:pt>
                <c:pt idx="9">
                  <c:v>4493</c:v>
                </c:pt>
                <c:pt idx="10">
                  <c:v>670</c:v>
                </c:pt>
                <c:pt idx="11">
                  <c:v>11416</c:v>
                </c:pt>
                <c:pt idx="12">
                  <c:v>660</c:v>
                </c:pt>
                <c:pt idx="13">
                  <c:v>5105</c:v>
                </c:pt>
                <c:pt idx="14">
                  <c:v>660</c:v>
                </c:pt>
                <c:pt idx="15">
                  <c:v>568</c:v>
                </c:pt>
                <c:pt idx="16">
                  <c:v>2880</c:v>
                </c:pt>
                <c:pt idx="17">
                  <c:v>39891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7-4D98-84AE-44A379EB9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'01'!$AD$6:$AD$23</c:f>
              <c:strCache>
                <c:ptCount val="18"/>
                <c:pt idx="0">
                  <c:v>0%</c:v>
                </c:pt>
                <c:pt idx="1">
                  <c:v>75%</c:v>
                </c:pt>
                <c:pt idx="2">
                  <c:v>38%</c:v>
                </c:pt>
                <c:pt idx="3">
                  <c:v>88%</c:v>
                </c:pt>
                <c:pt idx="4">
                  <c:v>13%</c:v>
                </c:pt>
                <c:pt idx="5">
                  <c:v>0%</c:v>
                </c:pt>
                <c:pt idx="6">
                  <c:v>58%</c:v>
                </c:pt>
                <c:pt idx="7">
                  <c:v>38%</c:v>
                </c:pt>
                <c:pt idx="8">
                  <c:v>0%</c:v>
                </c:pt>
                <c:pt idx="9">
                  <c:v>0%</c:v>
                </c:pt>
                <c:pt idx="10">
                  <c:v>21%</c:v>
                </c:pt>
                <c:pt idx="11">
                  <c:v>88%</c:v>
                </c:pt>
                <c:pt idx="12">
                  <c:v>13%</c:v>
                </c:pt>
                <c:pt idx="13">
                  <c:v>96%</c:v>
                </c:pt>
                <c:pt idx="14">
                  <c:v>13%</c:v>
                </c:pt>
                <c:pt idx="15">
                  <c:v>13%</c:v>
                </c:pt>
                <c:pt idx="16">
                  <c:v>62%</c:v>
                </c:pt>
                <c:pt idx="17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F/ADAPTER</c:v>
                </c:pt>
                <c:pt idx="1">
                  <c:v>BOTTOM</c:v>
                </c:pt>
                <c:pt idx="2">
                  <c:v>COVER</c:v>
                </c:pt>
                <c:pt idx="3">
                  <c:v>STOPPPER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3">
                  <c:v>ACTUATOR</c:v>
                </c:pt>
                <c:pt idx="15">
                  <c:v>BASE</c:v>
                </c:pt>
                <c:pt idx="16">
                  <c:v>STOPPPER</c:v>
                </c:pt>
              </c:strCache>
            </c:strRef>
          </c:cat>
          <c:val>
            <c:numRef>
              <c:f>'01'!$AD$6:$AD$23</c:f>
              <c:numCache>
                <c:formatCode>0%</c:formatCode>
                <c:ptCount val="18"/>
                <c:pt idx="0">
                  <c:v>0</c:v>
                </c:pt>
                <c:pt idx="1">
                  <c:v>0.75</c:v>
                </c:pt>
                <c:pt idx="2">
                  <c:v>0.375</c:v>
                </c:pt>
                <c:pt idx="3">
                  <c:v>0.875</c:v>
                </c:pt>
                <c:pt idx="4">
                  <c:v>0.125</c:v>
                </c:pt>
                <c:pt idx="5">
                  <c:v>0</c:v>
                </c:pt>
                <c:pt idx="6">
                  <c:v>0.58333333333333337</c:v>
                </c:pt>
                <c:pt idx="7">
                  <c:v>0.375</c:v>
                </c:pt>
                <c:pt idx="8">
                  <c:v>0</c:v>
                </c:pt>
                <c:pt idx="9">
                  <c:v>0</c:v>
                </c:pt>
                <c:pt idx="10">
                  <c:v>0.20833333333333334</c:v>
                </c:pt>
                <c:pt idx="11">
                  <c:v>0.875</c:v>
                </c:pt>
                <c:pt idx="12">
                  <c:v>0.125</c:v>
                </c:pt>
                <c:pt idx="13">
                  <c:v>0.95833333333333337</c:v>
                </c:pt>
                <c:pt idx="14">
                  <c:v>0.125</c:v>
                </c:pt>
                <c:pt idx="15">
                  <c:v>0.125</c:v>
                </c:pt>
                <c:pt idx="16">
                  <c:v>0.61747685185185186</c:v>
                </c:pt>
                <c:pt idx="17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3-484F-91C8-0959698ACE8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33-484F-91C8-0959698ACE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F/ADAPTER</c:v>
                </c:pt>
                <c:pt idx="1">
                  <c:v>BOTTOM</c:v>
                </c:pt>
                <c:pt idx="2">
                  <c:v>COVER</c:v>
                </c:pt>
                <c:pt idx="3">
                  <c:v>STOPPPER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3">
                  <c:v>ACTUATOR</c:v>
                </c:pt>
                <c:pt idx="15">
                  <c:v>BASE</c:v>
                </c:pt>
                <c:pt idx="16">
                  <c:v>STOPPPER</c:v>
                </c:pt>
              </c:strCache>
            </c:strRef>
          </c:cat>
          <c:val>
            <c:numRef>
              <c:f>'01'!$AE$6:$AE$23</c:f>
              <c:numCache>
                <c:formatCode>0%</c:formatCode>
                <c:ptCount val="18"/>
                <c:pt idx="0">
                  <c:v>0.38615612139917693</c:v>
                </c:pt>
                <c:pt idx="1">
                  <c:v>0.38615612139917693</c:v>
                </c:pt>
                <c:pt idx="2">
                  <c:v>0.38615612139917693</c:v>
                </c:pt>
                <c:pt idx="3">
                  <c:v>0.38615612139917693</c:v>
                </c:pt>
                <c:pt idx="4">
                  <c:v>0.38615612139917693</c:v>
                </c:pt>
                <c:pt idx="5">
                  <c:v>0.38615612139917693</c:v>
                </c:pt>
                <c:pt idx="6">
                  <c:v>0.38615612139917693</c:v>
                </c:pt>
                <c:pt idx="7">
                  <c:v>0.38615612139917693</c:v>
                </c:pt>
                <c:pt idx="8">
                  <c:v>0.38615612139917693</c:v>
                </c:pt>
                <c:pt idx="9">
                  <c:v>0.38615612139917693</c:v>
                </c:pt>
                <c:pt idx="10">
                  <c:v>0.38615612139917693</c:v>
                </c:pt>
                <c:pt idx="11">
                  <c:v>0.38615612139917693</c:v>
                </c:pt>
                <c:pt idx="12">
                  <c:v>0.38615612139917693</c:v>
                </c:pt>
                <c:pt idx="13">
                  <c:v>0.38615612139917693</c:v>
                </c:pt>
                <c:pt idx="14">
                  <c:v>0.38615612139917693</c:v>
                </c:pt>
                <c:pt idx="15">
                  <c:v>0.38615612139917693</c:v>
                </c:pt>
                <c:pt idx="16">
                  <c:v>0.38615612139917693</c:v>
                </c:pt>
                <c:pt idx="17">
                  <c:v>0.38615612139917693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33-484F-91C8-0959698AC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'01'!$D$6:$D$23</c:f>
              <c:strCache>
                <c:ptCount val="17"/>
                <c:pt idx="0">
                  <c:v>F/ADAPTER</c:v>
                </c:pt>
                <c:pt idx="1">
                  <c:v>BOTTOM</c:v>
                </c:pt>
                <c:pt idx="2">
                  <c:v>COVER</c:v>
                </c:pt>
                <c:pt idx="3">
                  <c:v>STOPPPER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3">
                  <c:v>ACTUATOR</c:v>
                </c:pt>
                <c:pt idx="15">
                  <c:v>BASE</c:v>
                </c:pt>
                <c:pt idx="16">
                  <c:v>STOPPPER</c:v>
                </c:pt>
              </c:strCache>
            </c:strRef>
          </c:cat>
          <c:val>
            <c:numRef>
              <c:f>'01'!$L$6:$L$23</c:f>
              <c:numCache>
                <c:formatCode>_(* #,##0_);_(* \(#,##0\);_(* "-"_);_(@_)</c:formatCode>
                <c:ptCount val="18"/>
                <c:pt idx="1">
                  <c:v>3268</c:v>
                </c:pt>
                <c:pt idx="2">
                  <c:v>3592</c:v>
                </c:pt>
                <c:pt idx="3">
                  <c:v>4441</c:v>
                </c:pt>
                <c:pt idx="4">
                  <c:v>780</c:v>
                </c:pt>
                <c:pt idx="6">
                  <c:v>2806</c:v>
                </c:pt>
                <c:pt idx="7">
                  <c:v>1314</c:v>
                </c:pt>
                <c:pt idx="10">
                  <c:v>670</c:v>
                </c:pt>
                <c:pt idx="11">
                  <c:v>11416</c:v>
                </c:pt>
                <c:pt idx="12">
                  <c:v>660</c:v>
                </c:pt>
                <c:pt idx="13">
                  <c:v>5105</c:v>
                </c:pt>
                <c:pt idx="14">
                  <c:v>660</c:v>
                </c:pt>
                <c:pt idx="15">
                  <c:v>568</c:v>
                </c:pt>
                <c:pt idx="16">
                  <c:v>3880</c:v>
                </c:pt>
                <c:pt idx="17">
                  <c:v>39891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B-4B5C-92D6-38D91048F1B8}"/>
            </c:ext>
          </c:extLst>
        </c:ser>
        <c:ser>
          <c:idx val="1"/>
          <c:order val="1"/>
          <c:tx>
            <c:v>계획</c:v>
          </c:tx>
          <c:cat>
            <c:strRef>
              <c:f>'01'!$D$6:$D$23</c:f>
              <c:strCache>
                <c:ptCount val="17"/>
                <c:pt idx="0">
                  <c:v>F/ADAPTER</c:v>
                </c:pt>
                <c:pt idx="1">
                  <c:v>BOTTOM</c:v>
                </c:pt>
                <c:pt idx="2">
                  <c:v>COVER</c:v>
                </c:pt>
                <c:pt idx="3">
                  <c:v>STOPPPER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3">
                  <c:v>ACTUATOR</c:v>
                </c:pt>
                <c:pt idx="15">
                  <c:v>BASE</c:v>
                </c:pt>
                <c:pt idx="16">
                  <c:v>STOPPPER</c:v>
                </c:pt>
              </c:strCache>
            </c:strRef>
          </c:cat>
          <c:val>
            <c:numRef>
              <c:f>'01'!$J$6:$J$23</c:f>
              <c:numCache>
                <c:formatCode>_(* #,##0_);_(* \(#,##0\);_(* "-"_);_(@_)</c:formatCode>
                <c:ptCount val="18"/>
                <c:pt idx="0">
                  <c:v>500</c:v>
                </c:pt>
                <c:pt idx="1">
                  <c:v>3268</c:v>
                </c:pt>
                <c:pt idx="2">
                  <c:v>3592</c:v>
                </c:pt>
                <c:pt idx="3">
                  <c:v>4441</c:v>
                </c:pt>
                <c:pt idx="4">
                  <c:v>780</c:v>
                </c:pt>
                <c:pt idx="5">
                  <c:v>609</c:v>
                </c:pt>
                <c:pt idx="6">
                  <c:v>2806</c:v>
                </c:pt>
                <c:pt idx="7">
                  <c:v>1314</c:v>
                </c:pt>
                <c:pt idx="8">
                  <c:v>452</c:v>
                </c:pt>
                <c:pt idx="9">
                  <c:v>4493</c:v>
                </c:pt>
                <c:pt idx="10">
                  <c:v>670</c:v>
                </c:pt>
                <c:pt idx="11">
                  <c:v>11416</c:v>
                </c:pt>
                <c:pt idx="12">
                  <c:v>660</c:v>
                </c:pt>
                <c:pt idx="13">
                  <c:v>5105</c:v>
                </c:pt>
                <c:pt idx="14">
                  <c:v>660</c:v>
                </c:pt>
                <c:pt idx="15">
                  <c:v>568</c:v>
                </c:pt>
                <c:pt idx="16">
                  <c:v>2880</c:v>
                </c:pt>
                <c:pt idx="17">
                  <c:v>39891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DB-4B5C-92D6-38D91048F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'01'!$AD$6:$AD$23</c:f>
              <c:strCache>
                <c:ptCount val="18"/>
                <c:pt idx="0">
                  <c:v>0%</c:v>
                </c:pt>
                <c:pt idx="1">
                  <c:v>75%</c:v>
                </c:pt>
                <c:pt idx="2">
                  <c:v>38%</c:v>
                </c:pt>
                <c:pt idx="3">
                  <c:v>88%</c:v>
                </c:pt>
                <c:pt idx="4">
                  <c:v>13%</c:v>
                </c:pt>
                <c:pt idx="5">
                  <c:v>0%</c:v>
                </c:pt>
                <c:pt idx="6">
                  <c:v>58%</c:v>
                </c:pt>
                <c:pt idx="7">
                  <c:v>38%</c:v>
                </c:pt>
                <c:pt idx="8">
                  <c:v>0%</c:v>
                </c:pt>
                <c:pt idx="9">
                  <c:v>0%</c:v>
                </c:pt>
                <c:pt idx="10">
                  <c:v>21%</c:v>
                </c:pt>
                <c:pt idx="11">
                  <c:v>88%</c:v>
                </c:pt>
                <c:pt idx="12">
                  <c:v>13%</c:v>
                </c:pt>
                <c:pt idx="13">
                  <c:v>96%</c:v>
                </c:pt>
                <c:pt idx="14">
                  <c:v>13%</c:v>
                </c:pt>
                <c:pt idx="15">
                  <c:v>13%</c:v>
                </c:pt>
                <c:pt idx="16">
                  <c:v>62%</c:v>
                </c:pt>
                <c:pt idx="17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F/ADAPTER</c:v>
                </c:pt>
                <c:pt idx="1">
                  <c:v>BOTTOM</c:v>
                </c:pt>
                <c:pt idx="2">
                  <c:v>COVER</c:v>
                </c:pt>
                <c:pt idx="3">
                  <c:v>STOPPPER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3">
                  <c:v>ACTUATOR</c:v>
                </c:pt>
                <c:pt idx="15">
                  <c:v>BASE</c:v>
                </c:pt>
                <c:pt idx="16">
                  <c:v>STOPPPER</c:v>
                </c:pt>
              </c:strCache>
            </c:strRef>
          </c:cat>
          <c:val>
            <c:numRef>
              <c:f>'01'!$AD$6:$AD$23</c:f>
              <c:numCache>
                <c:formatCode>0%</c:formatCode>
                <c:ptCount val="18"/>
                <c:pt idx="0">
                  <c:v>0</c:v>
                </c:pt>
                <c:pt idx="1">
                  <c:v>0.75</c:v>
                </c:pt>
                <c:pt idx="2">
                  <c:v>0.375</c:v>
                </c:pt>
                <c:pt idx="3">
                  <c:v>0.875</c:v>
                </c:pt>
                <c:pt idx="4">
                  <c:v>0.125</c:v>
                </c:pt>
                <c:pt idx="5">
                  <c:v>0</c:v>
                </c:pt>
                <c:pt idx="6">
                  <c:v>0.58333333333333337</c:v>
                </c:pt>
                <c:pt idx="7">
                  <c:v>0.375</c:v>
                </c:pt>
                <c:pt idx="8">
                  <c:v>0</c:v>
                </c:pt>
                <c:pt idx="9">
                  <c:v>0</c:v>
                </c:pt>
                <c:pt idx="10">
                  <c:v>0.20833333333333334</c:v>
                </c:pt>
                <c:pt idx="11">
                  <c:v>0.875</c:v>
                </c:pt>
                <c:pt idx="12">
                  <c:v>0.125</c:v>
                </c:pt>
                <c:pt idx="13">
                  <c:v>0.95833333333333337</c:v>
                </c:pt>
                <c:pt idx="14">
                  <c:v>0.125</c:v>
                </c:pt>
                <c:pt idx="15">
                  <c:v>0.125</c:v>
                </c:pt>
                <c:pt idx="16">
                  <c:v>0.61747685185185186</c:v>
                </c:pt>
                <c:pt idx="17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F3-45A8-874F-5574151A931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F3-45A8-874F-5574151A931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F/ADAPTER</c:v>
                </c:pt>
                <c:pt idx="1">
                  <c:v>BOTTOM</c:v>
                </c:pt>
                <c:pt idx="2">
                  <c:v>COVER</c:v>
                </c:pt>
                <c:pt idx="3">
                  <c:v>STOPPPER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3">
                  <c:v>ACTUATOR</c:v>
                </c:pt>
                <c:pt idx="15">
                  <c:v>BASE</c:v>
                </c:pt>
                <c:pt idx="16">
                  <c:v>STOPPPER</c:v>
                </c:pt>
              </c:strCache>
            </c:strRef>
          </c:cat>
          <c:val>
            <c:numRef>
              <c:f>'01'!$AE$6:$AE$23</c:f>
              <c:numCache>
                <c:formatCode>0%</c:formatCode>
                <c:ptCount val="18"/>
                <c:pt idx="0">
                  <c:v>0.38615612139917693</c:v>
                </c:pt>
                <c:pt idx="1">
                  <c:v>0.38615612139917693</c:v>
                </c:pt>
                <c:pt idx="2">
                  <c:v>0.38615612139917693</c:v>
                </c:pt>
                <c:pt idx="3">
                  <c:v>0.38615612139917693</c:v>
                </c:pt>
                <c:pt idx="4">
                  <c:v>0.38615612139917693</c:v>
                </c:pt>
                <c:pt idx="5">
                  <c:v>0.38615612139917693</c:v>
                </c:pt>
                <c:pt idx="6">
                  <c:v>0.38615612139917693</c:v>
                </c:pt>
                <c:pt idx="7">
                  <c:v>0.38615612139917693</c:v>
                </c:pt>
                <c:pt idx="8">
                  <c:v>0.38615612139917693</c:v>
                </c:pt>
                <c:pt idx="9">
                  <c:v>0.38615612139917693</c:v>
                </c:pt>
                <c:pt idx="10">
                  <c:v>0.38615612139917693</c:v>
                </c:pt>
                <c:pt idx="11">
                  <c:v>0.38615612139917693</c:v>
                </c:pt>
                <c:pt idx="12">
                  <c:v>0.38615612139917693</c:v>
                </c:pt>
                <c:pt idx="13">
                  <c:v>0.38615612139917693</c:v>
                </c:pt>
                <c:pt idx="14">
                  <c:v>0.38615612139917693</c:v>
                </c:pt>
                <c:pt idx="15">
                  <c:v>0.38615612139917693</c:v>
                </c:pt>
                <c:pt idx="16">
                  <c:v>0.38615612139917693</c:v>
                </c:pt>
                <c:pt idx="17">
                  <c:v>0.38615612139917693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F3-45A8-874F-5574151A9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296-40E6-BBB3-B48DEA19F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6-40E6-BBB3-B48DEA19F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296-40E6-BBB3-B48DEA19FE9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96-40E6-BBB3-B48DEA19F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'02'!$D$6:$D$25</c:f>
              <c:strCache>
                <c:ptCount val="19"/>
                <c:pt idx="0">
                  <c:v>F/ADAPTER</c:v>
                </c:pt>
                <c:pt idx="1">
                  <c:v>LATCH PLATE</c:v>
                </c:pt>
                <c:pt idx="2">
                  <c:v>ADAPTER</c:v>
                </c:pt>
                <c:pt idx="4">
                  <c:v>COVER</c:v>
                </c:pt>
                <c:pt idx="5">
                  <c:v>STOPPPER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TOP/BOTTOM</c:v>
                </c:pt>
                <c:pt idx="11">
                  <c:v>BASE</c:v>
                </c:pt>
                <c:pt idx="13">
                  <c:v>BASE</c:v>
                </c:pt>
                <c:pt idx="14">
                  <c:v>BLOCK</c:v>
                </c:pt>
                <c:pt idx="15">
                  <c:v>BASE</c:v>
                </c:pt>
                <c:pt idx="16">
                  <c:v>ACTUATOR</c:v>
                </c:pt>
                <c:pt idx="17">
                  <c:v>ACTUATOR</c:v>
                </c:pt>
                <c:pt idx="18">
                  <c:v>LATCH PLATE</c:v>
                </c:pt>
              </c:strCache>
            </c:strRef>
          </c:cat>
          <c:val>
            <c:numRef>
              <c:f>'02'!$L$6:$L$25</c:f>
              <c:numCache>
                <c:formatCode>_(* #,##0_);_(* \(#,##0\);_(* "-"_);_(@_)</c:formatCode>
                <c:ptCount val="20"/>
                <c:pt idx="0">
                  <c:v>3841</c:v>
                </c:pt>
                <c:pt idx="1">
                  <c:v>800</c:v>
                </c:pt>
                <c:pt idx="2">
                  <c:v>1200</c:v>
                </c:pt>
                <c:pt idx="3">
                  <c:v>3016</c:v>
                </c:pt>
                <c:pt idx="5">
                  <c:v>5448</c:v>
                </c:pt>
                <c:pt idx="6">
                  <c:v>644</c:v>
                </c:pt>
                <c:pt idx="7">
                  <c:v>3786</c:v>
                </c:pt>
                <c:pt idx="9">
                  <c:v>4497</c:v>
                </c:pt>
                <c:pt idx="10">
                  <c:v>2556</c:v>
                </c:pt>
                <c:pt idx="11">
                  <c:v>572</c:v>
                </c:pt>
                <c:pt idx="14">
                  <c:v>12356</c:v>
                </c:pt>
                <c:pt idx="15">
                  <c:v>500</c:v>
                </c:pt>
                <c:pt idx="16">
                  <c:v>3878</c:v>
                </c:pt>
                <c:pt idx="17">
                  <c:v>4782</c:v>
                </c:pt>
                <c:pt idx="18">
                  <c:v>1166</c:v>
                </c:pt>
                <c:pt idx="19">
                  <c:v>45588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BD-41CF-8F48-0A5789E1BDD4}"/>
            </c:ext>
          </c:extLst>
        </c:ser>
        <c:ser>
          <c:idx val="1"/>
          <c:order val="1"/>
          <c:tx>
            <c:v>계획</c:v>
          </c:tx>
          <c:cat>
            <c:strRef>
              <c:f>'02'!$D$6:$D$25</c:f>
              <c:strCache>
                <c:ptCount val="19"/>
                <c:pt idx="0">
                  <c:v>F/ADAPTER</c:v>
                </c:pt>
                <c:pt idx="1">
                  <c:v>LATCH PLATE</c:v>
                </c:pt>
                <c:pt idx="2">
                  <c:v>ADAPTER</c:v>
                </c:pt>
                <c:pt idx="4">
                  <c:v>COVER</c:v>
                </c:pt>
                <c:pt idx="5">
                  <c:v>STOPPPER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TOP/BOTTOM</c:v>
                </c:pt>
                <c:pt idx="11">
                  <c:v>BASE</c:v>
                </c:pt>
                <c:pt idx="13">
                  <c:v>BASE</c:v>
                </c:pt>
                <c:pt idx="14">
                  <c:v>BLOCK</c:v>
                </c:pt>
                <c:pt idx="15">
                  <c:v>BASE</c:v>
                </c:pt>
                <c:pt idx="16">
                  <c:v>ACTUATOR</c:v>
                </c:pt>
                <c:pt idx="17">
                  <c:v>ACTUATOR</c:v>
                </c:pt>
                <c:pt idx="18">
                  <c:v>LATCH PLATE</c:v>
                </c:pt>
              </c:strCache>
            </c:strRef>
          </c:cat>
          <c:val>
            <c:numRef>
              <c:f>'02'!$J$6:$J$25</c:f>
              <c:numCache>
                <c:formatCode>_(* #,##0_);_(* \(#,##0\);_(* "-"_);_(@_)</c:formatCode>
                <c:ptCount val="20"/>
                <c:pt idx="0">
                  <c:v>3841</c:v>
                </c:pt>
                <c:pt idx="1">
                  <c:v>800</c:v>
                </c:pt>
                <c:pt idx="2">
                  <c:v>1200</c:v>
                </c:pt>
                <c:pt idx="3">
                  <c:v>3016</c:v>
                </c:pt>
                <c:pt idx="4">
                  <c:v>3592</c:v>
                </c:pt>
                <c:pt idx="5">
                  <c:v>5448</c:v>
                </c:pt>
                <c:pt idx="6">
                  <c:v>644</c:v>
                </c:pt>
                <c:pt idx="7">
                  <c:v>3786</c:v>
                </c:pt>
                <c:pt idx="8">
                  <c:v>609</c:v>
                </c:pt>
                <c:pt idx="9">
                  <c:v>4497</c:v>
                </c:pt>
                <c:pt idx="10">
                  <c:v>2556</c:v>
                </c:pt>
                <c:pt idx="11">
                  <c:v>572</c:v>
                </c:pt>
                <c:pt idx="12">
                  <c:v>4493</c:v>
                </c:pt>
                <c:pt idx="13">
                  <c:v>670</c:v>
                </c:pt>
                <c:pt idx="14">
                  <c:v>12356</c:v>
                </c:pt>
                <c:pt idx="15">
                  <c:v>500</c:v>
                </c:pt>
                <c:pt idx="16">
                  <c:v>3878</c:v>
                </c:pt>
                <c:pt idx="17">
                  <c:v>4782</c:v>
                </c:pt>
                <c:pt idx="18">
                  <c:v>1166</c:v>
                </c:pt>
                <c:pt idx="19">
                  <c:v>45588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BD-41CF-8F48-0A5789E1B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'02'!$AD$6:$AD$25</c:f>
              <c:strCache>
                <c:ptCount val="20"/>
                <c:pt idx="0">
                  <c:v>75%</c:v>
                </c:pt>
                <c:pt idx="1">
                  <c:v>8%</c:v>
                </c:pt>
                <c:pt idx="2">
                  <c:v>17%</c:v>
                </c:pt>
                <c:pt idx="3">
                  <c:v>63%</c:v>
                </c:pt>
                <c:pt idx="4">
                  <c:v>0%</c:v>
                </c:pt>
                <c:pt idx="5">
                  <c:v>100%</c:v>
                </c:pt>
                <c:pt idx="6">
                  <c:v>8%</c:v>
                </c:pt>
                <c:pt idx="7">
                  <c:v>46%</c:v>
                </c:pt>
                <c:pt idx="8">
                  <c:v>0%</c:v>
                </c:pt>
                <c:pt idx="9">
                  <c:v>88%</c:v>
                </c:pt>
                <c:pt idx="10">
                  <c:v>67%</c:v>
                </c:pt>
                <c:pt idx="11">
                  <c:v>38%</c:v>
                </c:pt>
                <c:pt idx="12">
                  <c:v>0%</c:v>
                </c:pt>
                <c:pt idx="13">
                  <c:v>0%</c:v>
                </c:pt>
                <c:pt idx="14">
                  <c:v>88%</c:v>
                </c:pt>
                <c:pt idx="15">
                  <c:v>17%</c:v>
                </c:pt>
                <c:pt idx="16">
                  <c:v>42%</c:v>
                </c:pt>
                <c:pt idx="17">
                  <c:v>100%</c:v>
                </c:pt>
                <c:pt idx="18">
                  <c:v>17%</c:v>
                </c:pt>
                <c:pt idx="19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'02'!$D$6:$D$25</c:f>
              <c:strCache>
                <c:ptCount val="19"/>
                <c:pt idx="0">
                  <c:v>F/ADAPTER</c:v>
                </c:pt>
                <c:pt idx="1">
                  <c:v>LATCH PLATE</c:v>
                </c:pt>
                <c:pt idx="2">
                  <c:v>ADAPTER</c:v>
                </c:pt>
                <c:pt idx="4">
                  <c:v>COVER</c:v>
                </c:pt>
                <c:pt idx="5">
                  <c:v>STOPPPER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TOP/BOTTOM</c:v>
                </c:pt>
                <c:pt idx="11">
                  <c:v>BASE</c:v>
                </c:pt>
                <c:pt idx="13">
                  <c:v>BASE</c:v>
                </c:pt>
                <c:pt idx="14">
                  <c:v>BLOCK</c:v>
                </c:pt>
                <c:pt idx="15">
                  <c:v>BASE</c:v>
                </c:pt>
                <c:pt idx="16">
                  <c:v>ACTUATOR</c:v>
                </c:pt>
                <c:pt idx="17">
                  <c:v>ACTUATOR</c:v>
                </c:pt>
                <c:pt idx="18">
                  <c:v>LATCH PLATE</c:v>
                </c:pt>
              </c:strCache>
            </c:strRef>
          </c:cat>
          <c:val>
            <c:numRef>
              <c:f>'02'!$AD$6:$AD$25</c:f>
              <c:numCache>
                <c:formatCode>0%</c:formatCode>
                <c:ptCount val="20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0.625</c:v>
                </c:pt>
                <c:pt idx="4">
                  <c:v>0</c:v>
                </c:pt>
                <c:pt idx="5">
                  <c:v>1</c:v>
                </c:pt>
                <c:pt idx="6">
                  <c:v>8.3333333333333329E-2</c:v>
                </c:pt>
                <c:pt idx="7">
                  <c:v>0.45833333333333331</c:v>
                </c:pt>
                <c:pt idx="8">
                  <c:v>0</c:v>
                </c:pt>
                <c:pt idx="9">
                  <c:v>0.875</c:v>
                </c:pt>
                <c:pt idx="10">
                  <c:v>0.66666666666666663</c:v>
                </c:pt>
                <c:pt idx="11">
                  <c:v>0.375</c:v>
                </c:pt>
                <c:pt idx="12">
                  <c:v>0</c:v>
                </c:pt>
                <c:pt idx="13">
                  <c:v>0</c:v>
                </c:pt>
                <c:pt idx="14">
                  <c:v>0.875</c:v>
                </c:pt>
                <c:pt idx="15">
                  <c:v>0.16666666666666666</c:v>
                </c:pt>
                <c:pt idx="16">
                  <c:v>0.41666666666666669</c:v>
                </c:pt>
                <c:pt idx="17">
                  <c:v>1</c:v>
                </c:pt>
                <c:pt idx="18">
                  <c:v>0.16666666666666666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95-46DB-BFAD-860ED0CB62A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95-46DB-BFAD-860ED0CB62A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'02'!$D$6:$D$25</c:f>
              <c:strCache>
                <c:ptCount val="19"/>
                <c:pt idx="0">
                  <c:v>F/ADAPTER</c:v>
                </c:pt>
                <c:pt idx="1">
                  <c:v>LATCH PLATE</c:v>
                </c:pt>
                <c:pt idx="2">
                  <c:v>ADAPTER</c:v>
                </c:pt>
                <c:pt idx="4">
                  <c:v>COVER</c:v>
                </c:pt>
                <c:pt idx="5">
                  <c:v>STOPPPER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TOP/BOTTOM</c:v>
                </c:pt>
                <c:pt idx="11">
                  <c:v>BASE</c:v>
                </c:pt>
                <c:pt idx="13">
                  <c:v>BASE</c:v>
                </c:pt>
                <c:pt idx="14">
                  <c:v>BLOCK</c:v>
                </c:pt>
                <c:pt idx="15">
                  <c:v>BASE</c:v>
                </c:pt>
                <c:pt idx="16">
                  <c:v>ACTUATOR</c:v>
                </c:pt>
                <c:pt idx="17">
                  <c:v>ACTUATOR</c:v>
                </c:pt>
                <c:pt idx="18">
                  <c:v>LATCH PLATE</c:v>
                </c:pt>
              </c:strCache>
            </c:strRef>
          </c:cat>
          <c:val>
            <c:numRef>
              <c:f>'02'!$AE$6:$AE$25</c:f>
              <c:numCache>
                <c:formatCode>0%</c:formatCode>
                <c:ptCount val="20"/>
                <c:pt idx="0">
                  <c:v>0.43541666666666679</c:v>
                </c:pt>
                <c:pt idx="1">
                  <c:v>0.43541666666666679</c:v>
                </c:pt>
                <c:pt idx="2">
                  <c:v>0.43541666666666679</c:v>
                </c:pt>
                <c:pt idx="3">
                  <c:v>0.43541666666666679</c:v>
                </c:pt>
                <c:pt idx="4">
                  <c:v>0.43541666666666679</c:v>
                </c:pt>
                <c:pt idx="5">
                  <c:v>0.43541666666666679</c:v>
                </c:pt>
                <c:pt idx="6">
                  <c:v>0.43541666666666679</c:v>
                </c:pt>
                <c:pt idx="7">
                  <c:v>0.43541666666666679</c:v>
                </c:pt>
                <c:pt idx="8">
                  <c:v>0.43541666666666679</c:v>
                </c:pt>
                <c:pt idx="9">
                  <c:v>0.43541666666666679</c:v>
                </c:pt>
                <c:pt idx="10">
                  <c:v>0.43541666666666679</c:v>
                </c:pt>
                <c:pt idx="11">
                  <c:v>0.43541666666666679</c:v>
                </c:pt>
                <c:pt idx="12">
                  <c:v>0.43541666666666679</c:v>
                </c:pt>
                <c:pt idx="13">
                  <c:v>0.43541666666666679</c:v>
                </c:pt>
                <c:pt idx="14">
                  <c:v>0.43541666666666679</c:v>
                </c:pt>
                <c:pt idx="15">
                  <c:v>0.43541666666666679</c:v>
                </c:pt>
                <c:pt idx="16">
                  <c:v>0.43541666666666679</c:v>
                </c:pt>
                <c:pt idx="17">
                  <c:v>0.43541666666666679</c:v>
                </c:pt>
                <c:pt idx="18">
                  <c:v>0.43541666666666679</c:v>
                </c:pt>
                <c:pt idx="19">
                  <c:v>0.43541666666666679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95-46DB-BFAD-860ED0CB6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'02'!$D$6:$D$25</c:f>
              <c:strCache>
                <c:ptCount val="19"/>
                <c:pt idx="0">
                  <c:v>F/ADAPTER</c:v>
                </c:pt>
                <c:pt idx="1">
                  <c:v>LATCH PLATE</c:v>
                </c:pt>
                <c:pt idx="2">
                  <c:v>ADAPTER</c:v>
                </c:pt>
                <c:pt idx="4">
                  <c:v>COVER</c:v>
                </c:pt>
                <c:pt idx="5">
                  <c:v>STOPPPER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TOP/BOTTOM</c:v>
                </c:pt>
                <c:pt idx="11">
                  <c:v>BASE</c:v>
                </c:pt>
                <c:pt idx="13">
                  <c:v>BASE</c:v>
                </c:pt>
                <c:pt idx="14">
                  <c:v>BLOCK</c:v>
                </c:pt>
                <c:pt idx="15">
                  <c:v>BASE</c:v>
                </c:pt>
                <c:pt idx="16">
                  <c:v>ACTUATOR</c:v>
                </c:pt>
                <c:pt idx="17">
                  <c:v>ACTUATOR</c:v>
                </c:pt>
                <c:pt idx="18">
                  <c:v>LATCH PLATE</c:v>
                </c:pt>
              </c:strCache>
            </c:strRef>
          </c:cat>
          <c:val>
            <c:numRef>
              <c:f>'02'!$L$6:$L$25</c:f>
              <c:numCache>
                <c:formatCode>_(* #,##0_);_(* \(#,##0\);_(* "-"_);_(@_)</c:formatCode>
                <c:ptCount val="20"/>
                <c:pt idx="0">
                  <c:v>3841</c:v>
                </c:pt>
                <c:pt idx="1">
                  <c:v>800</c:v>
                </c:pt>
                <c:pt idx="2">
                  <c:v>1200</c:v>
                </c:pt>
                <c:pt idx="3">
                  <c:v>3016</c:v>
                </c:pt>
                <c:pt idx="5">
                  <c:v>5448</c:v>
                </c:pt>
                <c:pt idx="6">
                  <c:v>644</c:v>
                </c:pt>
                <c:pt idx="7">
                  <c:v>3786</c:v>
                </c:pt>
                <c:pt idx="9">
                  <c:v>4497</c:v>
                </c:pt>
                <c:pt idx="10">
                  <c:v>2556</c:v>
                </c:pt>
                <c:pt idx="11">
                  <c:v>572</c:v>
                </c:pt>
                <c:pt idx="14">
                  <c:v>12356</c:v>
                </c:pt>
                <c:pt idx="15">
                  <c:v>500</c:v>
                </c:pt>
                <c:pt idx="16">
                  <c:v>3878</c:v>
                </c:pt>
                <c:pt idx="17">
                  <c:v>4782</c:v>
                </c:pt>
                <c:pt idx="18">
                  <c:v>1166</c:v>
                </c:pt>
                <c:pt idx="19">
                  <c:v>45588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7F-4BEE-BA27-4F254C7D8245}"/>
            </c:ext>
          </c:extLst>
        </c:ser>
        <c:ser>
          <c:idx val="1"/>
          <c:order val="1"/>
          <c:tx>
            <c:v>계획</c:v>
          </c:tx>
          <c:cat>
            <c:strRef>
              <c:f>'02'!$D$6:$D$25</c:f>
              <c:strCache>
                <c:ptCount val="19"/>
                <c:pt idx="0">
                  <c:v>F/ADAPTER</c:v>
                </c:pt>
                <c:pt idx="1">
                  <c:v>LATCH PLATE</c:v>
                </c:pt>
                <c:pt idx="2">
                  <c:v>ADAPTER</c:v>
                </c:pt>
                <c:pt idx="4">
                  <c:v>COVER</c:v>
                </c:pt>
                <c:pt idx="5">
                  <c:v>STOPPPER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TOP/BOTTOM</c:v>
                </c:pt>
                <c:pt idx="11">
                  <c:v>BASE</c:v>
                </c:pt>
                <c:pt idx="13">
                  <c:v>BASE</c:v>
                </c:pt>
                <c:pt idx="14">
                  <c:v>BLOCK</c:v>
                </c:pt>
                <c:pt idx="15">
                  <c:v>BASE</c:v>
                </c:pt>
                <c:pt idx="16">
                  <c:v>ACTUATOR</c:v>
                </c:pt>
                <c:pt idx="17">
                  <c:v>ACTUATOR</c:v>
                </c:pt>
                <c:pt idx="18">
                  <c:v>LATCH PLATE</c:v>
                </c:pt>
              </c:strCache>
            </c:strRef>
          </c:cat>
          <c:val>
            <c:numRef>
              <c:f>'02'!$J$6:$J$25</c:f>
              <c:numCache>
                <c:formatCode>_(* #,##0_);_(* \(#,##0\);_(* "-"_);_(@_)</c:formatCode>
                <c:ptCount val="20"/>
                <c:pt idx="0">
                  <c:v>3841</c:v>
                </c:pt>
                <c:pt idx="1">
                  <c:v>800</c:v>
                </c:pt>
                <c:pt idx="2">
                  <c:v>1200</c:v>
                </c:pt>
                <c:pt idx="3">
                  <c:v>3016</c:v>
                </c:pt>
                <c:pt idx="4">
                  <c:v>3592</c:v>
                </c:pt>
                <c:pt idx="5">
                  <c:v>5448</c:v>
                </c:pt>
                <c:pt idx="6">
                  <c:v>644</c:v>
                </c:pt>
                <c:pt idx="7">
                  <c:v>3786</c:v>
                </c:pt>
                <c:pt idx="8">
                  <c:v>609</c:v>
                </c:pt>
                <c:pt idx="9">
                  <c:v>4497</c:v>
                </c:pt>
                <c:pt idx="10">
                  <c:v>2556</c:v>
                </c:pt>
                <c:pt idx="11">
                  <c:v>572</c:v>
                </c:pt>
                <c:pt idx="12">
                  <c:v>4493</c:v>
                </c:pt>
                <c:pt idx="13">
                  <c:v>670</c:v>
                </c:pt>
                <c:pt idx="14">
                  <c:v>12356</c:v>
                </c:pt>
                <c:pt idx="15">
                  <c:v>500</c:v>
                </c:pt>
                <c:pt idx="16">
                  <c:v>3878</c:v>
                </c:pt>
                <c:pt idx="17">
                  <c:v>4782</c:v>
                </c:pt>
                <c:pt idx="18">
                  <c:v>1166</c:v>
                </c:pt>
                <c:pt idx="19">
                  <c:v>45588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7F-4BEE-BA27-4F254C7D8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'02'!$AD$6:$AD$25</c:f>
              <c:strCache>
                <c:ptCount val="20"/>
                <c:pt idx="0">
                  <c:v>75%</c:v>
                </c:pt>
                <c:pt idx="1">
                  <c:v>8%</c:v>
                </c:pt>
                <c:pt idx="2">
                  <c:v>17%</c:v>
                </c:pt>
                <c:pt idx="3">
                  <c:v>63%</c:v>
                </c:pt>
                <c:pt idx="4">
                  <c:v>0%</c:v>
                </c:pt>
                <c:pt idx="5">
                  <c:v>100%</c:v>
                </c:pt>
                <c:pt idx="6">
                  <c:v>8%</c:v>
                </c:pt>
                <c:pt idx="7">
                  <c:v>46%</c:v>
                </c:pt>
                <c:pt idx="8">
                  <c:v>0%</c:v>
                </c:pt>
                <c:pt idx="9">
                  <c:v>88%</c:v>
                </c:pt>
                <c:pt idx="10">
                  <c:v>67%</c:v>
                </c:pt>
                <c:pt idx="11">
                  <c:v>38%</c:v>
                </c:pt>
                <c:pt idx="12">
                  <c:v>0%</c:v>
                </c:pt>
                <c:pt idx="13">
                  <c:v>0%</c:v>
                </c:pt>
                <c:pt idx="14">
                  <c:v>88%</c:v>
                </c:pt>
                <c:pt idx="15">
                  <c:v>17%</c:v>
                </c:pt>
                <c:pt idx="16">
                  <c:v>42%</c:v>
                </c:pt>
                <c:pt idx="17">
                  <c:v>100%</c:v>
                </c:pt>
                <c:pt idx="18">
                  <c:v>17%</c:v>
                </c:pt>
                <c:pt idx="19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'02'!$D$6:$D$25</c:f>
              <c:strCache>
                <c:ptCount val="19"/>
                <c:pt idx="0">
                  <c:v>F/ADAPTER</c:v>
                </c:pt>
                <c:pt idx="1">
                  <c:v>LATCH PLATE</c:v>
                </c:pt>
                <c:pt idx="2">
                  <c:v>ADAPTER</c:v>
                </c:pt>
                <c:pt idx="4">
                  <c:v>COVER</c:v>
                </c:pt>
                <c:pt idx="5">
                  <c:v>STOPPPER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TOP/BOTTOM</c:v>
                </c:pt>
                <c:pt idx="11">
                  <c:v>BASE</c:v>
                </c:pt>
                <c:pt idx="13">
                  <c:v>BASE</c:v>
                </c:pt>
                <c:pt idx="14">
                  <c:v>BLOCK</c:v>
                </c:pt>
                <c:pt idx="15">
                  <c:v>BASE</c:v>
                </c:pt>
                <c:pt idx="16">
                  <c:v>ACTUATOR</c:v>
                </c:pt>
                <c:pt idx="17">
                  <c:v>ACTUATOR</c:v>
                </c:pt>
                <c:pt idx="18">
                  <c:v>LATCH PLATE</c:v>
                </c:pt>
              </c:strCache>
            </c:strRef>
          </c:cat>
          <c:val>
            <c:numRef>
              <c:f>'02'!$AD$6:$AD$25</c:f>
              <c:numCache>
                <c:formatCode>0%</c:formatCode>
                <c:ptCount val="20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0.625</c:v>
                </c:pt>
                <c:pt idx="4">
                  <c:v>0</c:v>
                </c:pt>
                <c:pt idx="5">
                  <c:v>1</c:v>
                </c:pt>
                <c:pt idx="6">
                  <c:v>8.3333333333333329E-2</c:v>
                </c:pt>
                <c:pt idx="7">
                  <c:v>0.45833333333333331</c:v>
                </c:pt>
                <c:pt idx="8">
                  <c:v>0</c:v>
                </c:pt>
                <c:pt idx="9">
                  <c:v>0.875</c:v>
                </c:pt>
                <c:pt idx="10">
                  <c:v>0.66666666666666663</c:v>
                </c:pt>
                <c:pt idx="11">
                  <c:v>0.375</c:v>
                </c:pt>
                <c:pt idx="12">
                  <c:v>0</c:v>
                </c:pt>
                <c:pt idx="13">
                  <c:v>0</c:v>
                </c:pt>
                <c:pt idx="14">
                  <c:v>0.875</c:v>
                </c:pt>
                <c:pt idx="15">
                  <c:v>0.16666666666666666</c:v>
                </c:pt>
                <c:pt idx="16">
                  <c:v>0.41666666666666669</c:v>
                </c:pt>
                <c:pt idx="17">
                  <c:v>1</c:v>
                </c:pt>
                <c:pt idx="18">
                  <c:v>0.16666666666666666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71-4645-AF24-016DAACBB6C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71-4645-AF24-016DAACBB6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'02'!$D$6:$D$25</c:f>
              <c:strCache>
                <c:ptCount val="19"/>
                <c:pt idx="0">
                  <c:v>F/ADAPTER</c:v>
                </c:pt>
                <c:pt idx="1">
                  <c:v>LATCH PLATE</c:v>
                </c:pt>
                <c:pt idx="2">
                  <c:v>ADAPTER</c:v>
                </c:pt>
                <c:pt idx="4">
                  <c:v>COVER</c:v>
                </c:pt>
                <c:pt idx="5">
                  <c:v>STOPPPER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TOP/BOTTOM</c:v>
                </c:pt>
                <c:pt idx="11">
                  <c:v>BASE</c:v>
                </c:pt>
                <c:pt idx="13">
                  <c:v>BASE</c:v>
                </c:pt>
                <c:pt idx="14">
                  <c:v>BLOCK</c:v>
                </c:pt>
                <c:pt idx="15">
                  <c:v>BASE</c:v>
                </c:pt>
                <c:pt idx="16">
                  <c:v>ACTUATOR</c:v>
                </c:pt>
                <c:pt idx="17">
                  <c:v>ACTUATOR</c:v>
                </c:pt>
                <c:pt idx="18">
                  <c:v>LATCH PLATE</c:v>
                </c:pt>
              </c:strCache>
            </c:strRef>
          </c:cat>
          <c:val>
            <c:numRef>
              <c:f>'02'!$AE$6:$AE$25</c:f>
              <c:numCache>
                <c:formatCode>0%</c:formatCode>
                <c:ptCount val="20"/>
                <c:pt idx="0">
                  <c:v>0.43541666666666679</c:v>
                </c:pt>
                <c:pt idx="1">
                  <c:v>0.43541666666666679</c:v>
                </c:pt>
                <c:pt idx="2">
                  <c:v>0.43541666666666679</c:v>
                </c:pt>
                <c:pt idx="3">
                  <c:v>0.43541666666666679</c:v>
                </c:pt>
                <c:pt idx="4">
                  <c:v>0.43541666666666679</c:v>
                </c:pt>
                <c:pt idx="5">
                  <c:v>0.43541666666666679</c:v>
                </c:pt>
                <c:pt idx="6">
                  <c:v>0.43541666666666679</c:v>
                </c:pt>
                <c:pt idx="7">
                  <c:v>0.43541666666666679</c:v>
                </c:pt>
                <c:pt idx="8">
                  <c:v>0.43541666666666679</c:v>
                </c:pt>
                <c:pt idx="9">
                  <c:v>0.43541666666666679</c:v>
                </c:pt>
                <c:pt idx="10">
                  <c:v>0.43541666666666679</c:v>
                </c:pt>
                <c:pt idx="11">
                  <c:v>0.43541666666666679</c:v>
                </c:pt>
                <c:pt idx="12">
                  <c:v>0.43541666666666679</c:v>
                </c:pt>
                <c:pt idx="13">
                  <c:v>0.43541666666666679</c:v>
                </c:pt>
                <c:pt idx="14">
                  <c:v>0.43541666666666679</c:v>
                </c:pt>
                <c:pt idx="15">
                  <c:v>0.43541666666666679</c:v>
                </c:pt>
                <c:pt idx="16">
                  <c:v>0.43541666666666679</c:v>
                </c:pt>
                <c:pt idx="17">
                  <c:v>0.43541666666666679</c:v>
                </c:pt>
                <c:pt idx="18">
                  <c:v>0.43541666666666679</c:v>
                </c:pt>
                <c:pt idx="19">
                  <c:v>0.43541666666666679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71-4645-AF24-016DAACBB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50D-4835-9649-73AC0C2E60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D-4835-9649-73AC0C2E6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50D-4835-9649-73AC0C2E60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0D-4835-9649-73AC0C2E6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TOP/BOTTOM</c:v>
                </c:pt>
                <c:pt idx="10">
                  <c:v>BASE</c:v>
                </c:pt>
                <c:pt idx="12">
                  <c:v>SLIDER</c:v>
                </c:pt>
                <c:pt idx="13">
                  <c:v>BLOCK</c:v>
                </c:pt>
                <c:pt idx="14">
                  <c:v>BASE</c:v>
                </c:pt>
                <c:pt idx="15">
                  <c:v>ACTUATOR</c:v>
                </c:pt>
                <c:pt idx="16">
                  <c:v>LATCH PLATE</c:v>
                </c:pt>
              </c:strCache>
            </c:strRef>
          </c:cat>
          <c:val>
            <c:numRef>
              <c:f>'03'!$L$6:$L$23</c:f>
              <c:numCache>
                <c:formatCode>_(* #,##0_);_(* \(#,##0\);_(* "-"_);_(@_)</c:formatCode>
                <c:ptCount val="18"/>
                <c:pt idx="0">
                  <c:v>6284</c:v>
                </c:pt>
                <c:pt idx="1">
                  <c:v>810</c:v>
                </c:pt>
                <c:pt idx="2">
                  <c:v>3960</c:v>
                </c:pt>
                <c:pt idx="3">
                  <c:v>3706</c:v>
                </c:pt>
                <c:pt idx="4">
                  <c:v>5546</c:v>
                </c:pt>
                <c:pt idx="5">
                  <c:v>2070</c:v>
                </c:pt>
                <c:pt idx="6">
                  <c:v>3914</c:v>
                </c:pt>
                <c:pt idx="7">
                  <c:v>4760</c:v>
                </c:pt>
                <c:pt idx="8">
                  <c:v>4981</c:v>
                </c:pt>
                <c:pt idx="9">
                  <c:v>2750</c:v>
                </c:pt>
                <c:pt idx="12">
                  <c:v>3830</c:v>
                </c:pt>
                <c:pt idx="13">
                  <c:v>12738</c:v>
                </c:pt>
                <c:pt idx="14">
                  <c:v>5178</c:v>
                </c:pt>
                <c:pt idx="15">
                  <c:v>3399</c:v>
                </c:pt>
                <c:pt idx="17">
                  <c:v>46440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3A-4BA0-8788-A4E551EDE3C7}"/>
            </c:ext>
          </c:extLst>
        </c:ser>
        <c:ser>
          <c:idx val="1"/>
          <c:order val="1"/>
          <c:tx>
            <c:v>계획</c:v>
          </c:tx>
          <c:cat>
            <c:strRef>
              <c:f>'03'!$D$6:$D$23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TOP/BOTTOM</c:v>
                </c:pt>
                <c:pt idx="10">
                  <c:v>BASE</c:v>
                </c:pt>
                <c:pt idx="12">
                  <c:v>SLIDER</c:v>
                </c:pt>
                <c:pt idx="13">
                  <c:v>BLOCK</c:v>
                </c:pt>
                <c:pt idx="14">
                  <c:v>BASE</c:v>
                </c:pt>
                <c:pt idx="15">
                  <c:v>ACTUATOR</c:v>
                </c:pt>
                <c:pt idx="16">
                  <c:v>LATCH PLATE</c:v>
                </c:pt>
              </c:strCache>
            </c:strRef>
          </c:cat>
          <c:val>
            <c:numRef>
              <c:f>'03'!$J$6:$J$23</c:f>
              <c:numCache>
                <c:formatCode>_(* #,##0_);_(* \(#,##0\);_(* "-"_);_(@_)</c:formatCode>
                <c:ptCount val="18"/>
                <c:pt idx="0">
                  <c:v>6284</c:v>
                </c:pt>
                <c:pt idx="1">
                  <c:v>810</c:v>
                </c:pt>
                <c:pt idx="2">
                  <c:v>3960</c:v>
                </c:pt>
                <c:pt idx="3">
                  <c:v>3706</c:v>
                </c:pt>
                <c:pt idx="4">
                  <c:v>5546</c:v>
                </c:pt>
                <c:pt idx="5">
                  <c:v>2070</c:v>
                </c:pt>
                <c:pt idx="6">
                  <c:v>3914</c:v>
                </c:pt>
                <c:pt idx="7">
                  <c:v>4760</c:v>
                </c:pt>
                <c:pt idx="8">
                  <c:v>4981</c:v>
                </c:pt>
                <c:pt idx="9">
                  <c:v>2750</c:v>
                </c:pt>
                <c:pt idx="10">
                  <c:v>572</c:v>
                </c:pt>
                <c:pt idx="11">
                  <c:v>4493</c:v>
                </c:pt>
                <c:pt idx="12">
                  <c:v>3830</c:v>
                </c:pt>
                <c:pt idx="13">
                  <c:v>12738</c:v>
                </c:pt>
                <c:pt idx="14">
                  <c:v>5178</c:v>
                </c:pt>
                <c:pt idx="15">
                  <c:v>3399</c:v>
                </c:pt>
                <c:pt idx="16">
                  <c:v>1166</c:v>
                </c:pt>
                <c:pt idx="17">
                  <c:v>46440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3A-4BA0-8788-A4E551EDE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'03'!$AD$6:$AD$23</c:f>
              <c:strCache>
                <c:ptCount val="18"/>
                <c:pt idx="0">
                  <c:v>100%</c:v>
                </c:pt>
                <c:pt idx="1">
                  <c:v>25%</c:v>
                </c:pt>
                <c:pt idx="2">
                  <c:v>67%</c:v>
                </c:pt>
                <c:pt idx="3">
                  <c:v>42%</c:v>
                </c:pt>
                <c:pt idx="4">
                  <c:v>100%</c:v>
                </c:pt>
                <c:pt idx="5">
                  <c:v>42%</c:v>
                </c:pt>
                <c:pt idx="6">
                  <c:v>42%</c:v>
                </c:pt>
                <c:pt idx="7">
                  <c:v>42%</c:v>
                </c:pt>
                <c:pt idx="8">
                  <c:v>88%</c:v>
                </c:pt>
                <c:pt idx="9">
                  <c:v>71%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88%</c:v>
                </c:pt>
                <c:pt idx="14">
                  <c:v>100%</c:v>
                </c:pt>
                <c:pt idx="15">
                  <c:v>63%</c:v>
                </c:pt>
                <c:pt idx="16">
                  <c:v>0%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TOP/BOTTOM</c:v>
                </c:pt>
                <c:pt idx="10">
                  <c:v>BASE</c:v>
                </c:pt>
                <c:pt idx="12">
                  <c:v>SLIDER</c:v>
                </c:pt>
                <c:pt idx="13">
                  <c:v>BLOCK</c:v>
                </c:pt>
                <c:pt idx="14">
                  <c:v>BASE</c:v>
                </c:pt>
                <c:pt idx="15">
                  <c:v>ACTUATOR</c:v>
                </c:pt>
                <c:pt idx="16">
                  <c:v>LATCH PLATE</c:v>
                </c:pt>
              </c:strCache>
            </c:strRef>
          </c:cat>
          <c:val>
            <c:numRef>
              <c:f>'03'!$AD$6:$AD$23</c:f>
              <c:numCache>
                <c:formatCode>0%</c:formatCode>
                <c:ptCount val="18"/>
                <c:pt idx="0">
                  <c:v>1</c:v>
                </c:pt>
                <c:pt idx="1">
                  <c:v>0.25</c:v>
                </c:pt>
                <c:pt idx="2">
                  <c:v>0.66666666666666663</c:v>
                </c:pt>
                <c:pt idx="3">
                  <c:v>0.41666666666666669</c:v>
                </c:pt>
                <c:pt idx="4">
                  <c:v>1</c:v>
                </c:pt>
                <c:pt idx="5">
                  <c:v>0.41666666666666669</c:v>
                </c:pt>
                <c:pt idx="6">
                  <c:v>0.41666666666666669</c:v>
                </c:pt>
                <c:pt idx="7">
                  <c:v>0.41666666666666669</c:v>
                </c:pt>
                <c:pt idx="8">
                  <c:v>0.875</c:v>
                </c:pt>
                <c:pt idx="9">
                  <c:v>0.70833333333333337</c:v>
                </c:pt>
                <c:pt idx="10">
                  <c:v>0</c:v>
                </c:pt>
                <c:pt idx="11">
                  <c:v>0</c:v>
                </c:pt>
                <c:pt idx="12">
                  <c:v>0.41666666666666669</c:v>
                </c:pt>
                <c:pt idx="13">
                  <c:v>0.875</c:v>
                </c:pt>
                <c:pt idx="14">
                  <c:v>1</c:v>
                </c:pt>
                <c:pt idx="15">
                  <c:v>0.625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61-4372-8E14-07FAB75B98E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261-4372-8E14-07FAB75B98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TOP/BOTTOM</c:v>
                </c:pt>
                <c:pt idx="10">
                  <c:v>BASE</c:v>
                </c:pt>
                <c:pt idx="12">
                  <c:v>SLIDER</c:v>
                </c:pt>
                <c:pt idx="13">
                  <c:v>BLOCK</c:v>
                </c:pt>
                <c:pt idx="14">
                  <c:v>BASE</c:v>
                </c:pt>
                <c:pt idx="15">
                  <c:v>ACTUATOR</c:v>
                </c:pt>
                <c:pt idx="16">
                  <c:v>LATCH PLATE</c:v>
                </c:pt>
              </c:strCache>
            </c:strRef>
          </c:cat>
          <c:val>
            <c:numRef>
              <c:f>'03'!$AE$6:$AE$23</c:f>
              <c:numCache>
                <c:formatCode>0%</c:formatCode>
                <c:ptCount val="18"/>
                <c:pt idx="0">
                  <c:v>0.56018518518518512</c:v>
                </c:pt>
                <c:pt idx="1">
                  <c:v>0.56018518518518512</c:v>
                </c:pt>
                <c:pt idx="2">
                  <c:v>0.56018518518518512</c:v>
                </c:pt>
                <c:pt idx="3">
                  <c:v>0.56018518518518512</c:v>
                </c:pt>
                <c:pt idx="4">
                  <c:v>0.56018518518518512</c:v>
                </c:pt>
                <c:pt idx="5">
                  <c:v>0.56018518518518512</c:v>
                </c:pt>
                <c:pt idx="6">
                  <c:v>0.56018518518518512</c:v>
                </c:pt>
                <c:pt idx="7">
                  <c:v>0.56018518518518512</c:v>
                </c:pt>
                <c:pt idx="8">
                  <c:v>0.56018518518518512</c:v>
                </c:pt>
                <c:pt idx="9">
                  <c:v>0.56018518518518512</c:v>
                </c:pt>
                <c:pt idx="10">
                  <c:v>0.56018518518518512</c:v>
                </c:pt>
                <c:pt idx="11">
                  <c:v>0.56018518518518512</c:v>
                </c:pt>
                <c:pt idx="12">
                  <c:v>0.56018518518518512</c:v>
                </c:pt>
                <c:pt idx="13">
                  <c:v>0.56018518518518512</c:v>
                </c:pt>
                <c:pt idx="14">
                  <c:v>0.56018518518518512</c:v>
                </c:pt>
                <c:pt idx="15">
                  <c:v>0.56018518518518512</c:v>
                </c:pt>
                <c:pt idx="16">
                  <c:v>0.56018518518518512</c:v>
                </c:pt>
                <c:pt idx="17">
                  <c:v>0.56018518518518512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61-4372-8E14-07FAB75B9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TOP/BOTTOM</c:v>
                </c:pt>
                <c:pt idx="10">
                  <c:v>BASE</c:v>
                </c:pt>
                <c:pt idx="12">
                  <c:v>SLIDER</c:v>
                </c:pt>
                <c:pt idx="13">
                  <c:v>BLOCK</c:v>
                </c:pt>
                <c:pt idx="14">
                  <c:v>BASE</c:v>
                </c:pt>
                <c:pt idx="15">
                  <c:v>ACTUATOR</c:v>
                </c:pt>
                <c:pt idx="16">
                  <c:v>LATCH PLATE</c:v>
                </c:pt>
              </c:strCache>
            </c:strRef>
          </c:cat>
          <c:val>
            <c:numRef>
              <c:f>'03'!$L$6:$L$23</c:f>
              <c:numCache>
                <c:formatCode>_(* #,##0_);_(* \(#,##0\);_(* "-"_);_(@_)</c:formatCode>
                <c:ptCount val="18"/>
                <c:pt idx="0">
                  <c:v>6284</c:v>
                </c:pt>
                <c:pt idx="1">
                  <c:v>810</c:v>
                </c:pt>
                <c:pt idx="2">
                  <c:v>3960</c:v>
                </c:pt>
                <c:pt idx="3">
                  <c:v>3706</c:v>
                </c:pt>
                <c:pt idx="4">
                  <c:v>5546</c:v>
                </c:pt>
                <c:pt idx="5">
                  <c:v>2070</c:v>
                </c:pt>
                <c:pt idx="6">
                  <c:v>3914</c:v>
                </c:pt>
                <c:pt idx="7">
                  <c:v>4760</c:v>
                </c:pt>
                <c:pt idx="8">
                  <c:v>4981</c:v>
                </c:pt>
                <c:pt idx="9">
                  <c:v>2750</c:v>
                </c:pt>
                <c:pt idx="12">
                  <c:v>3830</c:v>
                </c:pt>
                <c:pt idx="13">
                  <c:v>12738</c:v>
                </c:pt>
                <c:pt idx="14">
                  <c:v>5178</c:v>
                </c:pt>
                <c:pt idx="15">
                  <c:v>3399</c:v>
                </c:pt>
                <c:pt idx="17">
                  <c:v>46440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21-4166-9040-A9DBA8DE3DEE}"/>
            </c:ext>
          </c:extLst>
        </c:ser>
        <c:ser>
          <c:idx val="1"/>
          <c:order val="1"/>
          <c:tx>
            <c:v>계획</c:v>
          </c:tx>
          <c:cat>
            <c:strRef>
              <c:f>'03'!$D$6:$D$23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TOP/BOTTOM</c:v>
                </c:pt>
                <c:pt idx="10">
                  <c:v>BASE</c:v>
                </c:pt>
                <c:pt idx="12">
                  <c:v>SLIDER</c:v>
                </c:pt>
                <c:pt idx="13">
                  <c:v>BLOCK</c:v>
                </c:pt>
                <c:pt idx="14">
                  <c:v>BASE</c:v>
                </c:pt>
                <c:pt idx="15">
                  <c:v>ACTUATOR</c:v>
                </c:pt>
                <c:pt idx="16">
                  <c:v>LATCH PLATE</c:v>
                </c:pt>
              </c:strCache>
            </c:strRef>
          </c:cat>
          <c:val>
            <c:numRef>
              <c:f>'03'!$J$6:$J$23</c:f>
              <c:numCache>
                <c:formatCode>_(* #,##0_);_(* \(#,##0\);_(* "-"_);_(@_)</c:formatCode>
                <c:ptCount val="18"/>
                <c:pt idx="0">
                  <c:v>6284</c:v>
                </c:pt>
                <c:pt idx="1">
                  <c:v>810</c:v>
                </c:pt>
                <c:pt idx="2">
                  <c:v>3960</c:v>
                </c:pt>
                <c:pt idx="3">
                  <c:v>3706</c:v>
                </c:pt>
                <c:pt idx="4">
                  <c:v>5546</c:v>
                </c:pt>
                <c:pt idx="5">
                  <c:v>2070</c:v>
                </c:pt>
                <c:pt idx="6">
                  <c:v>3914</c:v>
                </c:pt>
                <c:pt idx="7">
                  <c:v>4760</c:v>
                </c:pt>
                <c:pt idx="8">
                  <c:v>4981</c:v>
                </c:pt>
                <c:pt idx="9">
                  <c:v>2750</c:v>
                </c:pt>
                <c:pt idx="10">
                  <c:v>572</c:v>
                </c:pt>
                <c:pt idx="11">
                  <c:v>4493</c:v>
                </c:pt>
                <c:pt idx="12">
                  <c:v>3830</c:v>
                </c:pt>
                <c:pt idx="13">
                  <c:v>12738</c:v>
                </c:pt>
                <c:pt idx="14">
                  <c:v>5178</c:v>
                </c:pt>
                <c:pt idx="15">
                  <c:v>3399</c:v>
                </c:pt>
                <c:pt idx="16">
                  <c:v>1166</c:v>
                </c:pt>
                <c:pt idx="17">
                  <c:v>46440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21-4166-9040-A9DBA8DE3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'03'!$AD$6:$AD$23</c:f>
              <c:strCache>
                <c:ptCount val="18"/>
                <c:pt idx="0">
                  <c:v>100%</c:v>
                </c:pt>
                <c:pt idx="1">
                  <c:v>25%</c:v>
                </c:pt>
                <c:pt idx="2">
                  <c:v>67%</c:v>
                </c:pt>
                <c:pt idx="3">
                  <c:v>42%</c:v>
                </c:pt>
                <c:pt idx="4">
                  <c:v>100%</c:v>
                </c:pt>
                <c:pt idx="5">
                  <c:v>42%</c:v>
                </c:pt>
                <c:pt idx="6">
                  <c:v>42%</c:v>
                </c:pt>
                <c:pt idx="7">
                  <c:v>42%</c:v>
                </c:pt>
                <c:pt idx="8">
                  <c:v>88%</c:v>
                </c:pt>
                <c:pt idx="9">
                  <c:v>71%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88%</c:v>
                </c:pt>
                <c:pt idx="14">
                  <c:v>100%</c:v>
                </c:pt>
                <c:pt idx="15">
                  <c:v>63%</c:v>
                </c:pt>
                <c:pt idx="16">
                  <c:v>0%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TOP/BOTTOM</c:v>
                </c:pt>
                <c:pt idx="10">
                  <c:v>BASE</c:v>
                </c:pt>
                <c:pt idx="12">
                  <c:v>SLIDER</c:v>
                </c:pt>
                <c:pt idx="13">
                  <c:v>BLOCK</c:v>
                </c:pt>
                <c:pt idx="14">
                  <c:v>BASE</c:v>
                </c:pt>
                <c:pt idx="15">
                  <c:v>ACTUATOR</c:v>
                </c:pt>
                <c:pt idx="16">
                  <c:v>LATCH PLATE</c:v>
                </c:pt>
              </c:strCache>
            </c:strRef>
          </c:cat>
          <c:val>
            <c:numRef>
              <c:f>'03'!$AD$6:$AD$23</c:f>
              <c:numCache>
                <c:formatCode>0%</c:formatCode>
                <c:ptCount val="18"/>
                <c:pt idx="0">
                  <c:v>1</c:v>
                </c:pt>
                <c:pt idx="1">
                  <c:v>0.25</c:v>
                </c:pt>
                <c:pt idx="2">
                  <c:v>0.66666666666666663</c:v>
                </c:pt>
                <c:pt idx="3">
                  <c:v>0.41666666666666669</c:v>
                </c:pt>
                <c:pt idx="4">
                  <c:v>1</c:v>
                </c:pt>
                <c:pt idx="5">
                  <c:v>0.41666666666666669</c:v>
                </c:pt>
                <c:pt idx="6">
                  <c:v>0.41666666666666669</c:v>
                </c:pt>
                <c:pt idx="7">
                  <c:v>0.41666666666666669</c:v>
                </c:pt>
                <c:pt idx="8">
                  <c:v>0.875</c:v>
                </c:pt>
                <c:pt idx="9">
                  <c:v>0.70833333333333337</c:v>
                </c:pt>
                <c:pt idx="10">
                  <c:v>0</c:v>
                </c:pt>
                <c:pt idx="11">
                  <c:v>0</c:v>
                </c:pt>
                <c:pt idx="12">
                  <c:v>0.41666666666666669</c:v>
                </c:pt>
                <c:pt idx="13">
                  <c:v>0.875</c:v>
                </c:pt>
                <c:pt idx="14">
                  <c:v>1</c:v>
                </c:pt>
                <c:pt idx="15">
                  <c:v>0.625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C1-4FB3-B4CE-AB8ED9EE0B4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C1-4FB3-B4CE-AB8ED9EE0B4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TOP/BOTTOM</c:v>
                </c:pt>
                <c:pt idx="10">
                  <c:v>BASE</c:v>
                </c:pt>
                <c:pt idx="12">
                  <c:v>SLIDER</c:v>
                </c:pt>
                <c:pt idx="13">
                  <c:v>BLOCK</c:v>
                </c:pt>
                <c:pt idx="14">
                  <c:v>BASE</c:v>
                </c:pt>
                <c:pt idx="15">
                  <c:v>ACTUATOR</c:v>
                </c:pt>
                <c:pt idx="16">
                  <c:v>LATCH PLATE</c:v>
                </c:pt>
              </c:strCache>
            </c:strRef>
          </c:cat>
          <c:val>
            <c:numRef>
              <c:f>'03'!$AE$6:$AE$23</c:f>
              <c:numCache>
                <c:formatCode>0%</c:formatCode>
                <c:ptCount val="18"/>
                <c:pt idx="0">
                  <c:v>0.56018518518518512</c:v>
                </c:pt>
                <c:pt idx="1">
                  <c:v>0.56018518518518512</c:v>
                </c:pt>
                <c:pt idx="2">
                  <c:v>0.56018518518518512</c:v>
                </c:pt>
                <c:pt idx="3">
                  <c:v>0.56018518518518512</c:v>
                </c:pt>
                <c:pt idx="4">
                  <c:v>0.56018518518518512</c:v>
                </c:pt>
                <c:pt idx="5">
                  <c:v>0.56018518518518512</c:v>
                </c:pt>
                <c:pt idx="6">
                  <c:v>0.56018518518518512</c:v>
                </c:pt>
                <c:pt idx="7">
                  <c:v>0.56018518518518512</c:v>
                </c:pt>
                <c:pt idx="8">
                  <c:v>0.56018518518518512</c:v>
                </c:pt>
                <c:pt idx="9">
                  <c:v>0.56018518518518512</c:v>
                </c:pt>
                <c:pt idx="10">
                  <c:v>0.56018518518518512</c:v>
                </c:pt>
                <c:pt idx="11">
                  <c:v>0.56018518518518512</c:v>
                </c:pt>
                <c:pt idx="12">
                  <c:v>0.56018518518518512</c:v>
                </c:pt>
                <c:pt idx="13">
                  <c:v>0.56018518518518512</c:v>
                </c:pt>
                <c:pt idx="14">
                  <c:v>0.56018518518518512</c:v>
                </c:pt>
                <c:pt idx="15">
                  <c:v>0.56018518518518512</c:v>
                </c:pt>
                <c:pt idx="16">
                  <c:v>0.56018518518518512</c:v>
                </c:pt>
                <c:pt idx="17">
                  <c:v>0.56018518518518512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C1-4FB3-B4CE-AB8ED9EE0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35C-40BF-8F52-256CD07AE4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5C-40BF-8F52-256CD07AE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35C-40BF-8F52-256CD07AE41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5C-40BF-8F52-256CD07AE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TOP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1">
                  <c:v>BASE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LATCH PLATE</c:v>
                </c:pt>
              </c:strCache>
            </c:strRef>
          </c:cat>
          <c:val>
            <c:numRef>
              <c:f>'04'!$L$6:$L$22</c:f>
              <c:numCache>
                <c:formatCode>_(* #,##0_);_(* \(#,##0\);_(* "-"_);_(@_)</c:formatCode>
                <c:ptCount val="17"/>
                <c:pt idx="0">
                  <c:v>2525</c:v>
                </c:pt>
                <c:pt idx="1">
                  <c:v>4100</c:v>
                </c:pt>
                <c:pt idx="2">
                  <c:v>885</c:v>
                </c:pt>
                <c:pt idx="3">
                  <c:v>7224</c:v>
                </c:pt>
                <c:pt idx="4">
                  <c:v>5454</c:v>
                </c:pt>
                <c:pt idx="7">
                  <c:v>4384</c:v>
                </c:pt>
                <c:pt idx="8">
                  <c:v>1287</c:v>
                </c:pt>
                <c:pt idx="12">
                  <c:v>13852</c:v>
                </c:pt>
                <c:pt idx="13">
                  <c:v>2009</c:v>
                </c:pt>
                <c:pt idx="14">
                  <c:v>4635</c:v>
                </c:pt>
                <c:pt idx="16">
                  <c:v>45777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0-4DF2-B60C-6124F80A8F69}"/>
            </c:ext>
          </c:extLst>
        </c:ser>
        <c:ser>
          <c:idx val="1"/>
          <c:order val="1"/>
          <c:tx>
            <c:v>계획</c:v>
          </c:tx>
          <c:cat>
            <c:strRef>
              <c:f>'04'!$D$6:$D$22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TOP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1">
                  <c:v>BASE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LATCH PLATE</c:v>
                </c:pt>
              </c:strCache>
            </c:strRef>
          </c:cat>
          <c:val>
            <c:numRef>
              <c:f>'04'!$J$6:$J$22</c:f>
              <c:numCache>
                <c:formatCode>_(* #,##0_);_(* \(#,##0\);_(* "-"_);_(@_)</c:formatCode>
                <c:ptCount val="17"/>
                <c:pt idx="0">
                  <c:v>2525</c:v>
                </c:pt>
                <c:pt idx="1">
                  <c:v>4100</c:v>
                </c:pt>
                <c:pt idx="2">
                  <c:v>885</c:v>
                </c:pt>
                <c:pt idx="3">
                  <c:v>7224</c:v>
                </c:pt>
                <c:pt idx="4">
                  <c:v>5454</c:v>
                </c:pt>
                <c:pt idx="5">
                  <c:v>2070</c:v>
                </c:pt>
                <c:pt idx="6">
                  <c:v>4760</c:v>
                </c:pt>
                <c:pt idx="7">
                  <c:v>4384</c:v>
                </c:pt>
                <c:pt idx="8">
                  <c:v>1287</c:v>
                </c:pt>
                <c:pt idx="9">
                  <c:v>572</c:v>
                </c:pt>
                <c:pt idx="10">
                  <c:v>4493</c:v>
                </c:pt>
                <c:pt idx="11">
                  <c:v>3830</c:v>
                </c:pt>
                <c:pt idx="12">
                  <c:v>13852</c:v>
                </c:pt>
                <c:pt idx="13">
                  <c:v>2009</c:v>
                </c:pt>
                <c:pt idx="14">
                  <c:v>4635</c:v>
                </c:pt>
                <c:pt idx="15">
                  <c:v>1166</c:v>
                </c:pt>
                <c:pt idx="16">
                  <c:v>45777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E0-4DF2-B60C-6124F80A8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'04'!$AD$6:$AD$22</c:f>
              <c:strCache>
                <c:ptCount val="17"/>
                <c:pt idx="0">
                  <c:v>54%</c:v>
                </c:pt>
                <c:pt idx="1">
                  <c:v>54%</c:v>
                </c:pt>
                <c:pt idx="2">
                  <c:v>21%</c:v>
                </c:pt>
                <c:pt idx="3">
                  <c:v>50%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88%</c:v>
                </c:pt>
                <c:pt idx="8">
                  <c:v>42%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42%</c:v>
                </c:pt>
                <c:pt idx="14">
                  <c:v>88%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TOP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1">
                  <c:v>BASE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LATCH PLATE</c:v>
                </c:pt>
              </c:strCache>
            </c:strRef>
          </c:cat>
          <c:val>
            <c:numRef>
              <c:f>'04'!$AD$6:$AD$22</c:f>
              <c:numCache>
                <c:formatCode>0%</c:formatCode>
                <c:ptCount val="17"/>
                <c:pt idx="0">
                  <c:v>0.54166666666666663</c:v>
                </c:pt>
                <c:pt idx="1">
                  <c:v>0.54166666666666663</c:v>
                </c:pt>
                <c:pt idx="2">
                  <c:v>0.20833333333333334</c:v>
                </c:pt>
                <c:pt idx="3">
                  <c:v>0.5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0.875</c:v>
                </c:pt>
                <c:pt idx="8">
                  <c:v>0.41666666666666669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0.41666666666666669</c:v>
                </c:pt>
                <c:pt idx="14">
                  <c:v>0.875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65-4328-86DC-169F378DCF3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65-4328-86DC-169F378DCF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TOP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1">
                  <c:v>BASE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LATCH PLATE</c:v>
                </c:pt>
              </c:strCache>
            </c:strRef>
          </c:cat>
          <c:val>
            <c:numRef>
              <c:f>'04'!$AE$6:$AE$22</c:f>
              <c:numCache>
                <c:formatCode>0%</c:formatCode>
                <c:ptCount val="17"/>
                <c:pt idx="0">
                  <c:v>0.43382352941176472</c:v>
                </c:pt>
                <c:pt idx="1">
                  <c:v>0.43382352941176472</c:v>
                </c:pt>
                <c:pt idx="2">
                  <c:v>0.43382352941176472</c:v>
                </c:pt>
                <c:pt idx="3">
                  <c:v>0.43382352941176472</c:v>
                </c:pt>
                <c:pt idx="4">
                  <c:v>0.43382352941176472</c:v>
                </c:pt>
                <c:pt idx="5">
                  <c:v>0.43382352941176472</c:v>
                </c:pt>
                <c:pt idx="6">
                  <c:v>0.43382352941176472</c:v>
                </c:pt>
                <c:pt idx="7">
                  <c:v>0.43382352941176472</c:v>
                </c:pt>
                <c:pt idx="8">
                  <c:v>0.43382352941176472</c:v>
                </c:pt>
                <c:pt idx="9">
                  <c:v>0.43382352941176472</c:v>
                </c:pt>
                <c:pt idx="10">
                  <c:v>0.43382352941176472</c:v>
                </c:pt>
                <c:pt idx="11">
                  <c:v>0.43382352941176472</c:v>
                </c:pt>
                <c:pt idx="12">
                  <c:v>0.43382352941176472</c:v>
                </c:pt>
                <c:pt idx="13">
                  <c:v>0.43382352941176472</c:v>
                </c:pt>
                <c:pt idx="14">
                  <c:v>0.43382352941176472</c:v>
                </c:pt>
                <c:pt idx="15">
                  <c:v>0.43382352941176472</c:v>
                </c:pt>
                <c:pt idx="16">
                  <c:v>0.43382352941176472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65-4328-86DC-169F378DC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TOP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1">
                  <c:v>BASE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LATCH PLATE</c:v>
                </c:pt>
              </c:strCache>
            </c:strRef>
          </c:cat>
          <c:val>
            <c:numRef>
              <c:f>'04'!$L$6:$L$22</c:f>
              <c:numCache>
                <c:formatCode>_(* #,##0_);_(* \(#,##0\);_(* "-"_);_(@_)</c:formatCode>
                <c:ptCount val="17"/>
                <c:pt idx="0">
                  <c:v>2525</c:v>
                </c:pt>
                <c:pt idx="1">
                  <c:v>4100</c:v>
                </c:pt>
                <c:pt idx="2">
                  <c:v>885</c:v>
                </c:pt>
                <c:pt idx="3">
                  <c:v>7224</c:v>
                </c:pt>
                <c:pt idx="4">
                  <c:v>5454</c:v>
                </c:pt>
                <c:pt idx="7">
                  <c:v>4384</c:v>
                </c:pt>
                <c:pt idx="8">
                  <c:v>1287</c:v>
                </c:pt>
                <c:pt idx="12">
                  <c:v>13852</c:v>
                </c:pt>
                <c:pt idx="13">
                  <c:v>2009</c:v>
                </c:pt>
                <c:pt idx="14">
                  <c:v>4635</c:v>
                </c:pt>
                <c:pt idx="16">
                  <c:v>45777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5-418A-83A4-FA8A90567753}"/>
            </c:ext>
          </c:extLst>
        </c:ser>
        <c:ser>
          <c:idx val="1"/>
          <c:order val="1"/>
          <c:tx>
            <c:v>계획</c:v>
          </c:tx>
          <c:cat>
            <c:strRef>
              <c:f>'04'!$D$6:$D$22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TOP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1">
                  <c:v>BASE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LATCH PLATE</c:v>
                </c:pt>
              </c:strCache>
            </c:strRef>
          </c:cat>
          <c:val>
            <c:numRef>
              <c:f>'04'!$J$6:$J$22</c:f>
              <c:numCache>
                <c:formatCode>_(* #,##0_);_(* \(#,##0\);_(* "-"_);_(@_)</c:formatCode>
                <c:ptCount val="17"/>
                <c:pt idx="0">
                  <c:v>2525</c:v>
                </c:pt>
                <c:pt idx="1">
                  <c:v>4100</c:v>
                </c:pt>
                <c:pt idx="2">
                  <c:v>885</c:v>
                </c:pt>
                <c:pt idx="3">
                  <c:v>7224</c:v>
                </c:pt>
                <c:pt idx="4">
                  <c:v>5454</c:v>
                </c:pt>
                <c:pt idx="5">
                  <c:v>2070</c:v>
                </c:pt>
                <c:pt idx="6">
                  <c:v>4760</c:v>
                </c:pt>
                <c:pt idx="7">
                  <c:v>4384</c:v>
                </c:pt>
                <c:pt idx="8">
                  <c:v>1287</c:v>
                </c:pt>
                <c:pt idx="9">
                  <c:v>572</c:v>
                </c:pt>
                <c:pt idx="10">
                  <c:v>4493</c:v>
                </c:pt>
                <c:pt idx="11">
                  <c:v>3830</c:v>
                </c:pt>
                <c:pt idx="12">
                  <c:v>13852</c:v>
                </c:pt>
                <c:pt idx="13">
                  <c:v>2009</c:v>
                </c:pt>
                <c:pt idx="14">
                  <c:v>4635</c:v>
                </c:pt>
                <c:pt idx="15">
                  <c:v>1166</c:v>
                </c:pt>
                <c:pt idx="16">
                  <c:v>45777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B5-418A-83A4-FA8A90567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'04'!$AD$6:$AD$22</c:f>
              <c:strCache>
                <c:ptCount val="17"/>
                <c:pt idx="0">
                  <c:v>54%</c:v>
                </c:pt>
                <c:pt idx="1">
                  <c:v>54%</c:v>
                </c:pt>
                <c:pt idx="2">
                  <c:v>21%</c:v>
                </c:pt>
                <c:pt idx="3">
                  <c:v>50%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88%</c:v>
                </c:pt>
                <c:pt idx="8">
                  <c:v>42%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42%</c:v>
                </c:pt>
                <c:pt idx="14">
                  <c:v>88%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TOP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1">
                  <c:v>BASE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LATCH PLATE</c:v>
                </c:pt>
              </c:strCache>
            </c:strRef>
          </c:cat>
          <c:val>
            <c:numRef>
              <c:f>'04'!$AD$6:$AD$22</c:f>
              <c:numCache>
                <c:formatCode>0%</c:formatCode>
                <c:ptCount val="17"/>
                <c:pt idx="0">
                  <c:v>0.54166666666666663</c:v>
                </c:pt>
                <c:pt idx="1">
                  <c:v>0.54166666666666663</c:v>
                </c:pt>
                <c:pt idx="2">
                  <c:v>0.20833333333333334</c:v>
                </c:pt>
                <c:pt idx="3">
                  <c:v>0.5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0.875</c:v>
                </c:pt>
                <c:pt idx="8">
                  <c:v>0.41666666666666669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0.41666666666666669</c:v>
                </c:pt>
                <c:pt idx="14">
                  <c:v>0.875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94-4450-8F37-037372CB39C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94-4450-8F37-037372CB39C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TOP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1">
                  <c:v>BASE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LATCH PLATE</c:v>
                </c:pt>
              </c:strCache>
            </c:strRef>
          </c:cat>
          <c:val>
            <c:numRef>
              <c:f>'04'!$AE$6:$AE$22</c:f>
              <c:numCache>
                <c:formatCode>0%</c:formatCode>
                <c:ptCount val="17"/>
                <c:pt idx="0">
                  <c:v>0.43382352941176472</c:v>
                </c:pt>
                <c:pt idx="1">
                  <c:v>0.43382352941176472</c:v>
                </c:pt>
                <c:pt idx="2">
                  <c:v>0.43382352941176472</c:v>
                </c:pt>
                <c:pt idx="3">
                  <c:v>0.43382352941176472</c:v>
                </c:pt>
                <c:pt idx="4">
                  <c:v>0.43382352941176472</c:v>
                </c:pt>
                <c:pt idx="5">
                  <c:v>0.43382352941176472</c:v>
                </c:pt>
                <c:pt idx="6">
                  <c:v>0.43382352941176472</c:v>
                </c:pt>
                <c:pt idx="7">
                  <c:v>0.43382352941176472</c:v>
                </c:pt>
                <c:pt idx="8">
                  <c:v>0.43382352941176472</c:v>
                </c:pt>
                <c:pt idx="9">
                  <c:v>0.43382352941176472</c:v>
                </c:pt>
                <c:pt idx="10">
                  <c:v>0.43382352941176472</c:v>
                </c:pt>
                <c:pt idx="11">
                  <c:v>0.43382352941176472</c:v>
                </c:pt>
                <c:pt idx="12">
                  <c:v>0.43382352941176472</c:v>
                </c:pt>
                <c:pt idx="13">
                  <c:v>0.43382352941176472</c:v>
                </c:pt>
                <c:pt idx="14">
                  <c:v>0.43382352941176472</c:v>
                </c:pt>
                <c:pt idx="15">
                  <c:v>0.43382352941176472</c:v>
                </c:pt>
                <c:pt idx="16">
                  <c:v>0.43382352941176472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94-4450-8F37-037372CB3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5F6-42E8-A9AB-D6CE91609D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F6-42E8-A9AB-D6CE91609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5F6-42E8-A9AB-D6CE91609D3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F6-42E8-A9AB-D6CE91609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0">
                  <c:v>3233</c:v>
                </c:pt>
                <c:pt idx="2">
                  <c:v>14391</c:v>
                </c:pt>
                <c:pt idx="3">
                  <c:v>5474</c:v>
                </c:pt>
                <c:pt idx="5">
                  <c:v>655</c:v>
                </c:pt>
                <c:pt idx="6">
                  <c:v>3503</c:v>
                </c:pt>
                <c:pt idx="7">
                  <c:v>3407</c:v>
                </c:pt>
                <c:pt idx="10">
                  <c:v>4292</c:v>
                </c:pt>
                <c:pt idx="11">
                  <c:v>13988</c:v>
                </c:pt>
                <c:pt idx="12">
                  <c:v>1058</c:v>
                </c:pt>
                <c:pt idx="13">
                  <c:v>3029</c:v>
                </c:pt>
                <c:pt idx="14">
                  <c:v>13156</c:v>
                </c:pt>
                <c:pt idx="15">
                  <c:v>44649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BD-47AC-BD43-4A4E2C6430DF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3233</c:v>
                </c:pt>
                <c:pt idx="1">
                  <c:v>885</c:v>
                </c:pt>
                <c:pt idx="2">
                  <c:v>14391</c:v>
                </c:pt>
                <c:pt idx="3">
                  <c:v>5474</c:v>
                </c:pt>
                <c:pt idx="4">
                  <c:v>2070</c:v>
                </c:pt>
                <c:pt idx="5">
                  <c:v>655</c:v>
                </c:pt>
                <c:pt idx="6">
                  <c:v>3503</c:v>
                </c:pt>
                <c:pt idx="7">
                  <c:v>3407</c:v>
                </c:pt>
                <c:pt idx="8">
                  <c:v>572</c:v>
                </c:pt>
                <c:pt idx="9">
                  <c:v>4493</c:v>
                </c:pt>
                <c:pt idx="10">
                  <c:v>4292</c:v>
                </c:pt>
                <c:pt idx="11">
                  <c:v>13988</c:v>
                </c:pt>
                <c:pt idx="12">
                  <c:v>1058</c:v>
                </c:pt>
                <c:pt idx="13">
                  <c:v>3029</c:v>
                </c:pt>
                <c:pt idx="14">
                  <c:v>13156</c:v>
                </c:pt>
                <c:pt idx="15">
                  <c:v>44649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BD-47AC-BD43-4A4E2C643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79%</c:v>
                </c:pt>
                <c:pt idx="1">
                  <c:v>0%</c:v>
                </c:pt>
                <c:pt idx="2">
                  <c:v>79%</c:v>
                </c:pt>
                <c:pt idx="3">
                  <c:v>100%</c:v>
                </c:pt>
                <c:pt idx="4">
                  <c:v>0%</c:v>
                </c:pt>
                <c:pt idx="5">
                  <c:v>29%</c:v>
                </c:pt>
                <c:pt idx="6">
                  <c:v>63%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42%</c:v>
                </c:pt>
                <c:pt idx="11">
                  <c:v>100%</c:v>
                </c:pt>
                <c:pt idx="12">
                  <c:v>25%</c:v>
                </c:pt>
                <c:pt idx="13">
                  <c:v>75%</c:v>
                </c:pt>
                <c:pt idx="14">
                  <c:v>71%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0.79166666666666663</c:v>
                </c:pt>
                <c:pt idx="1">
                  <c:v>0</c:v>
                </c:pt>
                <c:pt idx="2">
                  <c:v>0.79166666666666663</c:v>
                </c:pt>
                <c:pt idx="3">
                  <c:v>1</c:v>
                </c:pt>
                <c:pt idx="4">
                  <c:v>0</c:v>
                </c:pt>
                <c:pt idx="5">
                  <c:v>0.29166666666666669</c:v>
                </c:pt>
                <c:pt idx="6">
                  <c:v>0.625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0.41666666666666669</c:v>
                </c:pt>
                <c:pt idx="11">
                  <c:v>1</c:v>
                </c:pt>
                <c:pt idx="12">
                  <c:v>0.25</c:v>
                </c:pt>
                <c:pt idx="13">
                  <c:v>0.75</c:v>
                </c:pt>
                <c:pt idx="14">
                  <c:v>0.70833333333333337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7-407B-94C1-ACF7392362C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3D7-407B-94C1-ACF7392362C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0.52864583333333326</c:v>
                </c:pt>
                <c:pt idx="1">
                  <c:v>0.52864583333333326</c:v>
                </c:pt>
                <c:pt idx="2">
                  <c:v>0.52864583333333326</c:v>
                </c:pt>
                <c:pt idx="3">
                  <c:v>0.52864583333333326</c:v>
                </c:pt>
                <c:pt idx="4">
                  <c:v>0.52864583333333326</c:v>
                </c:pt>
                <c:pt idx="5">
                  <c:v>0.52864583333333326</c:v>
                </c:pt>
                <c:pt idx="6">
                  <c:v>0.52864583333333326</c:v>
                </c:pt>
                <c:pt idx="7">
                  <c:v>0.52864583333333326</c:v>
                </c:pt>
                <c:pt idx="8">
                  <c:v>0.52864583333333326</c:v>
                </c:pt>
                <c:pt idx="9">
                  <c:v>0.52864583333333326</c:v>
                </c:pt>
                <c:pt idx="10">
                  <c:v>0.52864583333333326</c:v>
                </c:pt>
                <c:pt idx="11">
                  <c:v>0.52864583333333326</c:v>
                </c:pt>
                <c:pt idx="12">
                  <c:v>0.52864583333333326</c:v>
                </c:pt>
                <c:pt idx="13">
                  <c:v>0.52864583333333326</c:v>
                </c:pt>
                <c:pt idx="14">
                  <c:v>0.52864583333333326</c:v>
                </c:pt>
                <c:pt idx="15">
                  <c:v>0.52864583333333326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D7-407B-94C1-ACF739236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0">
                  <c:v>3233</c:v>
                </c:pt>
                <c:pt idx="2">
                  <c:v>14391</c:v>
                </c:pt>
                <c:pt idx="3">
                  <c:v>5474</c:v>
                </c:pt>
                <c:pt idx="5">
                  <c:v>655</c:v>
                </c:pt>
                <c:pt idx="6">
                  <c:v>3503</c:v>
                </c:pt>
                <c:pt idx="7">
                  <c:v>3407</c:v>
                </c:pt>
                <c:pt idx="10">
                  <c:v>4292</c:v>
                </c:pt>
                <c:pt idx="11">
                  <c:v>13988</c:v>
                </c:pt>
                <c:pt idx="12">
                  <c:v>1058</c:v>
                </c:pt>
                <c:pt idx="13">
                  <c:v>3029</c:v>
                </c:pt>
                <c:pt idx="14">
                  <c:v>13156</c:v>
                </c:pt>
                <c:pt idx="15">
                  <c:v>44649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F73-861D-D7447763E6A3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3233</c:v>
                </c:pt>
                <c:pt idx="1">
                  <c:v>885</c:v>
                </c:pt>
                <c:pt idx="2">
                  <c:v>14391</c:v>
                </c:pt>
                <c:pt idx="3">
                  <c:v>5474</c:v>
                </c:pt>
                <c:pt idx="4">
                  <c:v>2070</c:v>
                </c:pt>
                <c:pt idx="5">
                  <c:v>655</c:v>
                </c:pt>
                <c:pt idx="6">
                  <c:v>3503</c:v>
                </c:pt>
                <c:pt idx="7">
                  <c:v>3407</c:v>
                </c:pt>
                <c:pt idx="8">
                  <c:v>572</c:v>
                </c:pt>
                <c:pt idx="9">
                  <c:v>4493</c:v>
                </c:pt>
                <c:pt idx="10">
                  <c:v>4292</c:v>
                </c:pt>
                <c:pt idx="11">
                  <c:v>13988</c:v>
                </c:pt>
                <c:pt idx="12">
                  <c:v>1058</c:v>
                </c:pt>
                <c:pt idx="13">
                  <c:v>3029</c:v>
                </c:pt>
                <c:pt idx="14">
                  <c:v>13156</c:v>
                </c:pt>
                <c:pt idx="15">
                  <c:v>44649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7-4F73-861D-D7447763E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79%</c:v>
                </c:pt>
                <c:pt idx="1">
                  <c:v>0%</c:v>
                </c:pt>
                <c:pt idx="2">
                  <c:v>79%</c:v>
                </c:pt>
                <c:pt idx="3">
                  <c:v>100%</c:v>
                </c:pt>
                <c:pt idx="4">
                  <c:v>0%</c:v>
                </c:pt>
                <c:pt idx="5">
                  <c:v>29%</c:v>
                </c:pt>
                <c:pt idx="6">
                  <c:v>63%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42%</c:v>
                </c:pt>
                <c:pt idx="11">
                  <c:v>100%</c:v>
                </c:pt>
                <c:pt idx="12">
                  <c:v>25%</c:v>
                </c:pt>
                <c:pt idx="13">
                  <c:v>75%</c:v>
                </c:pt>
                <c:pt idx="14">
                  <c:v>71%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0.79166666666666663</c:v>
                </c:pt>
                <c:pt idx="1">
                  <c:v>0</c:v>
                </c:pt>
                <c:pt idx="2">
                  <c:v>0.79166666666666663</c:v>
                </c:pt>
                <c:pt idx="3">
                  <c:v>1</c:v>
                </c:pt>
                <c:pt idx="4">
                  <c:v>0</c:v>
                </c:pt>
                <c:pt idx="5">
                  <c:v>0.29166666666666669</c:v>
                </c:pt>
                <c:pt idx="6">
                  <c:v>0.625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0.41666666666666669</c:v>
                </c:pt>
                <c:pt idx="11">
                  <c:v>1</c:v>
                </c:pt>
                <c:pt idx="12">
                  <c:v>0.25</c:v>
                </c:pt>
                <c:pt idx="13">
                  <c:v>0.75</c:v>
                </c:pt>
                <c:pt idx="14">
                  <c:v>0.70833333333333337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A-4FAA-AFD6-2F6703A1E15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DA-4FAA-AFD6-2F6703A1E15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BASE</c:v>
                </c:pt>
                <c:pt idx="11">
                  <c:v>BLOCK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0.52864583333333326</c:v>
                </c:pt>
                <c:pt idx="1">
                  <c:v>0.52864583333333326</c:v>
                </c:pt>
                <c:pt idx="2">
                  <c:v>0.52864583333333326</c:v>
                </c:pt>
                <c:pt idx="3">
                  <c:v>0.52864583333333326</c:v>
                </c:pt>
                <c:pt idx="4">
                  <c:v>0.52864583333333326</c:v>
                </c:pt>
                <c:pt idx="5">
                  <c:v>0.52864583333333326</c:v>
                </c:pt>
                <c:pt idx="6">
                  <c:v>0.52864583333333326</c:v>
                </c:pt>
                <c:pt idx="7">
                  <c:v>0.52864583333333326</c:v>
                </c:pt>
                <c:pt idx="8">
                  <c:v>0.52864583333333326</c:v>
                </c:pt>
                <c:pt idx="9">
                  <c:v>0.52864583333333326</c:v>
                </c:pt>
                <c:pt idx="10">
                  <c:v>0.52864583333333326</c:v>
                </c:pt>
                <c:pt idx="11">
                  <c:v>0.52864583333333326</c:v>
                </c:pt>
                <c:pt idx="12">
                  <c:v>0.52864583333333326</c:v>
                </c:pt>
                <c:pt idx="13">
                  <c:v>0.52864583333333326</c:v>
                </c:pt>
                <c:pt idx="14">
                  <c:v>0.52864583333333326</c:v>
                </c:pt>
                <c:pt idx="15">
                  <c:v>0.52864583333333326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DA-4FAA-AFD6-2F6703A1E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8B3-4D88-9EB3-AF42619131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B3-4D88-9EB3-AF4261913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8B3-4D88-9EB3-AF426191314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B3-4D88-9EB3-AF4261913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SLIDER</c:v>
                </c:pt>
                <c:pt idx="11">
                  <c:v>LEAD GUIDE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'06'!$L$6:$L$22</c:f>
              <c:numCache>
                <c:formatCode>_(* #,##0_);_(* \(#,##0\);_(* "-"_);_(@_)</c:formatCode>
                <c:ptCount val="17"/>
                <c:pt idx="2">
                  <c:v>19017</c:v>
                </c:pt>
                <c:pt idx="3">
                  <c:v>5364</c:v>
                </c:pt>
                <c:pt idx="5">
                  <c:v>281</c:v>
                </c:pt>
                <c:pt idx="6">
                  <c:v>3445</c:v>
                </c:pt>
                <c:pt idx="7">
                  <c:v>2679</c:v>
                </c:pt>
                <c:pt idx="10">
                  <c:v>900</c:v>
                </c:pt>
                <c:pt idx="11">
                  <c:v>950</c:v>
                </c:pt>
                <c:pt idx="12">
                  <c:v>14162</c:v>
                </c:pt>
                <c:pt idx="13">
                  <c:v>5341</c:v>
                </c:pt>
                <c:pt idx="14">
                  <c:v>4094</c:v>
                </c:pt>
                <c:pt idx="15">
                  <c:v>20408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E0-4DF4-9E84-7075409504D2}"/>
            </c:ext>
          </c:extLst>
        </c:ser>
        <c:ser>
          <c:idx val="1"/>
          <c:order val="1"/>
          <c:tx>
            <c:v>계획</c:v>
          </c:tx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SLIDER</c:v>
                </c:pt>
                <c:pt idx="11">
                  <c:v>LEAD GUIDE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'06'!$J$6:$J$22</c:f>
              <c:numCache>
                <c:formatCode>_(* #,##0_);_(* \(#,##0\);_(* "-"_);_(@_)</c:formatCode>
                <c:ptCount val="17"/>
                <c:pt idx="0">
                  <c:v>3233</c:v>
                </c:pt>
                <c:pt idx="1">
                  <c:v>885</c:v>
                </c:pt>
                <c:pt idx="2">
                  <c:v>19017</c:v>
                </c:pt>
                <c:pt idx="3">
                  <c:v>5364</c:v>
                </c:pt>
                <c:pt idx="4">
                  <c:v>2070</c:v>
                </c:pt>
                <c:pt idx="5">
                  <c:v>281</c:v>
                </c:pt>
                <c:pt idx="6">
                  <c:v>3445</c:v>
                </c:pt>
                <c:pt idx="7">
                  <c:v>2679</c:v>
                </c:pt>
                <c:pt idx="8">
                  <c:v>572</c:v>
                </c:pt>
                <c:pt idx="9">
                  <c:v>4493</c:v>
                </c:pt>
                <c:pt idx="10">
                  <c:v>900</c:v>
                </c:pt>
                <c:pt idx="11">
                  <c:v>950</c:v>
                </c:pt>
                <c:pt idx="12">
                  <c:v>14162</c:v>
                </c:pt>
                <c:pt idx="13">
                  <c:v>5341</c:v>
                </c:pt>
                <c:pt idx="14">
                  <c:v>4094</c:v>
                </c:pt>
                <c:pt idx="15">
                  <c:v>20408</c:v>
                </c:pt>
                <c:pt idx="16">
                  <c:v>44649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E0-4DF4-9E84-707540950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17%</c:v>
                </c:pt>
                <c:pt idx="6">
                  <c:v>63%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25%</c:v>
                </c:pt>
                <c:pt idx="12">
                  <c:v>100%</c:v>
                </c:pt>
                <c:pt idx="13">
                  <c:v>100%</c:v>
                </c:pt>
                <c:pt idx="14">
                  <c:v>83%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SLIDER</c:v>
                </c:pt>
                <c:pt idx="11">
                  <c:v>LEAD GUIDE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'06'!$AD$6:$AD$22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0.16666666666666666</c:v>
                </c:pt>
                <c:pt idx="6">
                  <c:v>0.625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0.25</c:v>
                </c:pt>
                <c:pt idx="12">
                  <c:v>1</c:v>
                </c:pt>
                <c:pt idx="13">
                  <c:v>1</c:v>
                </c:pt>
                <c:pt idx="14">
                  <c:v>0.83333333333333337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C-4686-88B1-D637F8B73E9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3C-4686-88B1-D637F8B73E9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SLIDER</c:v>
                </c:pt>
                <c:pt idx="11">
                  <c:v>LEAD GUIDE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'06'!$AE$6:$AE$22</c:f>
              <c:numCache>
                <c:formatCode>0%</c:formatCode>
                <c:ptCount val="17"/>
                <c:pt idx="0">
                  <c:v>0.46078431372549017</c:v>
                </c:pt>
                <c:pt idx="1">
                  <c:v>0.46078431372549017</c:v>
                </c:pt>
                <c:pt idx="2">
                  <c:v>0.46078431372549017</c:v>
                </c:pt>
                <c:pt idx="3">
                  <c:v>0.46078431372549017</c:v>
                </c:pt>
                <c:pt idx="4">
                  <c:v>0.46078431372549017</c:v>
                </c:pt>
                <c:pt idx="5">
                  <c:v>0.46078431372549017</c:v>
                </c:pt>
                <c:pt idx="6">
                  <c:v>0.46078431372549017</c:v>
                </c:pt>
                <c:pt idx="7">
                  <c:v>0.46078431372549017</c:v>
                </c:pt>
                <c:pt idx="8">
                  <c:v>0.46078431372549017</c:v>
                </c:pt>
                <c:pt idx="9">
                  <c:v>0.46078431372549017</c:v>
                </c:pt>
                <c:pt idx="10">
                  <c:v>0.46078431372549017</c:v>
                </c:pt>
                <c:pt idx="11">
                  <c:v>0.46078431372549017</c:v>
                </c:pt>
                <c:pt idx="12">
                  <c:v>0.46078431372549017</c:v>
                </c:pt>
                <c:pt idx="13">
                  <c:v>0.46078431372549017</c:v>
                </c:pt>
                <c:pt idx="14">
                  <c:v>0.46078431372549017</c:v>
                </c:pt>
                <c:pt idx="15">
                  <c:v>0.46078431372549017</c:v>
                </c:pt>
                <c:pt idx="16">
                  <c:v>0.46078431372549017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3C-4686-88B1-D637F8B73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SLIDER</c:v>
                </c:pt>
                <c:pt idx="11">
                  <c:v>LEAD GUIDE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'06'!$L$6:$L$22</c:f>
              <c:numCache>
                <c:formatCode>_(* #,##0_);_(* \(#,##0\);_(* "-"_);_(@_)</c:formatCode>
                <c:ptCount val="17"/>
                <c:pt idx="2">
                  <c:v>19017</c:v>
                </c:pt>
                <c:pt idx="3">
                  <c:v>5364</c:v>
                </c:pt>
                <c:pt idx="5">
                  <c:v>281</c:v>
                </c:pt>
                <c:pt idx="6">
                  <c:v>3445</c:v>
                </c:pt>
                <c:pt idx="7">
                  <c:v>2679</c:v>
                </c:pt>
                <c:pt idx="10">
                  <c:v>900</c:v>
                </c:pt>
                <c:pt idx="11">
                  <c:v>950</c:v>
                </c:pt>
                <c:pt idx="12">
                  <c:v>14162</c:v>
                </c:pt>
                <c:pt idx="13">
                  <c:v>5341</c:v>
                </c:pt>
                <c:pt idx="14">
                  <c:v>4094</c:v>
                </c:pt>
                <c:pt idx="15">
                  <c:v>20408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37-4441-A6F3-D88C849CDAC6}"/>
            </c:ext>
          </c:extLst>
        </c:ser>
        <c:ser>
          <c:idx val="1"/>
          <c:order val="1"/>
          <c:tx>
            <c:v>계획</c:v>
          </c:tx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SLIDER</c:v>
                </c:pt>
                <c:pt idx="11">
                  <c:v>LEAD GUIDE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'06'!$J$6:$J$22</c:f>
              <c:numCache>
                <c:formatCode>_(* #,##0_);_(* \(#,##0\);_(* "-"_);_(@_)</c:formatCode>
                <c:ptCount val="17"/>
                <c:pt idx="0">
                  <c:v>3233</c:v>
                </c:pt>
                <c:pt idx="1">
                  <c:v>885</c:v>
                </c:pt>
                <c:pt idx="2">
                  <c:v>19017</c:v>
                </c:pt>
                <c:pt idx="3">
                  <c:v>5364</c:v>
                </c:pt>
                <c:pt idx="4">
                  <c:v>2070</c:v>
                </c:pt>
                <c:pt idx="5">
                  <c:v>281</c:v>
                </c:pt>
                <c:pt idx="6">
                  <c:v>3445</c:v>
                </c:pt>
                <c:pt idx="7">
                  <c:v>2679</c:v>
                </c:pt>
                <c:pt idx="8">
                  <c:v>572</c:v>
                </c:pt>
                <c:pt idx="9">
                  <c:v>4493</c:v>
                </c:pt>
                <c:pt idx="10">
                  <c:v>900</c:v>
                </c:pt>
                <c:pt idx="11">
                  <c:v>950</c:v>
                </c:pt>
                <c:pt idx="12">
                  <c:v>14162</c:v>
                </c:pt>
                <c:pt idx="13">
                  <c:v>5341</c:v>
                </c:pt>
                <c:pt idx="14">
                  <c:v>4094</c:v>
                </c:pt>
                <c:pt idx="15">
                  <c:v>20408</c:v>
                </c:pt>
                <c:pt idx="16">
                  <c:v>44649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37-4441-A6F3-D88C849CD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17%</c:v>
                </c:pt>
                <c:pt idx="6">
                  <c:v>63%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25%</c:v>
                </c:pt>
                <c:pt idx="12">
                  <c:v>100%</c:v>
                </c:pt>
                <c:pt idx="13">
                  <c:v>100%</c:v>
                </c:pt>
                <c:pt idx="14">
                  <c:v>83%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SLIDER</c:v>
                </c:pt>
                <c:pt idx="11">
                  <c:v>LEAD GUIDE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'06'!$AD$6:$AD$22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0.16666666666666666</c:v>
                </c:pt>
                <c:pt idx="6">
                  <c:v>0.625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0.25</c:v>
                </c:pt>
                <c:pt idx="12">
                  <c:v>1</c:v>
                </c:pt>
                <c:pt idx="13">
                  <c:v>1</c:v>
                </c:pt>
                <c:pt idx="14">
                  <c:v>0.83333333333333337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E0-4AF0-816F-A2BFBC27638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E0-4AF0-816F-A2BFBC2763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TOP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10">
                  <c:v>SLIDER</c:v>
                </c:pt>
                <c:pt idx="11">
                  <c:v>LEAD GUIDE</c:v>
                </c:pt>
                <c:pt idx="12">
                  <c:v>BLOCK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'06'!$AE$6:$AE$22</c:f>
              <c:numCache>
                <c:formatCode>0%</c:formatCode>
                <c:ptCount val="17"/>
                <c:pt idx="0">
                  <c:v>0.46078431372549017</c:v>
                </c:pt>
                <c:pt idx="1">
                  <c:v>0.46078431372549017</c:v>
                </c:pt>
                <c:pt idx="2">
                  <c:v>0.46078431372549017</c:v>
                </c:pt>
                <c:pt idx="3">
                  <c:v>0.46078431372549017</c:v>
                </c:pt>
                <c:pt idx="4">
                  <c:v>0.46078431372549017</c:v>
                </c:pt>
                <c:pt idx="5">
                  <c:v>0.46078431372549017</c:v>
                </c:pt>
                <c:pt idx="6">
                  <c:v>0.46078431372549017</c:v>
                </c:pt>
                <c:pt idx="7">
                  <c:v>0.46078431372549017</c:v>
                </c:pt>
                <c:pt idx="8">
                  <c:v>0.46078431372549017</c:v>
                </c:pt>
                <c:pt idx="9">
                  <c:v>0.46078431372549017</c:v>
                </c:pt>
                <c:pt idx="10">
                  <c:v>0.46078431372549017</c:v>
                </c:pt>
                <c:pt idx="11">
                  <c:v>0.46078431372549017</c:v>
                </c:pt>
                <c:pt idx="12">
                  <c:v>0.46078431372549017</c:v>
                </c:pt>
                <c:pt idx="13">
                  <c:v>0.46078431372549017</c:v>
                </c:pt>
                <c:pt idx="14">
                  <c:v>0.46078431372549017</c:v>
                </c:pt>
                <c:pt idx="15">
                  <c:v>0.46078431372549017</c:v>
                </c:pt>
                <c:pt idx="16">
                  <c:v>0.46078431372549017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E0-4AF0-816F-A2BFBC276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3FE-4F09-9947-18F1F21167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FE-4F09-9947-18F1F2116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3FE-4F09-9947-18F1F21167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FE-4F09-9947-18F1F2116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1">
                  <c:v>20667</c:v>
                </c:pt>
                <c:pt idx="2">
                  <c:v>12060</c:v>
                </c:pt>
                <c:pt idx="3">
                  <c:v>5279</c:v>
                </c:pt>
                <c:pt idx="5">
                  <c:v>3522</c:v>
                </c:pt>
                <c:pt idx="6">
                  <c:v>4608</c:v>
                </c:pt>
                <c:pt idx="7">
                  <c:v>3121</c:v>
                </c:pt>
                <c:pt idx="11">
                  <c:v>13878</c:v>
                </c:pt>
                <c:pt idx="12">
                  <c:v>3757</c:v>
                </c:pt>
                <c:pt idx="13">
                  <c:v>21680</c:v>
                </c:pt>
                <c:pt idx="14">
                  <c:v>13276</c:v>
                </c:pt>
                <c:pt idx="15">
                  <c:v>28316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60-49F8-97B0-23148DC0D937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3233</c:v>
                </c:pt>
                <c:pt idx="1">
                  <c:v>20667</c:v>
                </c:pt>
                <c:pt idx="2">
                  <c:v>12060</c:v>
                </c:pt>
                <c:pt idx="3">
                  <c:v>5279</c:v>
                </c:pt>
                <c:pt idx="4">
                  <c:v>2070</c:v>
                </c:pt>
                <c:pt idx="5">
                  <c:v>3522</c:v>
                </c:pt>
                <c:pt idx="6">
                  <c:v>4608</c:v>
                </c:pt>
                <c:pt idx="7">
                  <c:v>3121</c:v>
                </c:pt>
                <c:pt idx="8">
                  <c:v>572</c:v>
                </c:pt>
                <c:pt idx="9">
                  <c:v>4493</c:v>
                </c:pt>
                <c:pt idx="10">
                  <c:v>900</c:v>
                </c:pt>
                <c:pt idx="11">
                  <c:v>13878</c:v>
                </c:pt>
                <c:pt idx="12">
                  <c:v>3757</c:v>
                </c:pt>
                <c:pt idx="13">
                  <c:v>21680</c:v>
                </c:pt>
                <c:pt idx="14">
                  <c:v>13276</c:v>
                </c:pt>
                <c:pt idx="15">
                  <c:v>28316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60-49F8-97B0-23148DC0D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0%</c:v>
                </c:pt>
                <c:pt idx="1">
                  <c:v>92%</c:v>
                </c:pt>
                <c:pt idx="2">
                  <c:v>75%</c:v>
                </c:pt>
                <c:pt idx="3">
                  <c:v>100%</c:v>
                </c:pt>
                <c:pt idx="4">
                  <c:v>0%</c:v>
                </c:pt>
                <c:pt idx="5">
                  <c:v>50%</c:v>
                </c:pt>
                <c:pt idx="6">
                  <c:v>88%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83%</c:v>
                </c:pt>
                <c:pt idx="13">
                  <c:v>100%</c:v>
                </c:pt>
                <c:pt idx="14">
                  <c:v>67%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</c:v>
                </c:pt>
                <c:pt idx="1">
                  <c:v>0.91666666666666663</c:v>
                </c:pt>
                <c:pt idx="2">
                  <c:v>0.75</c:v>
                </c:pt>
                <c:pt idx="3">
                  <c:v>1</c:v>
                </c:pt>
                <c:pt idx="4">
                  <c:v>0</c:v>
                </c:pt>
                <c:pt idx="5">
                  <c:v>0.5</c:v>
                </c:pt>
                <c:pt idx="6">
                  <c:v>0.875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0.83333333333333337</c:v>
                </c:pt>
                <c:pt idx="13">
                  <c:v>1</c:v>
                </c:pt>
                <c:pt idx="14">
                  <c:v>0.66666666666666663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CE-46BB-A97D-2F7E927E607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CE-46BB-A97D-2F7E927E607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0.5625</c:v>
                </c:pt>
                <c:pt idx="1">
                  <c:v>0.5625</c:v>
                </c:pt>
                <c:pt idx="2">
                  <c:v>0.5625</c:v>
                </c:pt>
                <c:pt idx="3">
                  <c:v>0.5625</c:v>
                </c:pt>
                <c:pt idx="4">
                  <c:v>0.5625</c:v>
                </c:pt>
                <c:pt idx="5">
                  <c:v>0.5625</c:v>
                </c:pt>
                <c:pt idx="6">
                  <c:v>0.5625</c:v>
                </c:pt>
                <c:pt idx="7">
                  <c:v>0.5625</c:v>
                </c:pt>
                <c:pt idx="8">
                  <c:v>0.5625</c:v>
                </c:pt>
                <c:pt idx="9">
                  <c:v>0.5625</c:v>
                </c:pt>
                <c:pt idx="10">
                  <c:v>0.5625</c:v>
                </c:pt>
                <c:pt idx="11">
                  <c:v>0.5625</c:v>
                </c:pt>
                <c:pt idx="12">
                  <c:v>0.5625</c:v>
                </c:pt>
                <c:pt idx="13">
                  <c:v>0.5625</c:v>
                </c:pt>
                <c:pt idx="14">
                  <c:v>0.5625</c:v>
                </c:pt>
                <c:pt idx="15">
                  <c:v>0.5625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CE-46BB-A97D-2F7E927E6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1">
                  <c:v>20667</c:v>
                </c:pt>
                <c:pt idx="2">
                  <c:v>12060</c:v>
                </c:pt>
                <c:pt idx="3">
                  <c:v>5279</c:v>
                </c:pt>
                <c:pt idx="5">
                  <c:v>3522</c:v>
                </c:pt>
                <c:pt idx="6">
                  <c:v>4608</c:v>
                </c:pt>
                <c:pt idx="7">
                  <c:v>3121</c:v>
                </c:pt>
                <c:pt idx="11">
                  <c:v>13878</c:v>
                </c:pt>
                <c:pt idx="12">
                  <c:v>3757</c:v>
                </c:pt>
                <c:pt idx="13">
                  <c:v>21680</c:v>
                </c:pt>
                <c:pt idx="14">
                  <c:v>13276</c:v>
                </c:pt>
                <c:pt idx="15">
                  <c:v>28316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F-4795-82C6-F92AE0569603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3233</c:v>
                </c:pt>
                <c:pt idx="1">
                  <c:v>20667</c:v>
                </c:pt>
                <c:pt idx="2">
                  <c:v>12060</c:v>
                </c:pt>
                <c:pt idx="3">
                  <c:v>5279</c:v>
                </c:pt>
                <c:pt idx="4">
                  <c:v>2070</c:v>
                </c:pt>
                <c:pt idx="5">
                  <c:v>3522</c:v>
                </c:pt>
                <c:pt idx="6">
                  <c:v>4608</c:v>
                </c:pt>
                <c:pt idx="7">
                  <c:v>3121</c:v>
                </c:pt>
                <c:pt idx="8">
                  <c:v>572</c:v>
                </c:pt>
                <c:pt idx="9">
                  <c:v>4493</c:v>
                </c:pt>
                <c:pt idx="10">
                  <c:v>900</c:v>
                </c:pt>
                <c:pt idx="11">
                  <c:v>13878</c:v>
                </c:pt>
                <c:pt idx="12">
                  <c:v>3757</c:v>
                </c:pt>
                <c:pt idx="13">
                  <c:v>21680</c:v>
                </c:pt>
                <c:pt idx="14">
                  <c:v>13276</c:v>
                </c:pt>
                <c:pt idx="15">
                  <c:v>28316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5F-4795-82C6-F92AE0569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0%</c:v>
                </c:pt>
                <c:pt idx="1">
                  <c:v>92%</c:v>
                </c:pt>
                <c:pt idx="2">
                  <c:v>75%</c:v>
                </c:pt>
                <c:pt idx="3">
                  <c:v>100%</c:v>
                </c:pt>
                <c:pt idx="4">
                  <c:v>0%</c:v>
                </c:pt>
                <c:pt idx="5">
                  <c:v>50%</c:v>
                </c:pt>
                <c:pt idx="6">
                  <c:v>88%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83%</c:v>
                </c:pt>
                <c:pt idx="13">
                  <c:v>100%</c:v>
                </c:pt>
                <c:pt idx="14">
                  <c:v>67%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</c:v>
                </c:pt>
                <c:pt idx="1">
                  <c:v>0.91666666666666663</c:v>
                </c:pt>
                <c:pt idx="2">
                  <c:v>0.75</c:v>
                </c:pt>
                <c:pt idx="3">
                  <c:v>1</c:v>
                </c:pt>
                <c:pt idx="4">
                  <c:v>0</c:v>
                </c:pt>
                <c:pt idx="5">
                  <c:v>0.5</c:v>
                </c:pt>
                <c:pt idx="6">
                  <c:v>0.875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0.83333333333333337</c:v>
                </c:pt>
                <c:pt idx="13">
                  <c:v>1</c:v>
                </c:pt>
                <c:pt idx="14">
                  <c:v>0.66666666666666663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C3-4D25-9F9A-B3DAFA9578B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2C3-4D25-9F9A-B3DAFA9578B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0.5625</c:v>
                </c:pt>
                <c:pt idx="1">
                  <c:v>0.5625</c:v>
                </c:pt>
                <c:pt idx="2">
                  <c:v>0.5625</c:v>
                </c:pt>
                <c:pt idx="3">
                  <c:v>0.5625</c:v>
                </c:pt>
                <c:pt idx="4">
                  <c:v>0.5625</c:v>
                </c:pt>
                <c:pt idx="5">
                  <c:v>0.5625</c:v>
                </c:pt>
                <c:pt idx="6">
                  <c:v>0.5625</c:v>
                </c:pt>
                <c:pt idx="7">
                  <c:v>0.5625</c:v>
                </c:pt>
                <c:pt idx="8">
                  <c:v>0.5625</c:v>
                </c:pt>
                <c:pt idx="9">
                  <c:v>0.5625</c:v>
                </c:pt>
                <c:pt idx="10">
                  <c:v>0.5625</c:v>
                </c:pt>
                <c:pt idx="11">
                  <c:v>0.5625</c:v>
                </c:pt>
                <c:pt idx="12">
                  <c:v>0.5625</c:v>
                </c:pt>
                <c:pt idx="13">
                  <c:v>0.5625</c:v>
                </c:pt>
                <c:pt idx="14">
                  <c:v>0.5625</c:v>
                </c:pt>
                <c:pt idx="15">
                  <c:v>0.5625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C3-4D25-9F9A-B3DAFA957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38E-4ACD-A688-F61437BBE5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8E-4ACD-A688-F61437BBE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38E-4ACD-A688-F61437BBE5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8E-4ACD-A688-F61437BBE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FLOATING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BOTTOM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2931</c:v>
                </c:pt>
                <c:pt idx="1">
                  <c:v>13102</c:v>
                </c:pt>
                <c:pt idx="3">
                  <c:v>1939</c:v>
                </c:pt>
                <c:pt idx="4">
                  <c:v>3378</c:v>
                </c:pt>
                <c:pt idx="5">
                  <c:v>3021</c:v>
                </c:pt>
                <c:pt idx="6">
                  <c:v>5518</c:v>
                </c:pt>
                <c:pt idx="7">
                  <c:v>2207</c:v>
                </c:pt>
                <c:pt idx="9">
                  <c:v>2700</c:v>
                </c:pt>
                <c:pt idx="11">
                  <c:v>15320</c:v>
                </c:pt>
                <c:pt idx="12">
                  <c:v>1897</c:v>
                </c:pt>
                <c:pt idx="13">
                  <c:v>25132</c:v>
                </c:pt>
                <c:pt idx="14">
                  <c:v>22084</c:v>
                </c:pt>
                <c:pt idx="15">
                  <c:v>74820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B-41DC-882A-78417FD19F69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FLOATING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BOTTOM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2931</c:v>
                </c:pt>
                <c:pt idx="1">
                  <c:v>13102</c:v>
                </c:pt>
                <c:pt idx="2">
                  <c:v>12060</c:v>
                </c:pt>
                <c:pt idx="3">
                  <c:v>1939</c:v>
                </c:pt>
                <c:pt idx="4">
                  <c:v>3378</c:v>
                </c:pt>
                <c:pt idx="5">
                  <c:v>3021</c:v>
                </c:pt>
                <c:pt idx="6">
                  <c:v>5518</c:v>
                </c:pt>
                <c:pt idx="7">
                  <c:v>2207</c:v>
                </c:pt>
                <c:pt idx="8">
                  <c:v>572</c:v>
                </c:pt>
                <c:pt idx="9">
                  <c:v>2700</c:v>
                </c:pt>
                <c:pt idx="10">
                  <c:v>900</c:v>
                </c:pt>
                <c:pt idx="11">
                  <c:v>15320</c:v>
                </c:pt>
                <c:pt idx="12">
                  <c:v>1897</c:v>
                </c:pt>
                <c:pt idx="13">
                  <c:v>25132</c:v>
                </c:pt>
                <c:pt idx="14">
                  <c:v>22084</c:v>
                </c:pt>
                <c:pt idx="15">
                  <c:v>74820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B-41DC-882A-78417FD19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63%</c:v>
                </c:pt>
                <c:pt idx="1">
                  <c:v>100%</c:v>
                </c:pt>
                <c:pt idx="2">
                  <c:v>0%</c:v>
                </c:pt>
                <c:pt idx="3">
                  <c:v>42%</c:v>
                </c:pt>
                <c:pt idx="4">
                  <c:v>58%</c:v>
                </c:pt>
                <c:pt idx="5">
                  <c:v>79%</c:v>
                </c:pt>
                <c:pt idx="6">
                  <c:v>100%</c:v>
                </c:pt>
                <c:pt idx="7">
                  <c:v>50%</c:v>
                </c:pt>
                <c:pt idx="8">
                  <c:v>0%</c:v>
                </c:pt>
                <c:pt idx="9">
                  <c:v>63%</c:v>
                </c:pt>
                <c:pt idx="10">
                  <c:v>0%</c:v>
                </c:pt>
                <c:pt idx="11">
                  <c:v>100%</c:v>
                </c:pt>
                <c:pt idx="12">
                  <c:v>42%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FLOATING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BOTTOM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0.625</c:v>
                </c:pt>
                <c:pt idx="1">
                  <c:v>1</c:v>
                </c:pt>
                <c:pt idx="2">
                  <c:v>0</c:v>
                </c:pt>
                <c:pt idx="3">
                  <c:v>0.41666666666666669</c:v>
                </c:pt>
                <c:pt idx="4">
                  <c:v>0.58333333333333337</c:v>
                </c:pt>
                <c:pt idx="5">
                  <c:v>0.79166666666666663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0.625</c:v>
                </c:pt>
                <c:pt idx="10">
                  <c:v>0</c:v>
                </c:pt>
                <c:pt idx="11">
                  <c:v>1</c:v>
                </c:pt>
                <c:pt idx="12">
                  <c:v>0.41666666666666669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9A-475A-B03A-2DACFEAE631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E9A-475A-B03A-2DACFEAE63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FLOATING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BOTTOM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0.62239583333333326</c:v>
                </c:pt>
                <c:pt idx="1">
                  <c:v>0.62239583333333326</c:v>
                </c:pt>
                <c:pt idx="2">
                  <c:v>0.62239583333333326</c:v>
                </c:pt>
                <c:pt idx="3">
                  <c:v>0.62239583333333326</c:v>
                </c:pt>
                <c:pt idx="4">
                  <c:v>0.62239583333333326</c:v>
                </c:pt>
                <c:pt idx="5">
                  <c:v>0.62239583333333326</c:v>
                </c:pt>
                <c:pt idx="6">
                  <c:v>0.62239583333333326</c:v>
                </c:pt>
                <c:pt idx="7">
                  <c:v>0.62239583333333326</c:v>
                </c:pt>
                <c:pt idx="8">
                  <c:v>0.62239583333333326</c:v>
                </c:pt>
                <c:pt idx="9">
                  <c:v>0.62239583333333326</c:v>
                </c:pt>
                <c:pt idx="10">
                  <c:v>0.62239583333333326</c:v>
                </c:pt>
                <c:pt idx="11">
                  <c:v>0.62239583333333326</c:v>
                </c:pt>
                <c:pt idx="12">
                  <c:v>0.62239583333333326</c:v>
                </c:pt>
                <c:pt idx="13">
                  <c:v>0.62239583333333326</c:v>
                </c:pt>
                <c:pt idx="14">
                  <c:v>0.62239583333333326</c:v>
                </c:pt>
                <c:pt idx="15">
                  <c:v>0.62239583333333326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9A-475A-B03A-2DACFEAE6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FLOATING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BOTTOM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2931</c:v>
                </c:pt>
                <c:pt idx="1">
                  <c:v>13102</c:v>
                </c:pt>
                <c:pt idx="3">
                  <c:v>1939</c:v>
                </c:pt>
                <c:pt idx="4">
                  <c:v>3378</c:v>
                </c:pt>
                <c:pt idx="5">
                  <c:v>3021</c:v>
                </c:pt>
                <c:pt idx="6">
                  <c:v>5518</c:v>
                </c:pt>
                <c:pt idx="7">
                  <c:v>2207</c:v>
                </c:pt>
                <c:pt idx="9">
                  <c:v>2700</c:v>
                </c:pt>
                <c:pt idx="11">
                  <c:v>15320</c:v>
                </c:pt>
                <c:pt idx="12">
                  <c:v>1897</c:v>
                </c:pt>
                <c:pt idx="13">
                  <c:v>25132</c:v>
                </c:pt>
                <c:pt idx="14">
                  <c:v>22084</c:v>
                </c:pt>
                <c:pt idx="15">
                  <c:v>74820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24-4BCC-82AE-BA0A80F295C5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FLOATING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BOTTOM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2931</c:v>
                </c:pt>
                <c:pt idx="1">
                  <c:v>13102</c:v>
                </c:pt>
                <c:pt idx="2">
                  <c:v>12060</c:v>
                </c:pt>
                <c:pt idx="3">
                  <c:v>1939</c:v>
                </c:pt>
                <c:pt idx="4">
                  <c:v>3378</c:v>
                </c:pt>
                <c:pt idx="5">
                  <c:v>3021</c:v>
                </c:pt>
                <c:pt idx="6">
                  <c:v>5518</c:v>
                </c:pt>
                <c:pt idx="7">
                  <c:v>2207</c:v>
                </c:pt>
                <c:pt idx="8">
                  <c:v>572</c:v>
                </c:pt>
                <c:pt idx="9">
                  <c:v>2700</c:v>
                </c:pt>
                <c:pt idx="10">
                  <c:v>900</c:v>
                </c:pt>
                <c:pt idx="11">
                  <c:v>15320</c:v>
                </c:pt>
                <c:pt idx="12">
                  <c:v>1897</c:v>
                </c:pt>
                <c:pt idx="13">
                  <c:v>25132</c:v>
                </c:pt>
                <c:pt idx="14">
                  <c:v>22084</c:v>
                </c:pt>
                <c:pt idx="15">
                  <c:v>74820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24-4BCC-82AE-BA0A80F29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63%</c:v>
                </c:pt>
                <c:pt idx="1">
                  <c:v>100%</c:v>
                </c:pt>
                <c:pt idx="2">
                  <c:v>0%</c:v>
                </c:pt>
                <c:pt idx="3">
                  <c:v>42%</c:v>
                </c:pt>
                <c:pt idx="4">
                  <c:v>58%</c:v>
                </c:pt>
                <c:pt idx="5">
                  <c:v>79%</c:v>
                </c:pt>
                <c:pt idx="6">
                  <c:v>100%</c:v>
                </c:pt>
                <c:pt idx="7">
                  <c:v>50%</c:v>
                </c:pt>
                <c:pt idx="8">
                  <c:v>0%</c:v>
                </c:pt>
                <c:pt idx="9">
                  <c:v>63%</c:v>
                </c:pt>
                <c:pt idx="10">
                  <c:v>0%</c:v>
                </c:pt>
                <c:pt idx="11">
                  <c:v>100%</c:v>
                </c:pt>
                <c:pt idx="12">
                  <c:v>42%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FLOATING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BOTTOM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0.625</c:v>
                </c:pt>
                <c:pt idx="1">
                  <c:v>1</c:v>
                </c:pt>
                <c:pt idx="2">
                  <c:v>0</c:v>
                </c:pt>
                <c:pt idx="3">
                  <c:v>0.41666666666666669</c:v>
                </c:pt>
                <c:pt idx="4">
                  <c:v>0.58333333333333337</c:v>
                </c:pt>
                <c:pt idx="5">
                  <c:v>0.79166666666666663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0.625</c:v>
                </c:pt>
                <c:pt idx="10">
                  <c:v>0</c:v>
                </c:pt>
                <c:pt idx="11">
                  <c:v>1</c:v>
                </c:pt>
                <c:pt idx="12">
                  <c:v>0.41666666666666669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C-4FA2-8916-78F99CFC0D4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5C-4FA2-8916-78F99CFC0D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FLOATING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BOTTOM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BLOCK</c:v>
                </c:pt>
                <c:pt idx="12">
                  <c:v>BASE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0.62239583333333326</c:v>
                </c:pt>
                <c:pt idx="1">
                  <c:v>0.62239583333333326</c:v>
                </c:pt>
                <c:pt idx="2">
                  <c:v>0.62239583333333326</c:v>
                </c:pt>
                <c:pt idx="3">
                  <c:v>0.62239583333333326</c:v>
                </c:pt>
                <c:pt idx="4">
                  <c:v>0.62239583333333326</c:v>
                </c:pt>
                <c:pt idx="5">
                  <c:v>0.62239583333333326</c:v>
                </c:pt>
                <c:pt idx="6">
                  <c:v>0.62239583333333326</c:v>
                </c:pt>
                <c:pt idx="7">
                  <c:v>0.62239583333333326</c:v>
                </c:pt>
                <c:pt idx="8">
                  <c:v>0.62239583333333326</c:v>
                </c:pt>
                <c:pt idx="9">
                  <c:v>0.62239583333333326</c:v>
                </c:pt>
                <c:pt idx="10">
                  <c:v>0.62239583333333326</c:v>
                </c:pt>
                <c:pt idx="11">
                  <c:v>0.62239583333333326</c:v>
                </c:pt>
                <c:pt idx="12">
                  <c:v>0.62239583333333326</c:v>
                </c:pt>
                <c:pt idx="13">
                  <c:v>0.62239583333333326</c:v>
                </c:pt>
                <c:pt idx="14">
                  <c:v>0.62239583333333326</c:v>
                </c:pt>
                <c:pt idx="15">
                  <c:v>0.62239583333333326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5C-4FA2-8916-78F99CFC0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F8A-431D-86F3-1E7E77225E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8A-431D-86F3-1E7E77225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F8A-431D-86F3-1E7E77225E1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8A-431D-86F3-1E7E77225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'10'!$D$6:$D$25</c:f>
              <c:strCache>
                <c:ptCount val="19"/>
                <c:pt idx="0">
                  <c:v>FLOATING</c:v>
                </c:pt>
                <c:pt idx="1">
                  <c:v>F/A</c:v>
                </c:pt>
                <c:pt idx="2">
                  <c:v>SLIDER</c:v>
                </c:pt>
                <c:pt idx="3">
                  <c:v>LEAD GUIDE</c:v>
                </c:pt>
                <c:pt idx="4">
                  <c:v>LATCH PLATE</c:v>
                </c:pt>
                <c:pt idx="5">
                  <c:v>STOPPPER</c:v>
                </c:pt>
                <c:pt idx="6">
                  <c:v>CAM</c:v>
                </c:pt>
                <c:pt idx="7">
                  <c:v>COVER</c:v>
                </c:pt>
                <c:pt idx="8">
                  <c:v>BASE</c:v>
                </c:pt>
                <c:pt idx="9">
                  <c:v>TOP</c:v>
                </c:pt>
                <c:pt idx="10">
                  <c:v>BASE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BLOCK</c:v>
                </c:pt>
                <c:pt idx="16">
                  <c:v>BASE</c:v>
                </c:pt>
                <c:pt idx="17">
                  <c:v>LEAD GUIDE</c:v>
                </c:pt>
                <c:pt idx="18">
                  <c:v>BASE</c:v>
                </c:pt>
              </c:strCache>
            </c:strRef>
          </c:cat>
          <c:val>
            <c:numRef>
              <c:f>'10'!$L$6:$L$25</c:f>
              <c:numCache>
                <c:formatCode>_(* #,##0_);_(* \(#,##0\);_(* "-"_);_(@_)</c:formatCode>
                <c:ptCount val="20"/>
                <c:pt idx="0">
                  <c:v>4953</c:v>
                </c:pt>
                <c:pt idx="1">
                  <c:v>528</c:v>
                </c:pt>
                <c:pt idx="3">
                  <c:v>537</c:v>
                </c:pt>
                <c:pt idx="4">
                  <c:v>1216</c:v>
                </c:pt>
                <c:pt idx="5">
                  <c:v>4542</c:v>
                </c:pt>
                <c:pt idx="6">
                  <c:v>6577</c:v>
                </c:pt>
                <c:pt idx="7">
                  <c:v>13256</c:v>
                </c:pt>
                <c:pt idx="8">
                  <c:v>1083</c:v>
                </c:pt>
                <c:pt idx="9">
                  <c:v>2845</c:v>
                </c:pt>
                <c:pt idx="12">
                  <c:v>856</c:v>
                </c:pt>
                <c:pt idx="13">
                  <c:v>532</c:v>
                </c:pt>
                <c:pt idx="14">
                  <c:v>1964</c:v>
                </c:pt>
                <c:pt idx="15">
                  <c:v>8804</c:v>
                </c:pt>
                <c:pt idx="16">
                  <c:v>1641</c:v>
                </c:pt>
                <c:pt idx="19">
                  <c:v>71924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62-4F7E-987C-C45C4594EA20}"/>
            </c:ext>
          </c:extLst>
        </c:ser>
        <c:ser>
          <c:idx val="1"/>
          <c:order val="1"/>
          <c:tx>
            <c:v>계획</c:v>
          </c:tx>
          <c:cat>
            <c:strRef>
              <c:f>'10'!$D$6:$D$25</c:f>
              <c:strCache>
                <c:ptCount val="19"/>
                <c:pt idx="0">
                  <c:v>FLOATING</c:v>
                </c:pt>
                <c:pt idx="1">
                  <c:v>F/A</c:v>
                </c:pt>
                <c:pt idx="2">
                  <c:v>SLIDER</c:v>
                </c:pt>
                <c:pt idx="3">
                  <c:v>LEAD GUIDE</c:v>
                </c:pt>
                <c:pt idx="4">
                  <c:v>LATCH PLATE</c:v>
                </c:pt>
                <c:pt idx="5">
                  <c:v>STOPPPER</c:v>
                </c:pt>
                <c:pt idx="6">
                  <c:v>CAM</c:v>
                </c:pt>
                <c:pt idx="7">
                  <c:v>COVER</c:v>
                </c:pt>
                <c:pt idx="8">
                  <c:v>BASE</c:v>
                </c:pt>
                <c:pt idx="9">
                  <c:v>TOP</c:v>
                </c:pt>
                <c:pt idx="10">
                  <c:v>BASE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BLOCK</c:v>
                </c:pt>
                <c:pt idx="16">
                  <c:v>BASE</c:v>
                </c:pt>
                <c:pt idx="17">
                  <c:v>LEAD GUIDE</c:v>
                </c:pt>
                <c:pt idx="18">
                  <c:v>BASE</c:v>
                </c:pt>
              </c:strCache>
            </c:strRef>
          </c:cat>
          <c:val>
            <c:numRef>
              <c:f>'10'!$J$6:$J$25</c:f>
              <c:numCache>
                <c:formatCode>_(* #,##0_);_(* \(#,##0\);_(* "-"_);_(@_)</c:formatCode>
                <c:ptCount val="20"/>
                <c:pt idx="0">
                  <c:v>4953</c:v>
                </c:pt>
                <c:pt idx="1">
                  <c:v>528</c:v>
                </c:pt>
                <c:pt idx="2">
                  <c:v>13102</c:v>
                </c:pt>
                <c:pt idx="3">
                  <c:v>537</c:v>
                </c:pt>
                <c:pt idx="4">
                  <c:v>1216</c:v>
                </c:pt>
                <c:pt idx="5">
                  <c:v>4542</c:v>
                </c:pt>
                <c:pt idx="6">
                  <c:v>6577</c:v>
                </c:pt>
                <c:pt idx="7">
                  <c:v>13256</c:v>
                </c:pt>
                <c:pt idx="8">
                  <c:v>1083</c:v>
                </c:pt>
                <c:pt idx="9">
                  <c:v>2845</c:v>
                </c:pt>
                <c:pt idx="10">
                  <c:v>572</c:v>
                </c:pt>
                <c:pt idx="11">
                  <c:v>2700</c:v>
                </c:pt>
                <c:pt idx="12">
                  <c:v>856</c:v>
                </c:pt>
                <c:pt idx="13">
                  <c:v>532</c:v>
                </c:pt>
                <c:pt idx="14">
                  <c:v>1964</c:v>
                </c:pt>
                <c:pt idx="15">
                  <c:v>8804</c:v>
                </c:pt>
                <c:pt idx="16">
                  <c:v>1641</c:v>
                </c:pt>
                <c:pt idx="17">
                  <c:v>25132</c:v>
                </c:pt>
                <c:pt idx="18">
                  <c:v>22084</c:v>
                </c:pt>
                <c:pt idx="19">
                  <c:v>71924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62-4F7E-987C-C45C4594E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'10'!$AD$6:$AD$25</c:f>
              <c:strCache>
                <c:ptCount val="20"/>
                <c:pt idx="0">
                  <c:v>79%</c:v>
                </c:pt>
                <c:pt idx="1">
                  <c:v>17%</c:v>
                </c:pt>
                <c:pt idx="2">
                  <c:v>0%</c:v>
                </c:pt>
                <c:pt idx="3">
                  <c:v>17%</c:v>
                </c:pt>
                <c:pt idx="4">
                  <c:v>17%</c:v>
                </c:pt>
                <c:pt idx="5">
                  <c:v>88%</c:v>
                </c:pt>
                <c:pt idx="6">
                  <c:v>100%</c:v>
                </c:pt>
                <c:pt idx="7">
                  <c:v>96%</c:v>
                </c:pt>
                <c:pt idx="8">
                  <c:v>21%</c:v>
                </c:pt>
                <c:pt idx="9">
                  <c:v>75%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17%</c:v>
                </c:pt>
                <c:pt idx="14">
                  <c:v>17%</c:v>
                </c:pt>
                <c:pt idx="15">
                  <c:v>63%</c:v>
                </c:pt>
                <c:pt idx="16">
                  <c:v>42%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'10'!$D$6:$D$25</c:f>
              <c:strCache>
                <c:ptCount val="19"/>
                <c:pt idx="0">
                  <c:v>FLOATING</c:v>
                </c:pt>
                <c:pt idx="1">
                  <c:v>F/A</c:v>
                </c:pt>
                <c:pt idx="2">
                  <c:v>SLIDER</c:v>
                </c:pt>
                <c:pt idx="3">
                  <c:v>LEAD GUIDE</c:v>
                </c:pt>
                <c:pt idx="4">
                  <c:v>LATCH PLATE</c:v>
                </c:pt>
                <c:pt idx="5">
                  <c:v>STOPPPER</c:v>
                </c:pt>
                <c:pt idx="6">
                  <c:v>CAM</c:v>
                </c:pt>
                <c:pt idx="7">
                  <c:v>COVER</c:v>
                </c:pt>
                <c:pt idx="8">
                  <c:v>BASE</c:v>
                </c:pt>
                <c:pt idx="9">
                  <c:v>TOP</c:v>
                </c:pt>
                <c:pt idx="10">
                  <c:v>BASE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BLOCK</c:v>
                </c:pt>
                <c:pt idx="16">
                  <c:v>BASE</c:v>
                </c:pt>
                <c:pt idx="17">
                  <c:v>LEAD GUIDE</c:v>
                </c:pt>
                <c:pt idx="18">
                  <c:v>BASE</c:v>
                </c:pt>
              </c:strCache>
            </c:strRef>
          </c:cat>
          <c:val>
            <c:numRef>
              <c:f>'10'!$AD$6:$AD$25</c:f>
              <c:numCache>
                <c:formatCode>0%</c:formatCode>
                <c:ptCount val="20"/>
                <c:pt idx="0">
                  <c:v>0.79166666666666663</c:v>
                </c:pt>
                <c:pt idx="1">
                  <c:v>0.16666666666666666</c:v>
                </c:pt>
                <c:pt idx="2">
                  <c:v>0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0.875</c:v>
                </c:pt>
                <c:pt idx="6">
                  <c:v>1</c:v>
                </c:pt>
                <c:pt idx="7">
                  <c:v>0.95833333333333337</c:v>
                </c:pt>
                <c:pt idx="8">
                  <c:v>0.20833333333333334</c:v>
                </c:pt>
                <c:pt idx="9">
                  <c:v>0.75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0.625</c:v>
                </c:pt>
                <c:pt idx="16">
                  <c:v>0.41666666666666669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99-4891-8CDA-A4F5BBDAEFA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99-4891-8CDA-A4F5BBDAEFA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'10'!$D$6:$D$25</c:f>
              <c:strCache>
                <c:ptCount val="19"/>
                <c:pt idx="0">
                  <c:v>FLOATING</c:v>
                </c:pt>
                <c:pt idx="1">
                  <c:v>F/A</c:v>
                </c:pt>
                <c:pt idx="2">
                  <c:v>SLIDER</c:v>
                </c:pt>
                <c:pt idx="3">
                  <c:v>LEAD GUIDE</c:v>
                </c:pt>
                <c:pt idx="4">
                  <c:v>LATCH PLATE</c:v>
                </c:pt>
                <c:pt idx="5">
                  <c:v>STOPPPER</c:v>
                </c:pt>
                <c:pt idx="6">
                  <c:v>CAM</c:v>
                </c:pt>
                <c:pt idx="7">
                  <c:v>COVER</c:v>
                </c:pt>
                <c:pt idx="8">
                  <c:v>BASE</c:v>
                </c:pt>
                <c:pt idx="9">
                  <c:v>TOP</c:v>
                </c:pt>
                <c:pt idx="10">
                  <c:v>BASE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BLOCK</c:v>
                </c:pt>
                <c:pt idx="16">
                  <c:v>BASE</c:v>
                </c:pt>
                <c:pt idx="17">
                  <c:v>LEAD GUIDE</c:v>
                </c:pt>
                <c:pt idx="18">
                  <c:v>BASE</c:v>
                </c:pt>
              </c:strCache>
            </c:strRef>
          </c:cat>
          <c:val>
            <c:numRef>
              <c:f>'10'!$AE$6:$AE$25</c:f>
              <c:numCache>
                <c:formatCode>0%</c:formatCode>
                <c:ptCount val="20"/>
                <c:pt idx="0">
                  <c:v>0.38125000000000003</c:v>
                </c:pt>
                <c:pt idx="1">
                  <c:v>0.38125000000000003</c:v>
                </c:pt>
                <c:pt idx="2">
                  <c:v>0.38125000000000003</c:v>
                </c:pt>
                <c:pt idx="3">
                  <c:v>0.38125000000000003</c:v>
                </c:pt>
                <c:pt idx="4">
                  <c:v>0.38125000000000003</c:v>
                </c:pt>
                <c:pt idx="5">
                  <c:v>0.38125000000000003</c:v>
                </c:pt>
                <c:pt idx="6">
                  <c:v>0.38125000000000003</c:v>
                </c:pt>
                <c:pt idx="7">
                  <c:v>0.38125000000000003</c:v>
                </c:pt>
                <c:pt idx="8">
                  <c:v>0.38125000000000003</c:v>
                </c:pt>
                <c:pt idx="9">
                  <c:v>0.38125000000000003</c:v>
                </c:pt>
                <c:pt idx="10">
                  <c:v>0.38125000000000003</c:v>
                </c:pt>
                <c:pt idx="11">
                  <c:v>0.38125000000000003</c:v>
                </c:pt>
                <c:pt idx="12">
                  <c:v>0.38125000000000003</c:v>
                </c:pt>
                <c:pt idx="13">
                  <c:v>0.38125000000000003</c:v>
                </c:pt>
                <c:pt idx="14">
                  <c:v>0.38125000000000003</c:v>
                </c:pt>
                <c:pt idx="15">
                  <c:v>0.38125000000000003</c:v>
                </c:pt>
                <c:pt idx="16">
                  <c:v>0.38125000000000003</c:v>
                </c:pt>
                <c:pt idx="17">
                  <c:v>0.38125000000000003</c:v>
                </c:pt>
                <c:pt idx="18">
                  <c:v>0.38125000000000003</c:v>
                </c:pt>
                <c:pt idx="19">
                  <c:v>0.38125000000000003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99-4891-8CDA-A4F5BBDAE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'10'!$D$6:$D$25</c:f>
              <c:strCache>
                <c:ptCount val="19"/>
                <c:pt idx="0">
                  <c:v>FLOATING</c:v>
                </c:pt>
                <c:pt idx="1">
                  <c:v>F/A</c:v>
                </c:pt>
                <c:pt idx="2">
                  <c:v>SLIDER</c:v>
                </c:pt>
                <c:pt idx="3">
                  <c:v>LEAD GUIDE</c:v>
                </c:pt>
                <c:pt idx="4">
                  <c:v>LATCH PLATE</c:v>
                </c:pt>
                <c:pt idx="5">
                  <c:v>STOPPPER</c:v>
                </c:pt>
                <c:pt idx="6">
                  <c:v>CAM</c:v>
                </c:pt>
                <c:pt idx="7">
                  <c:v>COVER</c:v>
                </c:pt>
                <c:pt idx="8">
                  <c:v>BASE</c:v>
                </c:pt>
                <c:pt idx="9">
                  <c:v>TOP</c:v>
                </c:pt>
                <c:pt idx="10">
                  <c:v>BASE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BLOCK</c:v>
                </c:pt>
                <c:pt idx="16">
                  <c:v>BASE</c:v>
                </c:pt>
                <c:pt idx="17">
                  <c:v>LEAD GUIDE</c:v>
                </c:pt>
                <c:pt idx="18">
                  <c:v>BASE</c:v>
                </c:pt>
              </c:strCache>
            </c:strRef>
          </c:cat>
          <c:val>
            <c:numRef>
              <c:f>'10'!$L$6:$L$25</c:f>
              <c:numCache>
                <c:formatCode>_(* #,##0_);_(* \(#,##0\);_(* "-"_);_(@_)</c:formatCode>
                <c:ptCount val="20"/>
                <c:pt idx="0">
                  <c:v>4953</c:v>
                </c:pt>
                <c:pt idx="1">
                  <c:v>528</c:v>
                </c:pt>
                <c:pt idx="3">
                  <c:v>537</c:v>
                </c:pt>
                <c:pt idx="4">
                  <c:v>1216</c:v>
                </c:pt>
                <c:pt idx="5">
                  <c:v>4542</c:v>
                </c:pt>
                <c:pt idx="6">
                  <c:v>6577</c:v>
                </c:pt>
                <c:pt idx="7">
                  <c:v>13256</c:v>
                </c:pt>
                <c:pt idx="8">
                  <c:v>1083</c:v>
                </c:pt>
                <c:pt idx="9">
                  <c:v>2845</c:v>
                </c:pt>
                <c:pt idx="12">
                  <c:v>856</c:v>
                </c:pt>
                <c:pt idx="13">
                  <c:v>532</c:v>
                </c:pt>
                <c:pt idx="14">
                  <c:v>1964</c:v>
                </c:pt>
                <c:pt idx="15">
                  <c:v>8804</c:v>
                </c:pt>
                <c:pt idx="16">
                  <c:v>1641</c:v>
                </c:pt>
                <c:pt idx="19">
                  <c:v>71924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71-453F-B63C-8D4FC9B12087}"/>
            </c:ext>
          </c:extLst>
        </c:ser>
        <c:ser>
          <c:idx val="1"/>
          <c:order val="1"/>
          <c:tx>
            <c:v>계획</c:v>
          </c:tx>
          <c:cat>
            <c:strRef>
              <c:f>'10'!$D$6:$D$25</c:f>
              <c:strCache>
                <c:ptCount val="19"/>
                <c:pt idx="0">
                  <c:v>FLOATING</c:v>
                </c:pt>
                <c:pt idx="1">
                  <c:v>F/A</c:v>
                </c:pt>
                <c:pt idx="2">
                  <c:v>SLIDER</c:v>
                </c:pt>
                <c:pt idx="3">
                  <c:v>LEAD GUIDE</c:v>
                </c:pt>
                <c:pt idx="4">
                  <c:v>LATCH PLATE</c:v>
                </c:pt>
                <c:pt idx="5">
                  <c:v>STOPPPER</c:v>
                </c:pt>
                <c:pt idx="6">
                  <c:v>CAM</c:v>
                </c:pt>
                <c:pt idx="7">
                  <c:v>COVER</c:v>
                </c:pt>
                <c:pt idx="8">
                  <c:v>BASE</c:v>
                </c:pt>
                <c:pt idx="9">
                  <c:v>TOP</c:v>
                </c:pt>
                <c:pt idx="10">
                  <c:v>BASE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BLOCK</c:v>
                </c:pt>
                <c:pt idx="16">
                  <c:v>BASE</c:v>
                </c:pt>
                <c:pt idx="17">
                  <c:v>LEAD GUIDE</c:v>
                </c:pt>
                <c:pt idx="18">
                  <c:v>BASE</c:v>
                </c:pt>
              </c:strCache>
            </c:strRef>
          </c:cat>
          <c:val>
            <c:numRef>
              <c:f>'10'!$J$6:$J$25</c:f>
              <c:numCache>
                <c:formatCode>_(* #,##0_);_(* \(#,##0\);_(* "-"_);_(@_)</c:formatCode>
                <c:ptCount val="20"/>
                <c:pt idx="0">
                  <c:v>4953</c:v>
                </c:pt>
                <c:pt idx="1">
                  <c:v>528</c:v>
                </c:pt>
                <c:pt idx="2">
                  <c:v>13102</c:v>
                </c:pt>
                <c:pt idx="3">
                  <c:v>537</c:v>
                </c:pt>
                <c:pt idx="4">
                  <c:v>1216</c:v>
                </c:pt>
                <c:pt idx="5">
                  <c:v>4542</c:v>
                </c:pt>
                <c:pt idx="6">
                  <c:v>6577</c:v>
                </c:pt>
                <c:pt idx="7">
                  <c:v>13256</c:v>
                </c:pt>
                <c:pt idx="8">
                  <c:v>1083</c:v>
                </c:pt>
                <c:pt idx="9">
                  <c:v>2845</c:v>
                </c:pt>
                <c:pt idx="10">
                  <c:v>572</c:v>
                </c:pt>
                <c:pt idx="11">
                  <c:v>2700</c:v>
                </c:pt>
                <c:pt idx="12">
                  <c:v>856</c:v>
                </c:pt>
                <c:pt idx="13">
                  <c:v>532</c:v>
                </c:pt>
                <c:pt idx="14">
                  <c:v>1964</c:v>
                </c:pt>
                <c:pt idx="15">
                  <c:v>8804</c:v>
                </c:pt>
                <c:pt idx="16">
                  <c:v>1641</c:v>
                </c:pt>
                <c:pt idx="17">
                  <c:v>25132</c:v>
                </c:pt>
                <c:pt idx="18">
                  <c:v>22084</c:v>
                </c:pt>
                <c:pt idx="19">
                  <c:v>71924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71-453F-B63C-8D4FC9B12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'10'!$AD$6:$AD$25</c:f>
              <c:strCache>
                <c:ptCount val="20"/>
                <c:pt idx="0">
                  <c:v>79%</c:v>
                </c:pt>
                <c:pt idx="1">
                  <c:v>17%</c:v>
                </c:pt>
                <c:pt idx="2">
                  <c:v>0%</c:v>
                </c:pt>
                <c:pt idx="3">
                  <c:v>17%</c:v>
                </c:pt>
                <c:pt idx="4">
                  <c:v>17%</c:v>
                </c:pt>
                <c:pt idx="5">
                  <c:v>88%</c:v>
                </c:pt>
                <c:pt idx="6">
                  <c:v>100%</c:v>
                </c:pt>
                <c:pt idx="7">
                  <c:v>96%</c:v>
                </c:pt>
                <c:pt idx="8">
                  <c:v>21%</c:v>
                </c:pt>
                <c:pt idx="9">
                  <c:v>75%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17%</c:v>
                </c:pt>
                <c:pt idx="14">
                  <c:v>17%</c:v>
                </c:pt>
                <c:pt idx="15">
                  <c:v>63%</c:v>
                </c:pt>
                <c:pt idx="16">
                  <c:v>42%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'10'!$D$6:$D$25</c:f>
              <c:strCache>
                <c:ptCount val="19"/>
                <c:pt idx="0">
                  <c:v>FLOATING</c:v>
                </c:pt>
                <c:pt idx="1">
                  <c:v>F/A</c:v>
                </c:pt>
                <c:pt idx="2">
                  <c:v>SLIDER</c:v>
                </c:pt>
                <c:pt idx="3">
                  <c:v>LEAD GUIDE</c:v>
                </c:pt>
                <c:pt idx="4">
                  <c:v>LATCH PLATE</c:v>
                </c:pt>
                <c:pt idx="5">
                  <c:v>STOPPPER</c:v>
                </c:pt>
                <c:pt idx="6">
                  <c:v>CAM</c:v>
                </c:pt>
                <c:pt idx="7">
                  <c:v>COVER</c:v>
                </c:pt>
                <c:pt idx="8">
                  <c:v>BASE</c:v>
                </c:pt>
                <c:pt idx="9">
                  <c:v>TOP</c:v>
                </c:pt>
                <c:pt idx="10">
                  <c:v>BASE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BLOCK</c:v>
                </c:pt>
                <c:pt idx="16">
                  <c:v>BASE</c:v>
                </c:pt>
                <c:pt idx="17">
                  <c:v>LEAD GUIDE</c:v>
                </c:pt>
                <c:pt idx="18">
                  <c:v>BASE</c:v>
                </c:pt>
              </c:strCache>
            </c:strRef>
          </c:cat>
          <c:val>
            <c:numRef>
              <c:f>'10'!$AD$6:$AD$25</c:f>
              <c:numCache>
                <c:formatCode>0%</c:formatCode>
                <c:ptCount val="20"/>
                <c:pt idx="0">
                  <c:v>0.79166666666666663</c:v>
                </c:pt>
                <c:pt idx="1">
                  <c:v>0.16666666666666666</c:v>
                </c:pt>
                <c:pt idx="2">
                  <c:v>0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0.875</c:v>
                </c:pt>
                <c:pt idx="6">
                  <c:v>1</c:v>
                </c:pt>
                <c:pt idx="7">
                  <c:v>0.95833333333333337</c:v>
                </c:pt>
                <c:pt idx="8">
                  <c:v>0.20833333333333334</c:v>
                </c:pt>
                <c:pt idx="9">
                  <c:v>0.75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0.625</c:v>
                </c:pt>
                <c:pt idx="16">
                  <c:v>0.41666666666666669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B-47C4-9ED0-F362F2F114A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C2B-47C4-9ED0-F362F2F114A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'10'!$D$6:$D$25</c:f>
              <c:strCache>
                <c:ptCount val="19"/>
                <c:pt idx="0">
                  <c:v>FLOATING</c:v>
                </c:pt>
                <c:pt idx="1">
                  <c:v>F/A</c:v>
                </c:pt>
                <c:pt idx="2">
                  <c:v>SLIDER</c:v>
                </c:pt>
                <c:pt idx="3">
                  <c:v>LEAD GUIDE</c:v>
                </c:pt>
                <c:pt idx="4">
                  <c:v>LATCH PLATE</c:v>
                </c:pt>
                <c:pt idx="5">
                  <c:v>STOPPPER</c:v>
                </c:pt>
                <c:pt idx="6">
                  <c:v>CAM</c:v>
                </c:pt>
                <c:pt idx="7">
                  <c:v>COVER</c:v>
                </c:pt>
                <c:pt idx="8">
                  <c:v>BASE</c:v>
                </c:pt>
                <c:pt idx="9">
                  <c:v>TOP</c:v>
                </c:pt>
                <c:pt idx="10">
                  <c:v>BASE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BLOCK</c:v>
                </c:pt>
                <c:pt idx="16">
                  <c:v>BASE</c:v>
                </c:pt>
                <c:pt idx="17">
                  <c:v>LEAD GUIDE</c:v>
                </c:pt>
                <c:pt idx="18">
                  <c:v>BASE</c:v>
                </c:pt>
              </c:strCache>
            </c:strRef>
          </c:cat>
          <c:val>
            <c:numRef>
              <c:f>'10'!$AE$6:$AE$25</c:f>
              <c:numCache>
                <c:formatCode>0%</c:formatCode>
                <c:ptCount val="20"/>
                <c:pt idx="0">
                  <c:v>0.38125000000000003</c:v>
                </c:pt>
                <c:pt idx="1">
                  <c:v>0.38125000000000003</c:v>
                </c:pt>
                <c:pt idx="2">
                  <c:v>0.38125000000000003</c:v>
                </c:pt>
                <c:pt idx="3">
                  <c:v>0.38125000000000003</c:v>
                </c:pt>
                <c:pt idx="4">
                  <c:v>0.38125000000000003</c:v>
                </c:pt>
                <c:pt idx="5">
                  <c:v>0.38125000000000003</c:v>
                </c:pt>
                <c:pt idx="6">
                  <c:v>0.38125000000000003</c:v>
                </c:pt>
                <c:pt idx="7">
                  <c:v>0.38125000000000003</c:v>
                </c:pt>
                <c:pt idx="8">
                  <c:v>0.38125000000000003</c:v>
                </c:pt>
                <c:pt idx="9">
                  <c:v>0.38125000000000003</c:v>
                </c:pt>
                <c:pt idx="10">
                  <c:v>0.38125000000000003</c:v>
                </c:pt>
                <c:pt idx="11">
                  <c:v>0.38125000000000003</c:v>
                </c:pt>
                <c:pt idx="12">
                  <c:v>0.38125000000000003</c:v>
                </c:pt>
                <c:pt idx="13">
                  <c:v>0.38125000000000003</c:v>
                </c:pt>
                <c:pt idx="14">
                  <c:v>0.38125000000000003</c:v>
                </c:pt>
                <c:pt idx="15">
                  <c:v>0.38125000000000003</c:v>
                </c:pt>
                <c:pt idx="16">
                  <c:v>0.38125000000000003</c:v>
                </c:pt>
                <c:pt idx="17">
                  <c:v>0.38125000000000003</c:v>
                </c:pt>
                <c:pt idx="18">
                  <c:v>0.38125000000000003</c:v>
                </c:pt>
                <c:pt idx="19">
                  <c:v>0.38125000000000003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2B-47C4-9ED0-F362F2F11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922-48AE-B58A-6B40F381F9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22-48AE-B58A-6B40F381F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922-48AE-B58A-6B40F381F9F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22-48AE-B58A-6B40F381F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'15'!$D$6:$D$22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STOPPPER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STOPPPER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'15'!$L$6:$L$22</c:f>
              <c:numCache>
                <c:formatCode>_(* #,##0_);_(* \(#,##0\);_(* "-"_);_(@_)</c:formatCode>
                <c:ptCount val="17"/>
                <c:pt idx="0">
                  <c:v>3723</c:v>
                </c:pt>
                <c:pt idx="2">
                  <c:v>1788</c:v>
                </c:pt>
                <c:pt idx="3">
                  <c:v>4891</c:v>
                </c:pt>
                <c:pt idx="4">
                  <c:v>6217</c:v>
                </c:pt>
                <c:pt idx="5">
                  <c:v>13638</c:v>
                </c:pt>
                <c:pt idx="7">
                  <c:v>2427</c:v>
                </c:pt>
                <c:pt idx="10">
                  <c:v>2472</c:v>
                </c:pt>
                <c:pt idx="11">
                  <c:v>5054</c:v>
                </c:pt>
                <c:pt idx="12">
                  <c:v>2945</c:v>
                </c:pt>
                <c:pt idx="13">
                  <c:v>1188</c:v>
                </c:pt>
                <c:pt idx="14">
                  <c:v>2141</c:v>
                </c:pt>
                <c:pt idx="15">
                  <c:v>4373</c:v>
                </c:pt>
                <c:pt idx="16">
                  <c:v>69164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49-4422-9A35-FDD441594B4E}"/>
            </c:ext>
          </c:extLst>
        </c:ser>
        <c:ser>
          <c:idx val="1"/>
          <c:order val="1"/>
          <c:tx>
            <c:v>계획</c:v>
          </c:tx>
          <c:cat>
            <c:strRef>
              <c:f>'15'!$D$6:$D$22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STOPPPER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STOPPPER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'15'!$J$6:$J$22</c:f>
              <c:numCache>
                <c:formatCode>_(* #,##0_);_(* \(#,##0\);_(* "-"_);_(@_)</c:formatCode>
                <c:ptCount val="17"/>
                <c:pt idx="0">
                  <c:v>3723</c:v>
                </c:pt>
                <c:pt idx="1">
                  <c:v>13102</c:v>
                </c:pt>
                <c:pt idx="2">
                  <c:v>1788</c:v>
                </c:pt>
                <c:pt idx="3">
                  <c:v>4891</c:v>
                </c:pt>
                <c:pt idx="4">
                  <c:v>6217</c:v>
                </c:pt>
                <c:pt idx="5">
                  <c:v>13638</c:v>
                </c:pt>
                <c:pt idx="6">
                  <c:v>1083</c:v>
                </c:pt>
                <c:pt idx="7">
                  <c:v>2427</c:v>
                </c:pt>
                <c:pt idx="8">
                  <c:v>572</c:v>
                </c:pt>
                <c:pt idx="9">
                  <c:v>2700</c:v>
                </c:pt>
                <c:pt idx="10">
                  <c:v>2472</c:v>
                </c:pt>
                <c:pt idx="11">
                  <c:v>5054</c:v>
                </c:pt>
                <c:pt idx="12">
                  <c:v>2945</c:v>
                </c:pt>
                <c:pt idx="13">
                  <c:v>1188</c:v>
                </c:pt>
                <c:pt idx="14">
                  <c:v>2141</c:v>
                </c:pt>
                <c:pt idx="15">
                  <c:v>4373</c:v>
                </c:pt>
                <c:pt idx="16">
                  <c:v>69164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49-4422-9A35-FDD441594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'15'!$AD$6:$AD$22</c:f>
              <c:strCache>
                <c:ptCount val="17"/>
                <c:pt idx="0">
                  <c:v>83%</c:v>
                </c:pt>
                <c:pt idx="1">
                  <c:v>0%</c:v>
                </c:pt>
                <c:pt idx="2">
                  <c:v>17%</c:v>
                </c:pt>
                <c:pt idx="3">
                  <c:v>92%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21%</c:v>
                </c:pt>
                <c:pt idx="11">
                  <c:v>75%</c:v>
                </c:pt>
                <c:pt idx="12">
                  <c:v>67%</c:v>
                </c:pt>
                <c:pt idx="13">
                  <c:v>29%</c:v>
                </c:pt>
                <c:pt idx="14">
                  <c:v>46%</c:v>
                </c:pt>
                <c:pt idx="15">
                  <c:v>83%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'15'!$D$6:$D$22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STOPPPER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STOPPPER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'15'!$AD$6:$AD$22</c:f>
              <c:numCache>
                <c:formatCode>0%</c:formatCode>
                <c:ptCount val="17"/>
                <c:pt idx="0">
                  <c:v>0.83333333333333337</c:v>
                </c:pt>
                <c:pt idx="1">
                  <c:v>0</c:v>
                </c:pt>
                <c:pt idx="2">
                  <c:v>0.16666666666666666</c:v>
                </c:pt>
                <c:pt idx="3">
                  <c:v>0.91666666666666663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0.20833333333333334</c:v>
                </c:pt>
                <c:pt idx="11">
                  <c:v>0.75</c:v>
                </c:pt>
                <c:pt idx="12">
                  <c:v>0.66666666666666663</c:v>
                </c:pt>
                <c:pt idx="13">
                  <c:v>0.29166666666666669</c:v>
                </c:pt>
                <c:pt idx="14">
                  <c:v>0.45833333333333331</c:v>
                </c:pt>
                <c:pt idx="15">
                  <c:v>0.83333333333333337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7-40F1-8867-079DE688953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87-40F1-8867-079DE68895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'15'!$D$6:$D$22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STOPPPER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STOPPPER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'15'!$AE$6:$AE$22</c:f>
              <c:numCache>
                <c:formatCode>0%</c:formatCode>
                <c:ptCount val="17"/>
                <c:pt idx="0">
                  <c:v>0.51960784313725483</c:v>
                </c:pt>
                <c:pt idx="1">
                  <c:v>0.51960784313725483</c:v>
                </c:pt>
                <c:pt idx="2">
                  <c:v>0.51960784313725483</c:v>
                </c:pt>
                <c:pt idx="3">
                  <c:v>0.51960784313725483</c:v>
                </c:pt>
                <c:pt idx="4">
                  <c:v>0.51960784313725483</c:v>
                </c:pt>
                <c:pt idx="5">
                  <c:v>0.51960784313725483</c:v>
                </c:pt>
                <c:pt idx="6">
                  <c:v>0.51960784313725483</c:v>
                </c:pt>
                <c:pt idx="7">
                  <c:v>0.51960784313725483</c:v>
                </c:pt>
                <c:pt idx="8">
                  <c:v>0.51960784313725483</c:v>
                </c:pt>
                <c:pt idx="9">
                  <c:v>0.51960784313725483</c:v>
                </c:pt>
                <c:pt idx="10">
                  <c:v>0.51960784313725483</c:v>
                </c:pt>
                <c:pt idx="11">
                  <c:v>0.51960784313725483</c:v>
                </c:pt>
                <c:pt idx="12">
                  <c:v>0.51960784313725483</c:v>
                </c:pt>
                <c:pt idx="13">
                  <c:v>0.51960784313725483</c:v>
                </c:pt>
                <c:pt idx="14">
                  <c:v>0.51960784313725483</c:v>
                </c:pt>
                <c:pt idx="15">
                  <c:v>0.51960784313725483</c:v>
                </c:pt>
                <c:pt idx="16">
                  <c:v>0.51960784313725483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87-40F1-8867-079DE6889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'15'!$D$6:$D$22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STOPPPER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STOPPPER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'15'!$L$6:$L$22</c:f>
              <c:numCache>
                <c:formatCode>_(* #,##0_);_(* \(#,##0\);_(* "-"_);_(@_)</c:formatCode>
                <c:ptCount val="17"/>
                <c:pt idx="0">
                  <c:v>3723</c:v>
                </c:pt>
                <c:pt idx="2">
                  <c:v>1788</c:v>
                </c:pt>
                <c:pt idx="3">
                  <c:v>4891</c:v>
                </c:pt>
                <c:pt idx="4">
                  <c:v>6217</c:v>
                </c:pt>
                <c:pt idx="5">
                  <c:v>13638</c:v>
                </c:pt>
                <c:pt idx="7">
                  <c:v>2427</c:v>
                </c:pt>
                <c:pt idx="10">
                  <c:v>2472</c:v>
                </c:pt>
                <c:pt idx="11">
                  <c:v>5054</c:v>
                </c:pt>
                <c:pt idx="12">
                  <c:v>2945</c:v>
                </c:pt>
                <c:pt idx="13">
                  <c:v>1188</c:v>
                </c:pt>
                <c:pt idx="14">
                  <c:v>2141</c:v>
                </c:pt>
                <c:pt idx="15">
                  <c:v>4373</c:v>
                </c:pt>
                <c:pt idx="16">
                  <c:v>69164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57-473D-9EF3-245618180FF7}"/>
            </c:ext>
          </c:extLst>
        </c:ser>
        <c:ser>
          <c:idx val="1"/>
          <c:order val="1"/>
          <c:tx>
            <c:v>계획</c:v>
          </c:tx>
          <c:cat>
            <c:strRef>
              <c:f>'15'!$D$6:$D$22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STOPPPER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STOPPPER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'15'!$J$6:$J$22</c:f>
              <c:numCache>
                <c:formatCode>_(* #,##0_);_(* \(#,##0\);_(* "-"_);_(@_)</c:formatCode>
                <c:ptCount val="17"/>
                <c:pt idx="0">
                  <c:v>3723</c:v>
                </c:pt>
                <c:pt idx="1">
                  <c:v>13102</c:v>
                </c:pt>
                <c:pt idx="2">
                  <c:v>1788</c:v>
                </c:pt>
                <c:pt idx="3">
                  <c:v>4891</c:v>
                </c:pt>
                <c:pt idx="4">
                  <c:v>6217</c:v>
                </c:pt>
                <c:pt idx="5">
                  <c:v>13638</c:v>
                </c:pt>
                <c:pt idx="6">
                  <c:v>1083</c:v>
                </c:pt>
                <c:pt idx="7">
                  <c:v>2427</c:v>
                </c:pt>
                <c:pt idx="8">
                  <c:v>572</c:v>
                </c:pt>
                <c:pt idx="9">
                  <c:v>2700</c:v>
                </c:pt>
                <c:pt idx="10">
                  <c:v>2472</c:v>
                </c:pt>
                <c:pt idx="11">
                  <c:v>5054</c:v>
                </c:pt>
                <c:pt idx="12">
                  <c:v>2945</c:v>
                </c:pt>
                <c:pt idx="13">
                  <c:v>1188</c:v>
                </c:pt>
                <c:pt idx="14">
                  <c:v>2141</c:v>
                </c:pt>
                <c:pt idx="15">
                  <c:v>4373</c:v>
                </c:pt>
                <c:pt idx="16">
                  <c:v>69164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57-473D-9EF3-245618180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'15'!$AD$6:$AD$22</c:f>
              <c:strCache>
                <c:ptCount val="17"/>
                <c:pt idx="0">
                  <c:v>83%</c:v>
                </c:pt>
                <c:pt idx="1">
                  <c:v>0%</c:v>
                </c:pt>
                <c:pt idx="2">
                  <c:v>17%</c:v>
                </c:pt>
                <c:pt idx="3">
                  <c:v>92%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21%</c:v>
                </c:pt>
                <c:pt idx="11">
                  <c:v>75%</c:v>
                </c:pt>
                <c:pt idx="12">
                  <c:v>67%</c:v>
                </c:pt>
                <c:pt idx="13">
                  <c:v>29%</c:v>
                </c:pt>
                <c:pt idx="14">
                  <c:v>46%</c:v>
                </c:pt>
                <c:pt idx="15">
                  <c:v>83%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'15'!$D$6:$D$22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STOPPPER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STOPPPER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'15'!$AD$6:$AD$22</c:f>
              <c:numCache>
                <c:formatCode>0%</c:formatCode>
                <c:ptCount val="17"/>
                <c:pt idx="0">
                  <c:v>0.83333333333333337</c:v>
                </c:pt>
                <c:pt idx="1">
                  <c:v>0</c:v>
                </c:pt>
                <c:pt idx="2">
                  <c:v>0.16666666666666666</c:v>
                </c:pt>
                <c:pt idx="3">
                  <c:v>0.91666666666666663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0.20833333333333334</c:v>
                </c:pt>
                <c:pt idx="11">
                  <c:v>0.75</c:v>
                </c:pt>
                <c:pt idx="12">
                  <c:v>0.66666666666666663</c:v>
                </c:pt>
                <c:pt idx="13">
                  <c:v>0.29166666666666669</c:v>
                </c:pt>
                <c:pt idx="14">
                  <c:v>0.45833333333333331</c:v>
                </c:pt>
                <c:pt idx="15">
                  <c:v>0.83333333333333337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78-4BF1-BCC8-F68DE580A4E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C78-4BF1-BCC8-F68DE580A4E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'15'!$D$6:$D$22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STOPPPER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STOPPPER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'15'!$AE$6:$AE$22</c:f>
              <c:numCache>
                <c:formatCode>0%</c:formatCode>
                <c:ptCount val="17"/>
                <c:pt idx="0">
                  <c:v>0.51960784313725483</c:v>
                </c:pt>
                <c:pt idx="1">
                  <c:v>0.51960784313725483</c:v>
                </c:pt>
                <c:pt idx="2">
                  <c:v>0.51960784313725483</c:v>
                </c:pt>
                <c:pt idx="3">
                  <c:v>0.51960784313725483</c:v>
                </c:pt>
                <c:pt idx="4">
                  <c:v>0.51960784313725483</c:v>
                </c:pt>
                <c:pt idx="5">
                  <c:v>0.51960784313725483</c:v>
                </c:pt>
                <c:pt idx="6">
                  <c:v>0.51960784313725483</c:v>
                </c:pt>
                <c:pt idx="7">
                  <c:v>0.51960784313725483</c:v>
                </c:pt>
                <c:pt idx="8">
                  <c:v>0.51960784313725483</c:v>
                </c:pt>
                <c:pt idx="9">
                  <c:v>0.51960784313725483</c:v>
                </c:pt>
                <c:pt idx="10">
                  <c:v>0.51960784313725483</c:v>
                </c:pt>
                <c:pt idx="11">
                  <c:v>0.51960784313725483</c:v>
                </c:pt>
                <c:pt idx="12">
                  <c:v>0.51960784313725483</c:v>
                </c:pt>
                <c:pt idx="13">
                  <c:v>0.51960784313725483</c:v>
                </c:pt>
                <c:pt idx="14">
                  <c:v>0.51960784313725483</c:v>
                </c:pt>
                <c:pt idx="15">
                  <c:v>0.51960784313725483</c:v>
                </c:pt>
                <c:pt idx="16">
                  <c:v>0.51960784313725483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78-4BF1-BCC8-F68DE580A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146-4B5B-AF17-D22BBDA246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46-4B5B-AF17-D22BBDA24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146-4B5B-AF17-D22BBDA2469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46-4B5B-AF17-D22BBDA24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STOPPPER</c:v>
                </c:pt>
                <c:pt idx="12">
                  <c:v>BASE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'16'!$L$6:$L$22</c:f>
              <c:numCache>
                <c:formatCode>_(* #,##0_);_(* \(#,##0\);_(* "-"_);_(@_)</c:formatCode>
                <c:ptCount val="17"/>
                <c:pt idx="0">
                  <c:v>2951</c:v>
                </c:pt>
                <c:pt idx="2">
                  <c:v>8450</c:v>
                </c:pt>
                <c:pt idx="3">
                  <c:v>3967</c:v>
                </c:pt>
                <c:pt idx="4">
                  <c:v>6595</c:v>
                </c:pt>
                <c:pt idx="5">
                  <c:v>7322</c:v>
                </c:pt>
                <c:pt idx="8">
                  <c:v>365</c:v>
                </c:pt>
                <c:pt idx="10">
                  <c:v>1042</c:v>
                </c:pt>
                <c:pt idx="11">
                  <c:v>3740</c:v>
                </c:pt>
                <c:pt idx="13">
                  <c:v>2569</c:v>
                </c:pt>
                <c:pt idx="14">
                  <c:v>2000</c:v>
                </c:pt>
                <c:pt idx="15">
                  <c:v>10984</c:v>
                </c:pt>
                <c:pt idx="16">
                  <c:v>75560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E-42EC-8EE1-5CC7D8A7ED3E}"/>
            </c:ext>
          </c:extLst>
        </c:ser>
        <c:ser>
          <c:idx val="1"/>
          <c:order val="1"/>
          <c:tx>
            <c:v>계획</c:v>
          </c:tx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STOPPPER</c:v>
                </c:pt>
                <c:pt idx="12">
                  <c:v>BASE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'16'!$J$6:$J$22</c:f>
              <c:numCache>
                <c:formatCode>_(* #,##0_);_(* \(#,##0\);_(* "-"_);_(@_)</c:formatCode>
                <c:ptCount val="17"/>
                <c:pt idx="0">
                  <c:v>2951</c:v>
                </c:pt>
                <c:pt idx="1">
                  <c:v>13102</c:v>
                </c:pt>
                <c:pt idx="2">
                  <c:v>8450</c:v>
                </c:pt>
                <c:pt idx="3">
                  <c:v>3967</c:v>
                </c:pt>
                <c:pt idx="4">
                  <c:v>6595</c:v>
                </c:pt>
                <c:pt idx="5">
                  <c:v>7322</c:v>
                </c:pt>
                <c:pt idx="6">
                  <c:v>1083</c:v>
                </c:pt>
                <c:pt idx="7">
                  <c:v>2427</c:v>
                </c:pt>
                <c:pt idx="8">
                  <c:v>365</c:v>
                </c:pt>
                <c:pt idx="9">
                  <c:v>2700</c:v>
                </c:pt>
                <c:pt idx="10">
                  <c:v>1042</c:v>
                </c:pt>
                <c:pt idx="11">
                  <c:v>3740</c:v>
                </c:pt>
                <c:pt idx="12">
                  <c:v>1188</c:v>
                </c:pt>
                <c:pt idx="13">
                  <c:v>2569</c:v>
                </c:pt>
                <c:pt idx="14">
                  <c:v>2000</c:v>
                </c:pt>
                <c:pt idx="15">
                  <c:v>10984</c:v>
                </c:pt>
                <c:pt idx="16">
                  <c:v>75560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E-42EC-8EE1-5CC7D8A7E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'16'!$AD$6:$AD$22</c:f>
              <c:strCache>
                <c:ptCount val="17"/>
                <c:pt idx="0">
                  <c:v>63%</c:v>
                </c:pt>
                <c:pt idx="1">
                  <c:v>0%</c:v>
                </c:pt>
                <c:pt idx="2">
                  <c:v>79%</c:v>
                </c:pt>
                <c:pt idx="3">
                  <c:v>79%</c:v>
                </c:pt>
                <c:pt idx="4">
                  <c:v>100%</c:v>
                </c:pt>
                <c:pt idx="5">
                  <c:v>50%</c:v>
                </c:pt>
                <c:pt idx="6">
                  <c:v>0%</c:v>
                </c:pt>
                <c:pt idx="7">
                  <c:v>0%</c:v>
                </c:pt>
                <c:pt idx="8">
                  <c:v>46%</c:v>
                </c:pt>
                <c:pt idx="9">
                  <c:v>0%</c:v>
                </c:pt>
                <c:pt idx="10">
                  <c:v>21%</c:v>
                </c:pt>
                <c:pt idx="11">
                  <c:v>67%</c:v>
                </c:pt>
                <c:pt idx="12">
                  <c:v>0%</c:v>
                </c:pt>
                <c:pt idx="13">
                  <c:v>54%</c:v>
                </c:pt>
                <c:pt idx="14">
                  <c:v>38%</c:v>
                </c:pt>
                <c:pt idx="15">
                  <c:v>54%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STOPPPER</c:v>
                </c:pt>
                <c:pt idx="12">
                  <c:v>BASE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'16'!$AD$6:$AD$22</c:f>
              <c:numCache>
                <c:formatCode>0%</c:formatCode>
                <c:ptCount val="17"/>
                <c:pt idx="0">
                  <c:v>0.625</c:v>
                </c:pt>
                <c:pt idx="1">
                  <c:v>0</c:v>
                </c:pt>
                <c:pt idx="2">
                  <c:v>0.79166666666666663</c:v>
                </c:pt>
                <c:pt idx="3">
                  <c:v>0.79166666666666663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0.45833333333333331</c:v>
                </c:pt>
                <c:pt idx="9">
                  <c:v>0</c:v>
                </c:pt>
                <c:pt idx="10">
                  <c:v>0.20833333333333334</c:v>
                </c:pt>
                <c:pt idx="11">
                  <c:v>0.66666666666666663</c:v>
                </c:pt>
                <c:pt idx="12">
                  <c:v>0</c:v>
                </c:pt>
                <c:pt idx="13">
                  <c:v>0.54166666666666663</c:v>
                </c:pt>
                <c:pt idx="14">
                  <c:v>0.375</c:v>
                </c:pt>
                <c:pt idx="15">
                  <c:v>0.54166666666666663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A-44D2-86ED-6A90A1C9D67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DA-44D2-86ED-6A90A1C9D67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STOPPPER</c:v>
                </c:pt>
                <c:pt idx="12">
                  <c:v>BASE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'16'!$AE$6:$AE$22</c:f>
              <c:numCache>
                <c:formatCode>0%</c:formatCode>
                <c:ptCount val="17"/>
                <c:pt idx="0">
                  <c:v>0.44117647058823528</c:v>
                </c:pt>
                <c:pt idx="1">
                  <c:v>0.44117647058823528</c:v>
                </c:pt>
                <c:pt idx="2">
                  <c:v>0.44117647058823528</c:v>
                </c:pt>
                <c:pt idx="3">
                  <c:v>0.44117647058823528</c:v>
                </c:pt>
                <c:pt idx="4">
                  <c:v>0.44117647058823528</c:v>
                </c:pt>
                <c:pt idx="5">
                  <c:v>0.44117647058823528</c:v>
                </c:pt>
                <c:pt idx="6">
                  <c:v>0.44117647058823528</c:v>
                </c:pt>
                <c:pt idx="7">
                  <c:v>0.44117647058823528</c:v>
                </c:pt>
                <c:pt idx="8">
                  <c:v>0.44117647058823528</c:v>
                </c:pt>
                <c:pt idx="9">
                  <c:v>0.44117647058823528</c:v>
                </c:pt>
                <c:pt idx="10">
                  <c:v>0.44117647058823528</c:v>
                </c:pt>
                <c:pt idx="11">
                  <c:v>0.44117647058823528</c:v>
                </c:pt>
                <c:pt idx="12">
                  <c:v>0.44117647058823528</c:v>
                </c:pt>
                <c:pt idx="13">
                  <c:v>0.44117647058823528</c:v>
                </c:pt>
                <c:pt idx="14">
                  <c:v>0.44117647058823528</c:v>
                </c:pt>
                <c:pt idx="15">
                  <c:v>0.44117647058823528</c:v>
                </c:pt>
                <c:pt idx="16">
                  <c:v>0.44117647058823528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DA-44D2-86ED-6A90A1C9D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STOPPPER</c:v>
                </c:pt>
                <c:pt idx="12">
                  <c:v>BASE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'16'!$L$6:$L$22</c:f>
              <c:numCache>
                <c:formatCode>_(* #,##0_);_(* \(#,##0\);_(* "-"_);_(@_)</c:formatCode>
                <c:ptCount val="17"/>
                <c:pt idx="0">
                  <c:v>2951</c:v>
                </c:pt>
                <c:pt idx="2">
                  <c:v>8450</c:v>
                </c:pt>
                <c:pt idx="3">
                  <c:v>3967</c:v>
                </c:pt>
                <c:pt idx="4">
                  <c:v>6595</c:v>
                </c:pt>
                <c:pt idx="5">
                  <c:v>7322</c:v>
                </c:pt>
                <c:pt idx="8">
                  <c:v>365</c:v>
                </c:pt>
                <c:pt idx="10">
                  <c:v>1042</c:v>
                </c:pt>
                <c:pt idx="11">
                  <c:v>3740</c:v>
                </c:pt>
                <c:pt idx="13">
                  <c:v>2569</c:v>
                </c:pt>
                <c:pt idx="14">
                  <c:v>2000</c:v>
                </c:pt>
                <c:pt idx="15">
                  <c:v>10984</c:v>
                </c:pt>
                <c:pt idx="16">
                  <c:v>75560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40-4988-8B46-F3FBDD5D871C}"/>
            </c:ext>
          </c:extLst>
        </c:ser>
        <c:ser>
          <c:idx val="1"/>
          <c:order val="1"/>
          <c:tx>
            <c:v>계획</c:v>
          </c:tx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STOPPPER</c:v>
                </c:pt>
                <c:pt idx="12">
                  <c:v>BASE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'16'!$J$6:$J$22</c:f>
              <c:numCache>
                <c:formatCode>_(* #,##0_);_(* \(#,##0\);_(* "-"_);_(@_)</c:formatCode>
                <c:ptCount val="17"/>
                <c:pt idx="0">
                  <c:v>2951</c:v>
                </c:pt>
                <c:pt idx="1">
                  <c:v>13102</c:v>
                </c:pt>
                <c:pt idx="2">
                  <c:v>8450</c:v>
                </c:pt>
                <c:pt idx="3">
                  <c:v>3967</c:v>
                </c:pt>
                <c:pt idx="4">
                  <c:v>6595</c:v>
                </c:pt>
                <c:pt idx="5">
                  <c:v>7322</c:v>
                </c:pt>
                <c:pt idx="6">
                  <c:v>1083</c:v>
                </c:pt>
                <c:pt idx="7">
                  <c:v>2427</c:v>
                </c:pt>
                <c:pt idx="8">
                  <c:v>365</c:v>
                </c:pt>
                <c:pt idx="9">
                  <c:v>2700</c:v>
                </c:pt>
                <c:pt idx="10">
                  <c:v>1042</c:v>
                </c:pt>
                <c:pt idx="11">
                  <c:v>3740</c:v>
                </c:pt>
                <c:pt idx="12">
                  <c:v>1188</c:v>
                </c:pt>
                <c:pt idx="13">
                  <c:v>2569</c:v>
                </c:pt>
                <c:pt idx="14">
                  <c:v>2000</c:v>
                </c:pt>
                <c:pt idx="15">
                  <c:v>10984</c:v>
                </c:pt>
                <c:pt idx="16">
                  <c:v>75560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40-4988-8B46-F3FBDD5D8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'16'!$AD$6:$AD$22</c:f>
              <c:strCache>
                <c:ptCount val="17"/>
                <c:pt idx="0">
                  <c:v>63%</c:v>
                </c:pt>
                <c:pt idx="1">
                  <c:v>0%</c:v>
                </c:pt>
                <c:pt idx="2">
                  <c:v>79%</c:v>
                </c:pt>
                <c:pt idx="3">
                  <c:v>79%</c:v>
                </c:pt>
                <c:pt idx="4">
                  <c:v>100%</c:v>
                </c:pt>
                <c:pt idx="5">
                  <c:v>50%</c:v>
                </c:pt>
                <c:pt idx="6">
                  <c:v>0%</c:v>
                </c:pt>
                <c:pt idx="7">
                  <c:v>0%</c:v>
                </c:pt>
                <c:pt idx="8">
                  <c:v>46%</c:v>
                </c:pt>
                <c:pt idx="9">
                  <c:v>0%</c:v>
                </c:pt>
                <c:pt idx="10">
                  <c:v>21%</c:v>
                </c:pt>
                <c:pt idx="11">
                  <c:v>67%</c:v>
                </c:pt>
                <c:pt idx="12">
                  <c:v>0%</c:v>
                </c:pt>
                <c:pt idx="13">
                  <c:v>54%</c:v>
                </c:pt>
                <c:pt idx="14">
                  <c:v>38%</c:v>
                </c:pt>
                <c:pt idx="15">
                  <c:v>54%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STOPPPER</c:v>
                </c:pt>
                <c:pt idx="12">
                  <c:v>BASE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'16'!$AD$6:$AD$22</c:f>
              <c:numCache>
                <c:formatCode>0%</c:formatCode>
                <c:ptCount val="17"/>
                <c:pt idx="0">
                  <c:v>0.625</c:v>
                </c:pt>
                <c:pt idx="1">
                  <c:v>0</c:v>
                </c:pt>
                <c:pt idx="2">
                  <c:v>0.79166666666666663</c:v>
                </c:pt>
                <c:pt idx="3">
                  <c:v>0.79166666666666663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0.45833333333333331</c:v>
                </c:pt>
                <c:pt idx="9">
                  <c:v>0</c:v>
                </c:pt>
                <c:pt idx="10">
                  <c:v>0.20833333333333334</c:v>
                </c:pt>
                <c:pt idx="11">
                  <c:v>0.66666666666666663</c:v>
                </c:pt>
                <c:pt idx="12">
                  <c:v>0</c:v>
                </c:pt>
                <c:pt idx="13">
                  <c:v>0.54166666666666663</c:v>
                </c:pt>
                <c:pt idx="14">
                  <c:v>0.375</c:v>
                </c:pt>
                <c:pt idx="15">
                  <c:v>0.54166666666666663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4-4F4E-A8B8-85EDD2C8DEE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3D4-4F4E-A8B8-85EDD2C8DE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COVER</c:v>
                </c:pt>
                <c:pt idx="6">
                  <c:v>BASE</c:v>
                </c:pt>
                <c:pt idx="7">
                  <c:v>TOP</c:v>
                </c:pt>
                <c:pt idx="8">
                  <c:v>BASE</c:v>
                </c:pt>
                <c:pt idx="9">
                  <c:v>COVER</c:v>
                </c:pt>
                <c:pt idx="10">
                  <c:v>STOPPPER</c:v>
                </c:pt>
                <c:pt idx="12">
                  <c:v>BASE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'16'!$AE$6:$AE$22</c:f>
              <c:numCache>
                <c:formatCode>0%</c:formatCode>
                <c:ptCount val="17"/>
                <c:pt idx="0">
                  <c:v>0.44117647058823528</c:v>
                </c:pt>
                <c:pt idx="1">
                  <c:v>0.44117647058823528</c:v>
                </c:pt>
                <c:pt idx="2">
                  <c:v>0.44117647058823528</c:v>
                </c:pt>
                <c:pt idx="3">
                  <c:v>0.44117647058823528</c:v>
                </c:pt>
                <c:pt idx="4">
                  <c:v>0.44117647058823528</c:v>
                </c:pt>
                <c:pt idx="5">
                  <c:v>0.44117647058823528</c:v>
                </c:pt>
                <c:pt idx="6">
                  <c:v>0.44117647058823528</c:v>
                </c:pt>
                <c:pt idx="7">
                  <c:v>0.44117647058823528</c:v>
                </c:pt>
                <c:pt idx="8">
                  <c:v>0.44117647058823528</c:v>
                </c:pt>
                <c:pt idx="9">
                  <c:v>0.44117647058823528</c:v>
                </c:pt>
                <c:pt idx="10">
                  <c:v>0.44117647058823528</c:v>
                </c:pt>
                <c:pt idx="11">
                  <c:v>0.44117647058823528</c:v>
                </c:pt>
                <c:pt idx="12">
                  <c:v>0.44117647058823528</c:v>
                </c:pt>
                <c:pt idx="13">
                  <c:v>0.44117647058823528</c:v>
                </c:pt>
                <c:pt idx="14">
                  <c:v>0.44117647058823528</c:v>
                </c:pt>
                <c:pt idx="15">
                  <c:v>0.44117647058823528</c:v>
                </c:pt>
                <c:pt idx="16">
                  <c:v>0.44117647058823528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D4-4F4E-A8B8-85EDD2C8D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FF2-4617-9274-4CF1929469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F2-4617-9274-4CF192946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FF2-4617-9274-4CF19294698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F2-4617-9274-4CF192946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'17'!$D$6:$D$23</c:f>
              <c:strCache>
                <c:ptCount val="17"/>
                <c:pt idx="0">
                  <c:v>F/A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COVER</c:v>
                </c:pt>
                <c:pt idx="7">
                  <c:v>BASE</c:v>
                </c:pt>
                <c:pt idx="8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'17'!$L$6:$L$23</c:f>
              <c:numCache>
                <c:formatCode>_(* #,##0_);_(* \(#,##0\);_(* "-"_);_(@_)</c:formatCode>
                <c:ptCount val="18"/>
                <c:pt idx="0">
                  <c:v>707</c:v>
                </c:pt>
                <c:pt idx="1">
                  <c:v>2619</c:v>
                </c:pt>
                <c:pt idx="2">
                  <c:v>12272</c:v>
                </c:pt>
                <c:pt idx="3">
                  <c:v>11550</c:v>
                </c:pt>
                <c:pt idx="4">
                  <c:v>5490</c:v>
                </c:pt>
                <c:pt idx="5">
                  <c:v>6190</c:v>
                </c:pt>
                <c:pt idx="7">
                  <c:v>3494</c:v>
                </c:pt>
                <c:pt idx="8">
                  <c:v>3483</c:v>
                </c:pt>
                <c:pt idx="11">
                  <c:v>624</c:v>
                </c:pt>
                <c:pt idx="12">
                  <c:v>646</c:v>
                </c:pt>
                <c:pt idx="14">
                  <c:v>897</c:v>
                </c:pt>
                <c:pt idx="15">
                  <c:v>3332</c:v>
                </c:pt>
                <c:pt idx="16">
                  <c:v>20356</c:v>
                </c:pt>
                <c:pt idx="17">
                  <c:v>75632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0-43D9-B1FA-FF63B462E77C}"/>
            </c:ext>
          </c:extLst>
        </c:ser>
        <c:ser>
          <c:idx val="1"/>
          <c:order val="1"/>
          <c:tx>
            <c:v>계획</c:v>
          </c:tx>
          <c:cat>
            <c:strRef>
              <c:f>'17'!$D$6:$D$23</c:f>
              <c:strCache>
                <c:ptCount val="17"/>
                <c:pt idx="0">
                  <c:v>F/A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COVER</c:v>
                </c:pt>
                <c:pt idx="7">
                  <c:v>BASE</c:v>
                </c:pt>
                <c:pt idx="8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'17'!$J$6:$J$23</c:f>
              <c:numCache>
                <c:formatCode>_(* #,##0_);_(* \(#,##0\);_(* "-"_);_(@_)</c:formatCode>
                <c:ptCount val="18"/>
                <c:pt idx="0">
                  <c:v>707</c:v>
                </c:pt>
                <c:pt idx="1">
                  <c:v>2619</c:v>
                </c:pt>
                <c:pt idx="2">
                  <c:v>12272</c:v>
                </c:pt>
                <c:pt idx="3">
                  <c:v>11550</c:v>
                </c:pt>
                <c:pt idx="4">
                  <c:v>5490</c:v>
                </c:pt>
                <c:pt idx="5">
                  <c:v>6190</c:v>
                </c:pt>
                <c:pt idx="6">
                  <c:v>7322</c:v>
                </c:pt>
                <c:pt idx="7">
                  <c:v>3494</c:v>
                </c:pt>
                <c:pt idx="8">
                  <c:v>3483</c:v>
                </c:pt>
                <c:pt idx="9">
                  <c:v>365</c:v>
                </c:pt>
                <c:pt idx="10">
                  <c:v>2700</c:v>
                </c:pt>
                <c:pt idx="11">
                  <c:v>624</c:v>
                </c:pt>
                <c:pt idx="12">
                  <c:v>646</c:v>
                </c:pt>
                <c:pt idx="13">
                  <c:v>3740</c:v>
                </c:pt>
                <c:pt idx="14">
                  <c:v>897</c:v>
                </c:pt>
                <c:pt idx="15">
                  <c:v>3332</c:v>
                </c:pt>
                <c:pt idx="16">
                  <c:v>20356</c:v>
                </c:pt>
                <c:pt idx="17">
                  <c:v>75632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0-43D9-B1FA-FF63B462E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'17'!$AD$6:$AD$23</c:f>
              <c:strCache>
                <c:ptCount val="18"/>
                <c:pt idx="0">
                  <c:v>17%</c:v>
                </c:pt>
                <c:pt idx="1">
                  <c:v>58%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71%</c:v>
                </c:pt>
                <c:pt idx="8">
                  <c:v>71%</c:v>
                </c:pt>
                <c:pt idx="9">
                  <c:v>0%</c:v>
                </c:pt>
                <c:pt idx="10">
                  <c:v>0%</c:v>
                </c:pt>
                <c:pt idx="11">
                  <c:v>13%</c:v>
                </c:pt>
                <c:pt idx="12">
                  <c:v>13%</c:v>
                </c:pt>
                <c:pt idx="13">
                  <c:v>0%</c:v>
                </c:pt>
                <c:pt idx="14">
                  <c:v>21%</c:v>
                </c:pt>
                <c:pt idx="15">
                  <c:v>75%</c:v>
                </c:pt>
                <c:pt idx="16">
                  <c:v>100%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'17'!$D$6:$D$23</c:f>
              <c:strCache>
                <c:ptCount val="17"/>
                <c:pt idx="0">
                  <c:v>F/A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COVER</c:v>
                </c:pt>
                <c:pt idx="7">
                  <c:v>BASE</c:v>
                </c:pt>
                <c:pt idx="8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'17'!$AD$6:$AD$23</c:f>
              <c:numCache>
                <c:formatCode>0%</c:formatCode>
                <c:ptCount val="18"/>
                <c:pt idx="0">
                  <c:v>0.16666666666666666</c:v>
                </c:pt>
                <c:pt idx="1">
                  <c:v>0.58333333333333337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0.70833333333333337</c:v>
                </c:pt>
                <c:pt idx="8">
                  <c:v>0.70833333333333337</c:v>
                </c:pt>
                <c:pt idx="9">
                  <c:v>0</c:v>
                </c:pt>
                <c:pt idx="10">
                  <c:v>0</c:v>
                </c:pt>
                <c:pt idx="11">
                  <c:v>0.125</c:v>
                </c:pt>
                <c:pt idx="12">
                  <c:v>0.125</c:v>
                </c:pt>
                <c:pt idx="13">
                  <c:v>0</c:v>
                </c:pt>
                <c:pt idx="14">
                  <c:v>0.20833333333333334</c:v>
                </c:pt>
                <c:pt idx="15">
                  <c:v>0.75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D-4D80-B690-09501C9FFCA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4D-4D80-B690-09501C9FFC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'17'!$D$6:$D$23</c:f>
              <c:strCache>
                <c:ptCount val="17"/>
                <c:pt idx="0">
                  <c:v>F/A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COVER</c:v>
                </c:pt>
                <c:pt idx="7">
                  <c:v>BASE</c:v>
                </c:pt>
                <c:pt idx="8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'17'!$AE$6:$AE$23</c:f>
              <c:numCache>
                <c:formatCode>0%</c:formatCode>
                <c:ptCount val="18"/>
                <c:pt idx="0">
                  <c:v>0.52083333333333337</c:v>
                </c:pt>
                <c:pt idx="1">
                  <c:v>0.52083333333333337</c:v>
                </c:pt>
                <c:pt idx="2">
                  <c:v>0.52083333333333337</c:v>
                </c:pt>
                <c:pt idx="3">
                  <c:v>0.52083333333333337</c:v>
                </c:pt>
                <c:pt idx="4">
                  <c:v>0.52083333333333337</c:v>
                </c:pt>
                <c:pt idx="5">
                  <c:v>0.52083333333333337</c:v>
                </c:pt>
                <c:pt idx="6">
                  <c:v>0.52083333333333337</c:v>
                </c:pt>
                <c:pt idx="7">
                  <c:v>0.52083333333333337</c:v>
                </c:pt>
                <c:pt idx="8">
                  <c:v>0.52083333333333337</c:v>
                </c:pt>
                <c:pt idx="9">
                  <c:v>0.52083333333333337</c:v>
                </c:pt>
                <c:pt idx="10">
                  <c:v>0.52083333333333337</c:v>
                </c:pt>
                <c:pt idx="11">
                  <c:v>0.52083333333333337</c:v>
                </c:pt>
                <c:pt idx="12">
                  <c:v>0.52083333333333337</c:v>
                </c:pt>
                <c:pt idx="13">
                  <c:v>0.52083333333333337</c:v>
                </c:pt>
                <c:pt idx="14">
                  <c:v>0.52083333333333337</c:v>
                </c:pt>
                <c:pt idx="15">
                  <c:v>0.52083333333333337</c:v>
                </c:pt>
                <c:pt idx="16">
                  <c:v>0.52083333333333337</c:v>
                </c:pt>
                <c:pt idx="17">
                  <c:v>0.52083333333333337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4D-4D80-B690-09501C9FF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'17'!$D$6:$D$23</c:f>
              <c:strCache>
                <c:ptCount val="17"/>
                <c:pt idx="0">
                  <c:v>F/A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COVER</c:v>
                </c:pt>
                <c:pt idx="7">
                  <c:v>BASE</c:v>
                </c:pt>
                <c:pt idx="8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'17'!$L$6:$L$23</c:f>
              <c:numCache>
                <c:formatCode>_(* #,##0_);_(* \(#,##0\);_(* "-"_);_(@_)</c:formatCode>
                <c:ptCount val="18"/>
                <c:pt idx="0">
                  <c:v>707</c:v>
                </c:pt>
                <c:pt idx="1">
                  <c:v>2619</c:v>
                </c:pt>
                <c:pt idx="2">
                  <c:v>12272</c:v>
                </c:pt>
                <c:pt idx="3">
                  <c:v>11550</c:v>
                </c:pt>
                <c:pt idx="4">
                  <c:v>5490</c:v>
                </c:pt>
                <c:pt idx="5">
                  <c:v>6190</c:v>
                </c:pt>
                <c:pt idx="7">
                  <c:v>3494</c:v>
                </c:pt>
                <c:pt idx="8">
                  <c:v>3483</c:v>
                </c:pt>
                <c:pt idx="11">
                  <c:v>624</c:v>
                </c:pt>
                <c:pt idx="12">
                  <c:v>646</c:v>
                </c:pt>
                <c:pt idx="14">
                  <c:v>897</c:v>
                </c:pt>
                <c:pt idx="15">
                  <c:v>3332</c:v>
                </c:pt>
                <c:pt idx="16">
                  <c:v>20356</c:v>
                </c:pt>
                <c:pt idx="17">
                  <c:v>75632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E1-47BF-976A-29F27AA03340}"/>
            </c:ext>
          </c:extLst>
        </c:ser>
        <c:ser>
          <c:idx val="1"/>
          <c:order val="1"/>
          <c:tx>
            <c:v>계획</c:v>
          </c:tx>
          <c:cat>
            <c:strRef>
              <c:f>'17'!$D$6:$D$23</c:f>
              <c:strCache>
                <c:ptCount val="17"/>
                <c:pt idx="0">
                  <c:v>F/A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COVER</c:v>
                </c:pt>
                <c:pt idx="7">
                  <c:v>BASE</c:v>
                </c:pt>
                <c:pt idx="8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'17'!$J$6:$J$23</c:f>
              <c:numCache>
                <c:formatCode>_(* #,##0_);_(* \(#,##0\);_(* "-"_);_(@_)</c:formatCode>
                <c:ptCount val="18"/>
                <c:pt idx="0">
                  <c:v>707</c:v>
                </c:pt>
                <c:pt idx="1">
                  <c:v>2619</c:v>
                </c:pt>
                <c:pt idx="2">
                  <c:v>12272</c:v>
                </c:pt>
                <c:pt idx="3">
                  <c:v>11550</c:v>
                </c:pt>
                <c:pt idx="4">
                  <c:v>5490</c:v>
                </c:pt>
                <c:pt idx="5">
                  <c:v>6190</c:v>
                </c:pt>
                <c:pt idx="6">
                  <c:v>7322</c:v>
                </c:pt>
                <c:pt idx="7">
                  <c:v>3494</c:v>
                </c:pt>
                <c:pt idx="8">
                  <c:v>3483</c:v>
                </c:pt>
                <c:pt idx="9">
                  <c:v>365</c:v>
                </c:pt>
                <c:pt idx="10">
                  <c:v>2700</c:v>
                </c:pt>
                <c:pt idx="11">
                  <c:v>624</c:v>
                </c:pt>
                <c:pt idx="12">
                  <c:v>646</c:v>
                </c:pt>
                <c:pt idx="13">
                  <c:v>3740</c:v>
                </c:pt>
                <c:pt idx="14">
                  <c:v>897</c:v>
                </c:pt>
                <c:pt idx="15">
                  <c:v>3332</c:v>
                </c:pt>
                <c:pt idx="16">
                  <c:v>20356</c:v>
                </c:pt>
                <c:pt idx="17">
                  <c:v>75632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E1-47BF-976A-29F27AA03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'17'!$AD$6:$AD$23</c:f>
              <c:strCache>
                <c:ptCount val="18"/>
                <c:pt idx="0">
                  <c:v>17%</c:v>
                </c:pt>
                <c:pt idx="1">
                  <c:v>58%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71%</c:v>
                </c:pt>
                <c:pt idx="8">
                  <c:v>71%</c:v>
                </c:pt>
                <c:pt idx="9">
                  <c:v>0%</c:v>
                </c:pt>
                <c:pt idx="10">
                  <c:v>0%</c:v>
                </c:pt>
                <c:pt idx="11">
                  <c:v>13%</c:v>
                </c:pt>
                <c:pt idx="12">
                  <c:v>13%</c:v>
                </c:pt>
                <c:pt idx="13">
                  <c:v>0%</c:v>
                </c:pt>
                <c:pt idx="14">
                  <c:v>21%</c:v>
                </c:pt>
                <c:pt idx="15">
                  <c:v>75%</c:v>
                </c:pt>
                <c:pt idx="16">
                  <c:v>100%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'17'!$D$6:$D$23</c:f>
              <c:strCache>
                <c:ptCount val="17"/>
                <c:pt idx="0">
                  <c:v>F/A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COVER</c:v>
                </c:pt>
                <c:pt idx="7">
                  <c:v>BASE</c:v>
                </c:pt>
                <c:pt idx="8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'17'!$AD$6:$AD$23</c:f>
              <c:numCache>
                <c:formatCode>0%</c:formatCode>
                <c:ptCount val="18"/>
                <c:pt idx="0">
                  <c:v>0.16666666666666666</c:v>
                </c:pt>
                <c:pt idx="1">
                  <c:v>0.58333333333333337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0.70833333333333337</c:v>
                </c:pt>
                <c:pt idx="8">
                  <c:v>0.70833333333333337</c:v>
                </c:pt>
                <c:pt idx="9">
                  <c:v>0</c:v>
                </c:pt>
                <c:pt idx="10">
                  <c:v>0</c:v>
                </c:pt>
                <c:pt idx="11">
                  <c:v>0.125</c:v>
                </c:pt>
                <c:pt idx="12">
                  <c:v>0.125</c:v>
                </c:pt>
                <c:pt idx="13">
                  <c:v>0</c:v>
                </c:pt>
                <c:pt idx="14">
                  <c:v>0.20833333333333334</c:v>
                </c:pt>
                <c:pt idx="15">
                  <c:v>0.75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8-4ECA-A86C-64B87C9BCF4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E8-4ECA-A86C-64B87C9BCF4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'17'!$D$6:$D$23</c:f>
              <c:strCache>
                <c:ptCount val="17"/>
                <c:pt idx="0">
                  <c:v>F/A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COVER</c:v>
                </c:pt>
                <c:pt idx="7">
                  <c:v>BASE</c:v>
                </c:pt>
                <c:pt idx="8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'17'!$AE$6:$AE$23</c:f>
              <c:numCache>
                <c:formatCode>0%</c:formatCode>
                <c:ptCount val="18"/>
                <c:pt idx="0">
                  <c:v>0.52083333333333337</c:v>
                </c:pt>
                <c:pt idx="1">
                  <c:v>0.52083333333333337</c:v>
                </c:pt>
                <c:pt idx="2">
                  <c:v>0.52083333333333337</c:v>
                </c:pt>
                <c:pt idx="3">
                  <c:v>0.52083333333333337</c:v>
                </c:pt>
                <c:pt idx="4">
                  <c:v>0.52083333333333337</c:v>
                </c:pt>
                <c:pt idx="5">
                  <c:v>0.52083333333333337</c:v>
                </c:pt>
                <c:pt idx="6">
                  <c:v>0.52083333333333337</c:v>
                </c:pt>
                <c:pt idx="7">
                  <c:v>0.52083333333333337</c:v>
                </c:pt>
                <c:pt idx="8">
                  <c:v>0.52083333333333337</c:v>
                </c:pt>
                <c:pt idx="9">
                  <c:v>0.52083333333333337</c:v>
                </c:pt>
                <c:pt idx="10">
                  <c:v>0.52083333333333337</c:v>
                </c:pt>
                <c:pt idx="11">
                  <c:v>0.52083333333333337</c:v>
                </c:pt>
                <c:pt idx="12">
                  <c:v>0.52083333333333337</c:v>
                </c:pt>
                <c:pt idx="13">
                  <c:v>0.52083333333333337</c:v>
                </c:pt>
                <c:pt idx="14">
                  <c:v>0.52083333333333337</c:v>
                </c:pt>
                <c:pt idx="15">
                  <c:v>0.52083333333333337</c:v>
                </c:pt>
                <c:pt idx="16">
                  <c:v>0.52083333333333337</c:v>
                </c:pt>
                <c:pt idx="17">
                  <c:v>0.52083333333333337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E8-4ECA-A86C-64B87C9BC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4AB-41FC-BD3B-679E3A242A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AB-41FC-BD3B-679E3A242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4AB-41FC-BD3B-679E3A242A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AB-41FC-BD3B-679E3A242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'18'!$L$6:$L$22</c:f>
              <c:numCache>
                <c:formatCode>_(* #,##0_);_(* \(#,##0\);_(* "-"_);_(@_)</c:formatCode>
                <c:ptCount val="17"/>
                <c:pt idx="0">
                  <c:v>347</c:v>
                </c:pt>
                <c:pt idx="1">
                  <c:v>13122</c:v>
                </c:pt>
                <c:pt idx="2">
                  <c:v>11386</c:v>
                </c:pt>
                <c:pt idx="3">
                  <c:v>5482</c:v>
                </c:pt>
                <c:pt idx="4">
                  <c:v>6462</c:v>
                </c:pt>
                <c:pt idx="5">
                  <c:v>1652</c:v>
                </c:pt>
                <c:pt idx="6">
                  <c:v>3542</c:v>
                </c:pt>
                <c:pt idx="7">
                  <c:v>1547</c:v>
                </c:pt>
                <c:pt idx="8">
                  <c:v>1634</c:v>
                </c:pt>
                <c:pt idx="13">
                  <c:v>3479</c:v>
                </c:pt>
                <c:pt idx="14">
                  <c:v>2412</c:v>
                </c:pt>
                <c:pt idx="15">
                  <c:v>20356</c:v>
                </c:pt>
                <c:pt idx="16">
                  <c:v>75472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8E-44AB-951A-7B37D27734EE}"/>
            </c:ext>
          </c:extLst>
        </c:ser>
        <c:ser>
          <c:idx val="1"/>
          <c:order val="1"/>
          <c:tx>
            <c:v>계획</c:v>
          </c:tx>
          <c:cat>
            <c:strRef>
              <c:f>'18'!$D$6:$D$22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'18'!$J$6:$J$22</c:f>
              <c:numCache>
                <c:formatCode>_(* #,##0_);_(* \(#,##0\);_(* "-"_);_(@_)</c:formatCode>
                <c:ptCount val="17"/>
                <c:pt idx="0">
                  <c:v>347</c:v>
                </c:pt>
                <c:pt idx="1">
                  <c:v>13122</c:v>
                </c:pt>
                <c:pt idx="2">
                  <c:v>11386</c:v>
                </c:pt>
                <c:pt idx="3">
                  <c:v>5482</c:v>
                </c:pt>
                <c:pt idx="4">
                  <c:v>6462</c:v>
                </c:pt>
                <c:pt idx="5">
                  <c:v>1652</c:v>
                </c:pt>
                <c:pt idx="6">
                  <c:v>3542</c:v>
                </c:pt>
                <c:pt idx="7">
                  <c:v>1547</c:v>
                </c:pt>
                <c:pt idx="8">
                  <c:v>1634</c:v>
                </c:pt>
                <c:pt idx="9">
                  <c:v>365</c:v>
                </c:pt>
                <c:pt idx="10">
                  <c:v>2700</c:v>
                </c:pt>
                <c:pt idx="11">
                  <c:v>646</c:v>
                </c:pt>
                <c:pt idx="12">
                  <c:v>3740</c:v>
                </c:pt>
                <c:pt idx="13">
                  <c:v>3479</c:v>
                </c:pt>
                <c:pt idx="14">
                  <c:v>2412</c:v>
                </c:pt>
                <c:pt idx="15">
                  <c:v>20356</c:v>
                </c:pt>
                <c:pt idx="16">
                  <c:v>75472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8E-44AB-951A-7B37D2773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'18'!$AD$6:$AD$22</c:f>
              <c:strCache>
                <c:ptCount val="17"/>
                <c:pt idx="0">
                  <c:v>17%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21%</c:v>
                </c:pt>
                <c:pt idx="6">
                  <c:v>71%</c:v>
                </c:pt>
                <c:pt idx="7">
                  <c:v>42%</c:v>
                </c:pt>
                <c:pt idx="8">
                  <c:v>21%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75%</c:v>
                </c:pt>
                <c:pt idx="14">
                  <c:v>50%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'18'!$AD$6:$AD$22</c:f>
              <c:numCache>
                <c:formatCode>0%</c:formatCode>
                <c:ptCount val="17"/>
                <c:pt idx="0">
                  <c:v>0.16666666666666666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0.20833333333333334</c:v>
                </c:pt>
                <c:pt idx="6">
                  <c:v>0.70833333333333337</c:v>
                </c:pt>
                <c:pt idx="7">
                  <c:v>0.41666666666666669</c:v>
                </c:pt>
                <c:pt idx="8">
                  <c:v>0.20833333333333334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0.75</c:v>
                </c:pt>
                <c:pt idx="14">
                  <c:v>0.5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78-4912-A989-8137B413410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78-4912-A989-8137B41341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'18'!$AE$6:$AE$22</c:f>
              <c:numCache>
                <c:formatCode>0%</c:formatCode>
                <c:ptCount val="17"/>
                <c:pt idx="0">
                  <c:v>0.52696078431372539</c:v>
                </c:pt>
                <c:pt idx="1">
                  <c:v>0.52696078431372539</c:v>
                </c:pt>
                <c:pt idx="2">
                  <c:v>0.52696078431372539</c:v>
                </c:pt>
                <c:pt idx="3">
                  <c:v>0.52696078431372539</c:v>
                </c:pt>
                <c:pt idx="4">
                  <c:v>0.52696078431372539</c:v>
                </c:pt>
                <c:pt idx="5">
                  <c:v>0.52696078431372539</c:v>
                </c:pt>
                <c:pt idx="6">
                  <c:v>0.52696078431372539</c:v>
                </c:pt>
                <c:pt idx="7">
                  <c:v>0.52696078431372539</c:v>
                </c:pt>
                <c:pt idx="8">
                  <c:v>0.52696078431372539</c:v>
                </c:pt>
                <c:pt idx="9">
                  <c:v>0.52696078431372539</c:v>
                </c:pt>
                <c:pt idx="10">
                  <c:v>0.52696078431372539</c:v>
                </c:pt>
                <c:pt idx="11">
                  <c:v>0.52696078431372539</c:v>
                </c:pt>
                <c:pt idx="12">
                  <c:v>0.52696078431372539</c:v>
                </c:pt>
                <c:pt idx="13">
                  <c:v>0.52696078431372539</c:v>
                </c:pt>
                <c:pt idx="14">
                  <c:v>0.52696078431372539</c:v>
                </c:pt>
                <c:pt idx="15">
                  <c:v>0.52696078431372539</c:v>
                </c:pt>
                <c:pt idx="16">
                  <c:v>0.52696078431372539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78-4912-A989-8137B4134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'18'!$L$6:$L$22</c:f>
              <c:numCache>
                <c:formatCode>_(* #,##0_);_(* \(#,##0\);_(* "-"_);_(@_)</c:formatCode>
                <c:ptCount val="17"/>
                <c:pt idx="0">
                  <c:v>347</c:v>
                </c:pt>
                <c:pt idx="1">
                  <c:v>13122</c:v>
                </c:pt>
                <c:pt idx="2">
                  <c:v>11386</c:v>
                </c:pt>
                <c:pt idx="3">
                  <c:v>5482</c:v>
                </c:pt>
                <c:pt idx="4">
                  <c:v>6462</c:v>
                </c:pt>
                <c:pt idx="5">
                  <c:v>1652</c:v>
                </c:pt>
                <c:pt idx="6">
                  <c:v>3542</c:v>
                </c:pt>
                <c:pt idx="7">
                  <c:v>1547</c:v>
                </c:pt>
                <c:pt idx="8">
                  <c:v>1634</c:v>
                </c:pt>
                <c:pt idx="13">
                  <c:v>3479</c:v>
                </c:pt>
                <c:pt idx="14">
                  <c:v>2412</c:v>
                </c:pt>
                <c:pt idx="15">
                  <c:v>20356</c:v>
                </c:pt>
                <c:pt idx="16">
                  <c:v>75472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84-43CB-A061-D1422FD10665}"/>
            </c:ext>
          </c:extLst>
        </c:ser>
        <c:ser>
          <c:idx val="1"/>
          <c:order val="1"/>
          <c:tx>
            <c:v>계획</c:v>
          </c:tx>
          <c:cat>
            <c:strRef>
              <c:f>'18'!$D$6:$D$22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'18'!$J$6:$J$22</c:f>
              <c:numCache>
                <c:formatCode>_(* #,##0_);_(* \(#,##0\);_(* "-"_);_(@_)</c:formatCode>
                <c:ptCount val="17"/>
                <c:pt idx="0">
                  <c:v>347</c:v>
                </c:pt>
                <c:pt idx="1">
                  <c:v>13122</c:v>
                </c:pt>
                <c:pt idx="2">
                  <c:v>11386</c:v>
                </c:pt>
                <c:pt idx="3">
                  <c:v>5482</c:v>
                </c:pt>
                <c:pt idx="4">
                  <c:v>6462</c:v>
                </c:pt>
                <c:pt idx="5">
                  <c:v>1652</c:v>
                </c:pt>
                <c:pt idx="6">
                  <c:v>3542</c:v>
                </c:pt>
                <c:pt idx="7">
                  <c:v>1547</c:v>
                </c:pt>
                <c:pt idx="8">
                  <c:v>1634</c:v>
                </c:pt>
                <c:pt idx="9">
                  <c:v>365</c:v>
                </c:pt>
                <c:pt idx="10">
                  <c:v>2700</c:v>
                </c:pt>
                <c:pt idx="11">
                  <c:v>646</c:v>
                </c:pt>
                <c:pt idx="12">
                  <c:v>3740</c:v>
                </c:pt>
                <c:pt idx="13">
                  <c:v>3479</c:v>
                </c:pt>
                <c:pt idx="14">
                  <c:v>2412</c:v>
                </c:pt>
                <c:pt idx="15">
                  <c:v>20356</c:v>
                </c:pt>
                <c:pt idx="16">
                  <c:v>75472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84-43CB-A061-D1422FD10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'18'!$AD$6:$AD$22</c:f>
              <c:strCache>
                <c:ptCount val="17"/>
                <c:pt idx="0">
                  <c:v>17%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21%</c:v>
                </c:pt>
                <c:pt idx="6">
                  <c:v>71%</c:v>
                </c:pt>
                <c:pt idx="7">
                  <c:v>42%</c:v>
                </c:pt>
                <c:pt idx="8">
                  <c:v>21%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75%</c:v>
                </c:pt>
                <c:pt idx="14">
                  <c:v>50%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'18'!$AD$6:$AD$22</c:f>
              <c:numCache>
                <c:formatCode>0%</c:formatCode>
                <c:ptCount val="17"/>
                <c:pt idx="0">
                  <c:v>0.16666666666666666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0.20833333333333334</c:v>
                </c:pt>
                <c:pt idx="6">
                  <c:v>0.70833333333333337</c:v>
                </c:pt>
                <c:pt idx="7">
                  <c:v>0.41666666666666669</c:v>
                </c:pt>
                <c:pt idx="8">
                  <c:v>0.20833333333333334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0.75</c:v>
                </c:pt>
                <c:pt idx="14">
                  <c:v>0.5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B-4F83-A179-7465A2CABC6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CB-4F83-A179-7465A2CABC6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BASE,BOTTOM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'18'!$AE$6:$AE$22</c:f>
              <c:numCache>
                <c:formatCode>0%</c:formatCode>
                <c:ptCount val="17"/>
                <c:pt idx="0">
                  <c:v>0.52696078431372539</c:v>
                </c:pt>
                <c:pt idx="1">
                  <c:v>0.52696078431372539</c:v>
                </c:pt>
                <c:pt idx="2">
                  <c:v>0.52696078431372539</c:v>
                </c:pt>
                <c:pt idx="3">
                  <c:v>0.52696078431372539</c:v>
                </c:pt>
                <c:pt idx="4">
                  <c:v>0.52696078431372539</c:v>
                </c:pt>
                <c:pt idx="5">
                  <c:v>0.52696078431372539</c:v>
                </c:pt>
                <c:pt idx="6">
                  <c:v>0.52696078431372539</c:v>
                </c:pt>
                <c:pt idx="7">
                  <c:v>0.52696078431372539</c:v>
                </c:pt>
                <c:pt idx="8">
                  <c:v>0.52696078431372539</c:v>
                </c:pt>
                <c:pt idx="9">
                  <c:v>0.52696078431372539</c:v>
                </c:pt>
                <c:pt idx="10">
                  <c:v>0.52696078431372539</c:v>
                </c:pt>
                <c:pt idx="11">
                  <c:v>0.52696078431372539</c:v>
                </c:pt>
                <c:pt idx="12">
                  <c:v>0.52696078431372539</c:v>
                </c:pt>
                <c:pt idx="13">
                  <c:v>0.52696078431372539</c:v>
                </c:pt>
                <c:pt idx="14">
                  <c:v>0.52696078431372539</c:v>
                </c:pt>
                <c:pt idx="15">
                  <c:v>0.52696078431372539</c:v>
                </c:pt>
                <c:pt idx="16">
                  <c:v>0.52696078431372539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CB-4F83-A179-7465A2CAB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945-4B4F-9E6E-2682911FDA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45-4B4F-9E6E-2682911FD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945-4B4F-9E6E-2682911FDA5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45-4B4F-9E6E-2682911FD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BODY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'19'!$L$6:$L$22</c:f>
              <c:numCache>
                <c:formatCode>_(* #,##0_);_(* \(#,##0\);_(* "-"_);_(@_)</c:formatCode>
                <c:ptCount val="17"/>
                <c:pt idx="0">
                  <c:v>1641</c:v>
                </c:pt>
                <c:pt idx="1">
                  <c:v>5600</c:v>
                </c:pt>
                <c:pt idx="2">
                  <c:v>2151</c:v>
                </c:pt>
                <c:pt idx="3">
                  <c:v>5324</c:v>
                </c:pt>
                <c:pt idx="4">
                  <c:v>6437</c:v>
                </c:pt>
                <c:pt idx="5">
                  <c:v>39816</c:v>
                </c:pt>
                <c:pt idx="6">
                  <c:v>4277</c:v>
                </c:pt>
                <c:pt idx="7">
                  <c:v>5620</c:v>
                </c:pt>
                <c:pt idx="12">
                  <c:v>771</c:v>
                </c:pt>
                <c:pt idx="13">
                  <c:v>783</c:v>
                </c:pt>
                <c:pt idx="15">
                  <c:v>18684</c:v>
                </c:pt>
                <c:pt idx="16">
                  <c:v>75276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28-44D0-B46D-F0F925C03AAF}"/>
            </c:ext>
          </c:extLst>
        </c:ser>
        <c:ser>
          <c:idx val="1"/>
          <c:order val="1"/>
          <c:tx>
            <c:v>계획</c:v>
          </c:tx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BODY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'19'!$J$6:$J$22</c:f>
              <c:numCache>
                <c:formatCode>_(* #,##0_);_(* \(#,##0\);_(* "-"_);_(@_)</c:formatCode>
                <c:ptCount val="17"/>
                <c:pt idx="0">
                  <c:v>1641</c:v>
                </c:pt>
                <c:pt idx="1">
                  <c:v>5600</c:v>
                </c:pt>
                <c:pt idx="2">
                  <c:v>2151</c:v>
                </c:pt>
                <c:pt idx="3">
                  <c:v>5324</c:v>
                </c:pt>
                <c:pt idx="4">
                  <c:v>6437</c:v>
                </c:pt>
                <c:pt idx="5">
                  <c:v>39816</c:v>
                </c:pt>
                <c:pt idx="6">
                  <c:v>4277</c:v>
                </c:pt>
                <c:pt idx="7">
                  <c:v>5620</c:v>
                </c:pt>
                <c:pt idx="8">
                  <c:v>365</c:v>
                </c:pt>
                <c:pt idx="9">
                  <c:v>2700</c:v>
                </c:pt>
                <c:pt idx="10">
                  <c:v>646</c:v>
                </c:pt>
                <c:pt idx="11">
                  <c:v>3740</c:v>
                </c:pt>
                <c:pt idx="12">
                  <c:v>771</c:v>
                </c:pt>
                <c:pt idx="13">
                  <c:v>783</c:v>
                </c:pt>
                <c:pt idx="14">
                  <c:v>2412</c:v>
                </c:pt>
                <c:pt idx="15">
                  <c:v>18684</c:v>
                </c:pt>
                <c:pt idx="16">
                  <c:v>75276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28-44D0-B46D-F0F925C03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'19'!$AD$6:$AD$22</c:f>
              <c:strCache>
                <c:ptCount val="17"/>
                <c:pt idx="0">
                  <c:v>38%</c:v>
                </c:pt>
                <c:pt idx="1">
                  <c:v>42%</c:v>
                </c:pt>
                <c:pt idx="2">
                  <c:v>54%</c:v>
                </c:pt>
                <c:pt idx="3">
                  <c:v>100%</c:v>
                </c:pt>
                <c:pt idx="4">
                  <c:v>100%</c:v>
                </c:pt>
                <c:pt idx="5">
                  <c:v>58%</c:v>
                </c:pt>
                <c:pt idx="6">
                  <c:v>83%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21%</c:v>
                </c:pt>
                <c:pt idx="14">
                  <c:v>0%</c:v>
                </c:pt>
                <c:pt idx="15">
                  <c:v>92%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BODY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'19'!$AD$6:$AD$22</c:f>
              <c:numCache>
                <c:formatCode>0%</c:formatCode>
                <c:ptCount val="17"/>
                <c:pt idx="0">
                  <c:v>0.375</c:v>
                </c:pt>
                <c:pt idx="1">
                  <c:v>0.41666666666666669</c:v>
                </c:pt>
                <c:pt idx="2">
                  <c:v>0.54166666666666663</c:v>
                </c:pt>
                <c:pt idx="3">
                  <c:v>1</c:v>
                </c:pt>
                <c:pt idx="4">
                  <c:v>1</c:v>
                </c:pt>
                <c:pt idx="5">
                  <c:v>0.58333333333333337</c:v>
                </c:pt>
                <c:pt idx="6">
                  <c:v>0.83333333333333337</c:v>
                </c:pt>
                <c:pt idx="7">
                  <c:v>0.91666666666666663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0.20833333333333334</c:v>
                </c:pt>
                <c:pt idx="14">
                  <c:v>0</c:v>
                </c:pt>
                <c:pt idx="15">
                  <c:v>0.91666666666666663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0-425C-8B07-3FF500999D4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E0-425C-8B07-3FF500999D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BODY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'19'!$AE$6:$AE$22</c:f>
              <c:numCache>
                <c:formatCode>0%</c:formatCode>
                <c:ptCount val="17"/>
                <c:pt idx="0">
                  <c:v>0.46813725490196084</c:v>
                </c:pt>
                <c:pt idx="1">
                  <c:v>0.46813725490196084</c:v>
                </c:pt>
                <c:pt idx="2">
                  <c:v>0.46813725490196084</c:v>
                </c:pt>
                <c:pt idx="3">
                  <c:v>0.46813725490196084</c:v>
                </c:pt>
                <c:pt idx="4">
                  <c:v>0.46813725490196084</c:v>
                </c:pt>
                <c:pt idx="5">
                  <c:v>0.46813725490196084</c:v>
                </c:pt>
                <c:pt idx="6">
                  <c:v>0.46813725490196084</c:v>
                </c:pt>
                <c:pt idx="7">
                  <c:v>0.46813725490196084</c:v>
                </c:pt>
                <c:pt idx="8">
                  <c:v>0.46813725490196084</c:v>
                </c:pt>
                <c:pt idx="9">
                  <c:v>0.46813725490196084</c:v>
                </c:pt>
                <c:pt idx="10">
                  <c:v>0.46813725490196084</c:v>
                </c:pt>
                <c:pt idx="11">
                  <c:v>0.46813725490196084</c:v>
                </c:pt>
                <c:pt idx="12">
                  <c:v>0.46813725490196084</c:v>
                </c:pt>
                <c:pt idx="13">
                  <c:v>0.46813725490196084</c:v>
                </c:pt>
                <c:pt idx="14">
                  <c:v>0.46813725490196084</c:v>
                </c:pt>
                <c:pt idx="15">
                  <c:v>0.46813725490196084</c:v>
                </c:pt>
                <c:pt idx="16">
                  <c:v>0.46813725490196084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E0-425C-8B07-3FF500999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BODY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'19'!$L$6:$L$22</c:f>
              <c:numCache>
                <c:formatCode>_(* #,##0_);_(* \(#,##0\);_(* "-"_);_(@_)</c:formatCode>
                <c:ptCount val="17"/>
                <c:pt idx="0">
                  <c:v>1641</c:v>
                </c:pt>
                <c:pt idx="1">
                  <c:v>5600</c:v>
                </c:pt>
                <c:pt idx="2">
                  <c:v>2151</c:v>
                </c:pt>
                <c:pt idx="3">
                  <c:v>5324</c:v>
                </c:pt>
                <c:pt idx="4">
                  <c:v>6437</c:v>
                </c:pt>
                <c:pt idx="5">
                  <c:v>39816</c:v>
                </c:pt>
                <c:pt idx="6">
                  <c:v>4277</c:v>
                </c:pt>
                <c:pt idx="7">
                  <c:v>5620</c:v>
                </c:pt>
                <c:pt idx="12">
                  <c:v>771</c:v>
                </c:pt>
                <c:pt idx="13">
                  <c:v>783</c:v>
                </c:pt>
                <c:pt idx="15">
                  <c:v>18684</c:v>
                </c:pt>
                <c:pt idx="16">
                  <c:v>75276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A-443F-A56F-C00D949E034A}"/>
            </c:ext>
          </c:extLst>
        </c:ser>
        <c:ser>
          <c:idx val="1"/>
          <c:order val="1"/>
          <c:tx>
            <c:v>계획</c:v>
          </c:tx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BODY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'19'!$J$6:$J$22</c:f>
              <c:numCache>
                <c:formatCode>_(* #,##0_);_(* \(#,##0\);_(* "-"_);_(@_)</c:formatCode>
                <c:ptCount val="17"/>
                <c:pt idx="0">
                  <c:v>1641</c:v>
                </c:pt>
                <c:pt idx="1">
                  <c:v>5600</c:v>
                </c:pt>
                <c:pt idx="2">
                  <c:v>2151</c:v>
                </c:pt>
                <c:pt idx="3">
                  <c:v>5324</c:v>
                </c:pt>
                <c:pt idx="4">
                  <c:v>6437</c:v>
                </c:pt>
                <c:pt idx="5">
                  <c:v>39816</c:v>
                </c:pt>
                <c:pt idx="6">
                  <c:v>4277</c:v>
                </c:pt>
                <c:pt idx="7">
                  <c:v>5620</c:v>
                </c:pt>
                <c:pt idx="8">
                  <c:v>365</c:v>
                </c:pt>
                <c:pt idx="9">
                  <c:v>2700</c:v>
                </c:pt>
                <c:pt idx="10">
                  <c:v>646</c:v>
                </c:pt>
                <c:pt idx="11">
                  <c:v>3740</c:v>
                </c:pt>
                <c:pt idx="12">
                  <c:v>771</c:v>
                </c:pt>
                <c:pt idx="13">
                  <c:v>783</c:v>
                </c:pt>
                <c:pt idx="14">
                  <c:v>2412</c:v>
                </c:pt>
                <c:pt idx="15">
                  <c:v>18684</c:v>
                </c:pt>
                <c:pt idx="16">
                  <c:v>75276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6A-443F-A56F-C00D949E0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'19'!$AD$6:$AD$22</c:f>
              <c:strCache>
                <c:ptCount val="17"/>
                <c:pt idx="0">
                  <c:v>38%</c:v>
                </c:pt>
                <c:pt idx="1">
                  <c:v>42%</c:v>
                </c:pt>
                <c:pt idx="2">
                  <c:v>54%</c:v>
                </c:pt>
                <c:pt idx="3">
                  <c:v>100%</c:v>
                </c:pt>
                <c:pt idx="4">
                  <c:v>100%</c:v>
                </c:pt>
                <c:pt idx="5">
                  <c:v>58%</c:v>
                </c:pt>
                <c:pt idx="6">
                  <c:v>83%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21%</c:v>
                </c:pt>
                <c:pt idx="14">
                  <c:v>0%</c:v>
                </c:pt>
                <c:pt idx="15">
                  <c:v>92%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BODY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'19'!$AD$6:$AD$22</c:f>
              <c:numCache>
                <c:formatCode>0%</c:formatCode>
                <c:ptCount val="17"/>
                <c:pt idx="0">
                  <c:v>0.375</c:v>
                </c:pt>
                <c:pt idx="1">
                  <c:v>0.41666666666666669</c:v>
                </c:pt>
                <c:pt idx="2">
                  <c:v>0.54166666666666663</c:v>
                </c:pt>
                <c:pt idx="3">
                  <c:v>1</c:v>
                </c:pt>
                <c:pt idx="4">
                  <c:v>1</c:v>
                </c:pt>
                <c:pt idx="5">
                  <c:v>0.58333333333333337</c:v>
                </c:pt>
                <c:pt idx="6">
                  <c:v>0.83333333333333337</c:v>
                </c:pt>
                <c:pt idx="7">
                  <c:v>0.91666666666666663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0.20833333333333334</c:v>
                </c:pt>
                <c:pt idx="14">
                  <c:v>0</c:v>
                </c:pt>
                <c:pt idx="15">
                  <c:v>0.91666666666666663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25-47EF-88D9-C717C86BB81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25-47EF-88D9-C717C86BB8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BODY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BASE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'19'!$AE$6:$AE$22</c:f>
              <c:numCache>
                <c:formatCode>0%</c:formatCode>
                <c:ptCount val="17"/>
                <c:pt idx="0">
                  <c:v>0.46813725490196084</c:v>
                </c:pt>
                <c:pt idx="1">
                  <c:v>0.46813725490196084</c:v>
                </c:pt>
                <c:pt idx="2">
                  <c:v>0.46813725490196084</c:v>
                </c:pt>
                <c:pt idx="3">
                  <c:v>0.46813725490196084</c:v>
                </c:pt>
                <c:pt idx="4">
                  <c:v>0.46813725490196084</c:v>
                </c:pt>
                <c:pt idx="5">
                  <c:v>0.46813725490196084</c:v>
                </c:pt>
                <c:pt idx="6">
                  <c:v>0.46813725490196084</c:v>
                </c:pt>
                <c:pt idx="7">
                  <c:v>0.46813725490196084</c:v>
                </c:pt>
                <c:pt idx="8">
                  <c:v>0.46813725490196084</c:v>
                </c:pt>
                <c:pt idx="9">
                  <c:v>0.46813725490196084</c:v>
                </c:pt>
                <c:pt idx="10">
                  <c:v>0.46813725490196084</c:v>
                </c:pt>
                <c:pt idx="11">
                  <c:v>0.46813725490196084</c:v>
                </c:pt>
                <c:pt idx="12">
                  <c:v>0.46813725490196084</c:v>
                </c:pt>
                <c:pt idx="13">
                  <c:v>0.46813725490196084</c:v>
                </c:pt>
                <c:pt idx="14">
                  <c:v>0.46813725490196084</c:v>
                </c:pt>
                <c:pt idx="15">
                  <c:v>0.46813725490196084</c:v>
                </c:pt>
                <c:pt idx="16">
                  <c:v>0.46813725490196084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25-47EF-88D9-C717C86BB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616-494E-9FB4-3D27A9E1F7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16-494E-9FB4-3D27A9E1F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616-494E-9FB4-3D27A9E1F7A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16-494E-9FB4-3D27A9E1F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STOPPPER L/R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2">
                  <c:v>1722</c:v>
                </c:pt>
                <c:pt idx="3">
                  <c:v>5398</c:v>
                </c:pt>
                <c:pt idx="4">
                  <c:v>6482</c:v>
                </c:pt>
                <c:pt idx="5">
                  <c:v>90622</c:v>
                </c:pt>
                <c:pt idx="6">
                  <c:v>5011</c:v>
                </c:pt>
                <c:pt idx="7">
                  <c:v>3366</c:v>
                </c:pt>
                <c:pt idx="12">
                  <c:v>4509</c:v>
                </c:pt>
                <c:pt idx="13">
                  <c:v>1502</c:v>
                </c:pt>
                <c:pt idx="14">
                  <c:v>20604</c:v>
                </c:pt>
                <c:pt idx="15">
                  <c:v>75604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4-4B29-9B3E-9BA09BC8D67B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STOPPPER L/R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1641</c:v>
                </c:pt>
                <c:pt idx="1">
                  <c:v>5600</c:v>
                </c:pt>
                <c:pt idx="2">
                  <c:v>1722</c:v>
                </c:pt>
                <c:pt idx="3">
                  <c:v>5398</c:v>
                </c:pt>
                <c:pt idx="4">
                  <c:v>6482</c:v>
                </c:pt>
                <c:pt idx="5">
                  <c:v>90622</c:v>
                </c:pt>
                <c:pt idx="6">
                  <c:v>5011</c:v>
                </c:pt>
                <c:pt idx="7">
                  <c:v>3366</c:v>
                </c:pt>
                <c:pt idx="8">
                  <c:v>365</c:v>
                </c:pt>
                <c:pt idx="9">
                  <c:v>2700</c:v>
                </c:pt>
                <c:pt idx="10">
                  <c:v>646</c:v>
                </c:pt>
                <c:pt idx="11">
                  <c:v>3740</c:v>
                </c:pt>
                <c:pt idx="12">
                  <c:v>4509</c:v>
                </c:pt>
                <c:pt idx="13">
                  <c:v>1502</c:v>
                </c:pt>
                <c:pt idx="14">
                  <c:v>20604</c:v>
                </c:pt>
                <c:pt idx="15">
                  <c:v>75604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4-4B29-9B3E-9BA09BC8D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38%</c:v>
                </c:pt>
                <c:pt idx="3">
                  <c:v>100%</c:v>
                </c:pt>
                <c:pt idx="4">
                  <c:v>100%</c:v>
                </c:pt>
                <c:pt idx="5">
                  <c:v>79%</c:v>
                </c:pt>
                <c:pt idx="6">
                  <c:v>88%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79%</c:v>
                </c:pt>
                <c:pt idx="13">
                  <c:v>38%</c:v>
                </c:pt>
                <c:pt idx="14">
                  <c:v>100%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STOPPPER L/R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0.375</c:v>
                </c:pt>
                <c:pt idx="3">
                  <c:v>1</c:v>
                </c:pt>
                <c:pt idx="4">
                  <c:v>1</c:v>
                </c:pt>
                <c:pt idx="5">
                  <c:v>0.79166666666666663</c:v>
                </c:pt>
                <c:pt idx="6">
                  <c:v>0.875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0.79166666666666663</c:v>
                </c:pt>
                <c:pt idx="13">
                  <c:v>0.375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72-49CA-BF7B-EB8FD8BE121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72-49CA-BF7B-EB8FD8BE121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STOPPPER L/R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0.48697916666666663</c:v>
                </c:pt>
                <c:pt idx="1">
                  <c:v>0.48697916666666663</c:v>
                </c:pt>
                <c:pt idx="2">
                  <c:v>0.48697916666666663</c:v>
                </c:pt>
                <c:pt idx="3">
                  <c:v>0.48697916666666663</c:v>
                </c:pt>
                <c:pt idx="4">
                  <c:v>0.48697916666666663</c:v>
                </c:pt>
                <c:pt idx="5">
                  <c:v>0.48697916666666663</c:v>
                </c:pt>
                <c:pt idx="6">
                  <c:v>0.48697916666666663</c:v>
                </c:pt>
                <c:pt idx="7">
                  <c:v>0.48697916666666663</c:v>
                </c:pt>
                <c:pt idx="8">
                  <c:v>0.48697916666666663</c:v>
                </c:pt>
                <c:pt idx="9">
                  <c:v>0.48697916666666663</c:v>
                </c:pt>
                <c:pt idx="10">
                  <c:v>0.48697916666666663</c:v>
                </c:pt>
                <c:pt idx="11">
                  <c:v>0.48697916666666663</c:v>
                </c:pt>
                <c:pt idx="12">
                  <c:v>0.48697916666666663</c:v>
                </c:pt>
                <c:pt idx="13">
                  <c:v>0.48697916666666663</c:v>
                </c:pt>
                <c:pt idx="14">
                  <c:v>0.48697916666666663</c:v>
                </c:pt>
                <c:pt idx="15">
                  <c:v>0.48697916666666663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72-49CA-BF7B-EB8FD8BE1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STOPPPER L/R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2">
                  <c:v>1722</c:v>
                </c:pt>
                <c:pt idx="3">
                  <c:v>5398</c:v>
                </c:pt>
                <c:pt idx="4">
                  <c:v>6482</c:v>
                </c:pt>
                <c:pt idx="5">
                  <c:v>90622</c:v>
                </c:pt>
                <c:pt idx="6">
                  <c:v>5011</c:v>
                </c:pt>
                <c:pt idx="7">
                  <c:v>3366</c:v>
                </c:pt>
                <c:pt idx="12">
                  <c:v>4509</c:v>
                </c:pt>
                <c:pt idx="13">
                  <c:v>1502</c:v>
                </c:pt>
                <c:pt idx="14">
                  <c:v>20604</c:v>
                </c:pt>
                <c:pt idx="15">
                  <c:v>75604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3-4E6F-A6C9-E2E21A82EA23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STOPPPER L/R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1641</c:v>
                </c:pt>
                <c:pt idx="1">
                  <c:v>5600</c:v>
                </c:pt>
                <c:pt idx="2">
                  <c:v>1722</c:v>
                </c:pt>
                <c:pt idx="3">
                  <c:v>5398</c:v>
                </c:pt>
                <c:pt idx="4">
                  <c:v>6482</c:v>
                </c:pt>
                <c:pt idx="5">
                  <c:v>90622</c:v>
                </c:pt>
                <c:pt idx="6">
                  <c:v>5011</c:v>
                </c:pt>
                <c:pt idx="7">
                  <c:v>3366</c:v>
                </c:pt>
                <c:pt idx="8">
                  <c:v>365</c:v>
                </c:pt>
                <c:pt idx="9">
                  <c:v>2700</c:v>
                </c:pt>
                <c:pt idx="10">
                  <c:v>646</c:v>
                </c:pt>
                <c:pt idx="11">
                  <c:v>3740</c:v>
                </c:pt>
                <c:pt idx="12">
                  <c:v>4509</c:v>
                </c:pt>
                <c:pt idx="13">
                  <c:v>1502</c:v>
                </c:pt>
                <c:pt idx="14">
                  <c:v>20604</c:v>
                </c:pt>
                <c:pt idx="15">
                  <c:v>75604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3-4E6F-A6C9-E2E21A82E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38%</c:v>
                </c:pt>
                <c:pt idx="3">
                  <c:v>100%</c:v>
                </c:pt>
                <c:pt idx="4">
                  <c:v>100%</c:v>
                </c:pt>
                <c:pt idx="5">
                  <c:v>79%</c:v>
                </c:pt>
                <c:pt idx="6">
                  <c:v>88%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79%</c:v>
                </c:pt>
                <c:pt idx="13">
                  <c:v>38%</c:v>
                </c:pt>
                <c:pt idx="14">
                  <c:v>100%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STOPPPER L/R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0.375</c:v>
                </c:pt>
                <c:pt idx="3">
                  <c:v>1</c:v>
                </c:pt>
                <c:pt idx="4">
                  <c:v>1</c:v>
                </c:pt>
                <c:pt idx="5">
                  <c:v>0.79166666666666663</c:v>
                </c:pt>
                <c:pt idx="6">
                  <c:v>0.875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0.79166666666666663</c:v>
                </c:pt>
                <c:pt idx="13">
                  <c:v>0.375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71-481D-8D4F-869D73F01D0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71-481D-8D4F-869D73F01D0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STOPPPER L/R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0.48697916666666663</c:v>
                </c:pt>
                <c:pt idx="1">
                  <c:v>0.48697916666666663</c:v>
                </c:pt>
                <c:pt idx="2">
                  <c:v>0.48697916666666663</c:v>
                </c:pt>
                <c:pt idx="3">
                  <c:v>0.48697916666666663</c:v>
                </c:pt>
                <c:pt idx="4">
                  <c:v>0.48697916666666663</c:v>
                </c:pt>
                <c:pt idx="5">
                  <c:v>0.48697916666666663</c:v>
                </c:pt>
                <c:pt idx="6">
                  <c:v>0.48697916666666663</c:v>
                </c:pt>
                <c:pt idx="7">
                  <c:v>0.48697916666666663</c:v>
                </c:pt>
                <c:pt idx="8">
                  <c:v>0.48697916666666663</c:v>
                </c:pt>
                <c:pt idx="9">
                  <c:v>0.48697916666666663</c:v>
                </c:pt>
                <c:pt idx="10">
                  <c:v>0.48697916666666663</c:v>
                </c:pt>
                <c:pt idx="11">
                  <c:v>0.48697916666666663</c:v>
                </c:pt>
                <c:pt idx="12">
                  <c:v>0.48697916666666663</c:v>
                </c:pt>
                <c:pt idx="13">
                  <c:v>0.48697916666666663</c:v>
                </c:pt>
                <c:pt idx="14">
                  <c:v>0.48697916666666663</c:v>
                </c:pt>
                <c:pt idx="15">
                  <c:v>0.48697916666666663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71-481D-8D4F-869D73F01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013-4BA6-94B0-22B050EB2E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13-4BA6-94B0-22B050EB2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013-4BA6-94B0-22B050EB2E9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13-4BA6-94B0-22B050EB2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'22'!$D$6:$D$23</c:f>
              <c:strCache>
                <c:ptCount val="17"/>
                <c:pt idx="0">
                  <c:v>FLOATING</c:v>
                </c:pt>
                <c:pt idx="1">
                  <c:v>SLIDER</c:v>
                </c:pt>
                <c:pt idx="2">
                  <c:v>2C CONN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TOP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  <c:pt idx="16">
                  <c:v>LEAD GUIDE</c:v>
                </c:pt>
              </c:strCache>
            </c:strRef>
          </c:cat>
          <c:val>
            <c:numRef>
              <c:f>'22'!$L$6:$L$23</c:f>
              <c:numCache>
                <c:formatCode>_(* #,##0_);_(* \(#,##0\);_(* "-"_);_(@_)</c:formatCode>
                <c:ptCount val="18"/>
                <c:pt idx="0">
                  <c:v>2667</c:v>
                </c:pt>
                <c:pt idx="1">
                  <c:v>15600</c:v>
                </c:pt>
                <c:pt idx="2">
                  <c:v>219</c:v>
                </c:pt>
                <c:pt idx="3">
                  <c:v>4994</c:v>
                </c:pt>
                <c:pt idx="4">
                  <c:v>5998</c:v>
                </c:pt>
                <c:pt idx="5">
                  <c:v>108136</c:v>
                </c:pt>
                <c:pt idx="6">
                  <c:v>4287</c:v>
                </c:pt>
                <c:pt idx="7">
                  <c:v>1330</c:v>
                </c:pt>
                <c:pt idx="8">
                  <c:v>340</c:v>
                </c:pt>
                <c:pt idx="10">
                  <c:v>530</c:v>
                </c:pt>
                <c:pt idx="11">
                  <c:v>2290</c:v>
                </c:pt>
                <c:pt idx="13">
                  <c:v>5580</c:v>
                </c:pt>
                <c:pt idx="14">
                  <c:v>1050</c:v>
                </c:pt>
                <c:pt idx="15">
                  <c:v>5516</c:v>
                </c:pt>
                <c:pt idx="16">
                  <c:v>530</c:v>
                </c:pt>
                <c:pt idx="17">
                  <c:v>67592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F2-4088-88D7-9636E33DC660}"/>
            </c:ext>
          </c:extLst>
        </c:ser>
        <c:ser>
          <c:idx val="1"/>
          <c:order val="1"/>
          <c:tx>
            <c:v>계획</c:v>
          </c:tx>
          <c:cat>
            <c:strRef>
              <c:f>'22'!$D$6:$D$23</c:f>
              <c:strCache>
                <c:ptCount val="17"/>
                <c:pt idx="0">
                  <c:v>FLOATING</c:v>
                </c:pt>
                <c:pt idx="1">
                  <c:v>SLIDER</c:v>
                </c:pt>
                <c:pt idx="2">
                  <c:v>2C CONN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TOP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  <c:pt idx="16">
                  <c:v>LEAD GUIDE</c:v>
                </c:pt>
              </c:strCache>
            </c:strRef>
          </c:cat>
          <c:val>
            <c:numRef>
              <c:f>'22'!$J$6:$J$23</c:f>
              <c:numCache>
                <c:formatCode>_(* #,##0_);_(* \(#,##0\);_(* "-"_);_(@_)</c:formatCode>
                <c:ptCount val="18"/>
                <c:pt idx="0">
                  <c:v>2667</c:v>
                </c:pt>
                <c:pt idx="1">
                  <c:v>15600</c:v>
                </c:pt>
                <c:pt idx="2">
                  <c:v>219</c:v>
                </c:pt>
                <c:pt idx="3">
                  <c:v>4994</c:v>
                </c:pt>
                <c:pt idx="4">
                  <c:v>5998</c:v>
                </c:pt>
                <c:pt idx="5">
                  <c:v>108136</c:v>
                </c:pt>
                <c:pt idx="6">
                  <c:v>4287</c:v>
                </c:pt>
                <c:pt idx="7">
                  <c:v>1330</c:v>
                </c:pt>
                <c:pt idx="8">
                  <c:v>340</c:v>
                </c:pt>
                <c:pt idx="9">
                  <c:v>2700</c:v>
                </c:pt>
                <c:pt idx="10">
                  <c:v>530</c:v>
                </c:pt>
                <c:pt idx="11">
                  <c:v>2290</c:v>
                </c:pt>
                <c:pt idx="12">
                  <c:v>3740</c:v>
                </c:pt>
                <c:pt idx="13">
                  <c:v>5580</c:v>
                </c:pt>
                <c:pt idx="14">
                  <c:v>1050</c:v>
                </c:pt>
                <c:pt idx="15">
                  <c:v>5516</c:v>
                </c:pt>
                <c:pt idx="16">
                  <c:v>530</c:v>
                </c:pt>
                <c:pt idx="17">
                  <c:v>67592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F2-4088-88D7-9636E33DC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'22'!$AD$6:$AD$23</c:f>
              <c:strCache>
                <c:ptCount val="18"/>
                <c:pt idx="0">
                  <c:v>63%</c:v>
                </c:pt>
                <c:pt idx="1">
                  <c:v>67%</c:v>
                </c:pt>
                <c:pt idx="2">
                  <c:v>13%</c:v>
                </c:pt>
                <c:pt idx="3">
                  <c:v>96%</c:v>
                </c:pt>
                <c:pt idx="4">
                  <c:v>100%</c:v>
                </c:pt>
                <c:pt idx="5">
                  <c:v>88%</c:v>
                </c:pt>
                <c:pt idx="6">
                  <c:v>83%</c:v>
                </c:pt>
                <c:pt idx="7">
                  <c:v>29%</c:v>
                </c:pt>
                <c:pt idx="8">
                  <c:v>25%</c:v>
                </c:pt>
                <c:pt idx="9">
                  <c:v>0%</c:v>
                </c:pt>
                <c:pt idx="10">
                  <c:v>13%</c:v>
                </c:pt>
                <c:pt idx="11">
                  <c:v>54%</c:v>
                </c:pt>
                <c:pt idx="12">
                  <c:v>0%</c:v>
                </c:pt>
                <c:pt idx="13">
                  <c:v>100%</c:v>
                </c:pt>
                <c:pt idx="14">
                  <c:v>29%</c:v>
                </c:pt>
                <c:pt idx="15">
                  <c:v>29%</c:v>
                </c:pt>
                <c:pt idx="16">
                  <c:v>13%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'22'!$D$6:$D$23</c:f>
              <c:strCache>
                <c:ptCount val="17"/>
                <c:pt idx="0">
                  <c:v>FLOATING</c:v>
                </c:pt>
                <c:pt idx="1">
                  <c:v>SLIDER</c:v>
                </c:pt>
                <c:pt idx="2">
                  <c:v>2C CONN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TOP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  <c:pt idx="16">
                  <c:v>LEAD GUIDE</c:v>
                </c:pt>
              </c:strCache>
            </c:strRef>
          </c:cat>
          <c:val>
            <c:numRef>
              <c:f>'22'!$AD$6:$AD$23</c:f>
              <c:numCache>
                <c:formatCode>0%</c:formatCode>
                <c:ptCount val="18"/>
                <c:pt idx="0">
                  <c:v>0.625</c:v>
                </c:pt>
                <c:pt idx="1">
                  <c:v>0.66666666666666663</c:v>
                </c:pt>
                <c:pt idx="2">
                  <c:v>0.125</c:v>
                </c:pt>
                <c:pt idx="3">
                  <c:v>0.95833333333333337</c:v>
                </c:pt>
                <c:pt idx="4">
                  <c:v>1</c:v>
                </c:pt>
                <c:pt idx="5">
                  <c:v>0.875</c:v>
                </c:pt>
                <c:pt idx="6">
                  <c:v>0.83333333333333337</c:v>
                </c:pt>
                <c:pt idx="7">
                  <c:v>0.29166666666666669</c:v>
                </c:pt>
                <c:pt idx="8">
                  <c:v>0.25</c:v>
                </c:pt>
                <c:pt idx="9">
                  <c:v>0</c:v>
                </c:pt>
                <c:pt idx="10">
                  <c:v>0.125</c:v>
                </c:pt>
                <c:pt idx="11">
                  <c:v>0.54166666666666663</c:v>
                </c:pt>
                <c:pt idx="12">
                  <c:v>0</c:v>
                </c:pt>
                <c:pt idx="13">
                  <c:v>1</c:v>
                </c:pt>
                <c:pt idx="14">
                  <c:v>0.29166666666666669</c:v>
                </c:pt>
                <c:pt idx="15">
                  <c:v>0.29166666666666669</c:v>
                </c:pt>
                <c:pt idx="16">
                  <c:v>0.125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90-4E8D-A71A-F943FFB111C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890-4E8D-A71A-F943FFB111C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'22'!$D$6:$D$23</c:f>
              <c:strCache>
                <c:ptCount val="17"/>
                <c:pt idx="0">
                  <c:v>FLOATING</c:v>
                </c:pt>
                <c:pt idx="1">
                  <c:v>SLIDER</c:v>
                </c:pt>
                <c:pt idx="2">
                  <c:v>2C CONN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TOP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  <c:pt idx="16">
                  <c:v>LEAD GUIDE</c:v>
                </c:pt>
              </c:strCache>
            </c:strRef>
          </c:cat>
          <c:val>
            <c:numRef>
              <c:f>'22'!$AE$6:$AE$23</c:f>
              <c:numCache>
                <c:formatCode>0%</c:formatCode>
                <c:ptCount val="18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90-4E8D-A71A-F943FFB11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'22'!$D$6:$D$23</c:f>
              <c:strCache>
                <c:ptCount val="17"/>
                <c:pt idx="0">
                  <c:v>FLOATING</c:v>
                </c:pt>
                <c:pt idx="1">
                  <c:v>SLIDER</c:v>
                </c:pt>
                <c:pt idx="2">
                  <c:v>2C CONN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TOP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  <c:pt idx="16">
                  <c:v>LEAD GUIDE</c:v>
                </c:pt>
              </c:strCache>
            </c:strRef>
          </c:cat>
          <c:val>
            <c:numRef>
              <c:f>'22'!$L$6:$L$23</c:f>
              <c:numCache>
                <c:formatCode>_(* #,##0_);_(* \(#,##0\);_(* "-"_);_(@_)</c:formatCode>
                <c:ptCount val="18"/>
                <c:pt idx="0">
                  <c:v>2667</c:v>
                </c:pt>
                <c:pt idx="1">
                  <c:v>15600</c:v>
                </c:pt>
                <c:pt idx="2">
                  <c:v>219</c:v>
                </c:pt>
                <c:pt idx="3">
                  <c:v>4994</c:v>
                </c:pt>
                <c:pt idx="4">
                  <c:v>5998</c:v>
                </c:pt>
                <c:pt idx="5">
                  <c:v>108136</c:v>
                </c:pt>
                <c:pt idx="6">
                  <c:v>4287</c:v>
                </c:pt>
                <c:pt idx="7">
                  <c:v>1330</c:v>
                </c:pt>
                <c:pt idx="8">
                  <c:v>340</c:v>
                </c:pt>
                <c:pt idx="10">
                  <c:v>530</c:v>
                </c:pt>
                <c:pt idx="11">
                  <c:v>2290</c:v>
                </c:pt>
                <c:pt idx="13">
                  <c:v>5580</c:v>
                </c:pt>
                <c:pt idx="14">
                  <c:v>1050</c:v>
                </c:pt>
                <c:pt idx="15">
                  <c:v>5516</c:v>
                </c:pt>
                <c:pt idx="16">
                  <c:v>530</c:v>
                </c:pt>
                <c:pt idx="17">
                  <c:v>67592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B-48B3-A33F-AF22F7F5BE41}"/>
            </c:ext>
          </c:extLst>
        </c:ser>
        <c:ser>
          <c:idx val="1"/>
          <c:order val="1"/>
          <c:tx>
            <c:v>계획</c:v>
          </c:tx>
          <c:cat>
            <c:strRef>
              <c:f>'22'!$D$6:$D$23</c:f>
              <c:strCache>
                <c:ptCount val="17"/>
                <c:pt idx="0">
                  <c:v>FLOATING</c:v>
                </c:pt>
                <c:pt idx="1">
                  <c:v>SLIDER</c:v>
                </c:pt>
                <c:pt idx="2">
                  <c:v>2C CONN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TOP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  <c:pt idx="16">
                  <c:v>LEAD GUIDE</c:v>
                </c:pt>
              </c:strCache>
            </c:strRef>
          </c:cat>
          <c:val>
            <c:numRef>
              <c:f>'22'!$J$6:$J$23</c:f>
              <c:numCache>
                <c:formatCode>_(* #,##0_);_(* \(#,##0\);_(* "-"_);_(@_)</c:formatCode>
                <c:ptCount val="18"/>
                <c:pt idx="0">
                  <c:v>2667</c:v>
                </c:pt>
                <c:pt idx="1">
                  <c:v>15600</c:v>
                </c:pt>
                <c:pt idx="2">
                  <c:v>219</c:v>
                </c:pt>
                <c:pt idx="3">
                  <c:v>4994</c:v>
                </c:pt>
                <c:pt idx="4">
                  <c:v>5998</c:v>
                </c:pt>
                <c:pt idx="5">
                  <c:v>108136</c:v>
                </c:pt>
                <c:pt idx="6">
                  <c:v>4287</c:v>
                </c:pt>
                <c:pt idx="7">
                  <c:v>1330</c:v>
                </c:pt>
                <c:pt idx="8">
                  <c:v>340</c:v>
                </c:pt>
                <c:pt idx="9">
                  <c:v>2700</c:v>
                </c:pt>
                <c:pt idx="10">
                  <c:v>530</c:v>
                </c:pt>
                <c:pt idx="11">
                  <c:v>2290</c:v>
                </c:pt>
                <c:pt idx="12">
                  <c:v>3740</c:v>
                </c:pt>
                <c:pt idx="13">
                  <c:v>5580</c:v>
                </c:pt>
                <c:pt idx="14">
                  <c:v>1050</c:v>
                </c:pt>
                <c:pt idx="15">
                  <c:v>5516</c:v>
                </c:pt>
                <c:pt idx="16">
                  <c:v>530</c:v>
                </c:pt>
                <c:pt idx="17">
                  <c:v>67592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B-48B3-A33F-AF22F7F5B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'22'!$AD$6:$AD$23</c:f>
              <c:strCache>
                <c:ptCount val="18"/>
                <c:pt idx="0">
                  <c:v>63%</c:v>
                </c:pt>
                <c:pt idx="1">
                  <c:v>67%</c:v>
                </c:pt>
                <c:pt idx="2">
                  <c:v>13%</c:v>
                </c:pt>
                <c:pt idx="3">
                  <c:v>96%</c:v>
                </c:pt>
                <c:pt idx="4">
                  <c:v>100%</c:v>
                </c:pt>
                <c:pt idx="5">
                  <c:v>88%</c:v>
                </c:pt>
                <c:pt idx="6">
                  <c:v>83%</c:v>
                </c:pt>
                <c:pt idx="7">
                  <c:v>29%</c:v>
                </c:pt>
                <c:pt idx="8">
                  <c:v>25%</c:v>
                </c:pt>
                <c:pt idx="9">
                  <c:v>0%</c:v>
                </c:pt>
                <c:pt idx="10">
                  <c:v>13%</c:v>
                </c:pt>
                <c:pt idx="11">
                  <c:v>54%</c:v>
                </c:pt>
                <c:pt idx="12">
                  <c:v>0%</c:v>
                </c:pt>
                <c:pt idx="13">
                  <c:v>100%</c:v>
                </c:pt>
                <c:pt idx="14">
                  <c:v>29%</c:v>
                </c:pt>
                <c:pt idx="15">
                  <c:v>29%</c:v>
                </c:pt>
                <c:pt idx="16">
                  <c:v>13%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'22'!$D$6:$D$23</c:f>
              <c:strCache>
                <c:ptCount val="17"/>
                <c:pt idx="0">
                  <c:v>FLOATING</c:v>
                </c:pt>
                <c:pt idx="1">
                  <c:v>SLIDER</c:v>
                </c:pt>
                <c:pt idx="2">
                  <c:v>2C CONN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TOP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  <c:pt idx="16">
                  <c:v>LEAD GUIDE</c:v>
                </c:pt>
              </c:strCache>
            </c:strRef>
          </c:cat>
          <c:val>
            <c:numRef>
              <c:f>'22'!$AD$6:$AD$23</c:f>
              <c:numCache>
                <c:formatCode>0%</c:formatCode>
                <c:ptCount val="18"/>
                <c:pt idx="0">
                  <c:v>0.625</c:v>
                </c:pt>
                <c:pt idx="1">
                  <c:v>0.66666666666666663</c:v>
                </c:pt>
                <c:pt idx="2">
                  <c:v>0.125</c:v>
                </c:pt>
                <c:pt idx="3">
                  <c:v>0.95833333333333337</c:v>
                </c:pt>
                <c:pt idx="4">
                  <c:v>1</c:v>
                </c:pt>
                <c:pt idx="5">
                  <c:v>0.875</c:v>
                </c:pt>
                <c:pt idx="6">
                  <c:v>0.83333333333333337</c:v>
                </c:pt>
                <c:pt idx="7">
                  <c:v>0.29166666666666669</c:v>
                </c:pt>
                <c:pt idx="8">
                  <c:v>0.25</c:v>
                </c:pt>
                <c:pt idx="9">
                  <c:v>0</c:v>
                </c:pt>
                <c:pt idx="10">
                  <c:v>0.125</c:v>
                </c:pt>
                <c:pt idx="11">
                  <c:v>0.54166666666666663</c:v>
                </c:pt>
                <c:pt idx="12">
                  <c:v>0</c:v>
                </c:pt>
                <c:pt idx="13">
                  <c:v>1</c:v>
                </c:pt>
                <c:pt idx="14">
                  <c:v>0.29166666666666669</c:v>
                </c:pt>
                <c:pt idx="15">
                  <c:v>0.29166666666666669</c:v>
                </c:pt>
                <c:pt idx="16">
                  <c:v>0.125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5E-425B-9EFC-1E540381674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5E-425B-9EFC-1E540381674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'22'!$D$6:$D$23</c:f>
              <c:strCache>
                <c:ptCount val="17"/>
                <c:pt idx="0">
                  <c:v>FLOATING</c:v>
                </c:pt>
                <c:pt idx="1">
                  <c:v>SLIDER</c:v>
                </c:pt>
                <c:pt idx="2">
                  <c:v>2C CONN</c:v>
                </c:pt>
                <c:pt idx="3">
                  <c:v>STOPPPER</c:v>
                </c:pt>
                <c:pt idx="4">
                  <c:v>CAM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TOP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  <c:pt idx="16">
                  <c:v>LEAD GUIDE</c:v>
                </c:pt>
              </c:strCache>
            </c:strRef>
          </c:cat>
          <c:val>
            <c:numRef>
              <c:f>'22'!$AE$6:$AE$23</c:f>
              <c:numCache>
                <c:formatCode>0%</c:formatCode>
                <c:ptCount val="18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5E-425B-9EFC-1E5403816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AD6-4413-8B82-273BE57C5C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D6-4413-8B82-273BE57C5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AD6-4413-8B82-273BE57C5C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D6-4413-8B82-273BE57C5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'23'!$D$6:$D$22</c:f>
              <c:strCache>
                <c:ptCount val="16"/>
                <c:pt idx="0">
                  <c:v>FLOATING</c:v>
                </c:pt>
                <c:pt idx="1">
                  <c:v>FLOATING</c:v>
                </c:pt>
                <c:pt idx="2">
                  <c:v>SLIDER</c:v>
                </c:pt>
                <c:pt idx="3">
                  <c:v>2C CONN</c:v>
                </c:pt>
                <c:pt idx="4">
                  <c:v>STOPPPER</c:v>
                </c:pt>
                <c:pt idx="5">
                  <c:v>CAM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STOPPPER</c:v>
                </c:pt>
                <c:pt idx="15">
                  <c:v>LEAD GUIDE</c:v>
                </c:pt>
              </c:strCache>
            </c:strRef>
          </c:cat>
          <c:val>
            <c:numRef>
              <c:f>'23'!$L$6:$L$22</c:f>
              <c:numCache>
                <c:formatCode>_(* #,##0_);_(* \(#,##0\);_(* "-"_);_(@_)</c:formatCode>
                <c:ptCount val="17"/>
                <c:pt idx="0">
                  <c:v>1615</c:v>
                </c:pt>
                <c:pt idx="1">
                  <c:v>2094</c:v>
                </c:pt>
                <c:pt idx="2">
                  <c:v>26484</c:v>
                </c:pt>
                <c:pt idx="4">
                  <c:v>5489</c:v>
                </c:pt>
                <c:pt idx="5">
                  <c:v>6052</c:v>
                </c:pt>
                <c:pt idx="6">
                  <c:v>15260</c:v>
                </c:pt>
                <c:pt idx="7">
                  <c:v>5421</c:v>
                </c:pt>
                <c:pt idx="9">
                  <c:v>275</c:v>
                </c:pt>
                <c:pt idx="10">
                  <c:v>17216</c:v>
                </c:pt>
                <c:pt idx="11">
                  <c:v>1376</c:v>
                </c:pt>
                <c:pt idx="13">
                  <c:v>5841</c:v>
                </c:pt>
                <c:pt idx="16">
                  <c:v>75408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9-4822-B244-972D055223D0}"/>
            </c:ext>
          </c:extLst>
        </c:ser>
        <c:ser>
          <c:idx val="1"/>
          <c:order val="1"/>
          <c:tx>
            <c:v>계획</c:v>
          </c:tx>
          <c:cat>
            <c:strRef>
              <c:f>'23'!$D$6:$D$22</c:f>
              <c:strCache>
                <c:ptCount val="16"/>
                <c:pt idx="0">
                  <c:v>FLOATING</c:v>
                </c:pt>
                <c:pt idx="1">
                  <c:v>FLOATING</c:v>
                </c:pt>
                <c:pt idx="2">
                  <c:v>SLIDER</c:v>
                </c:pt>
                <c:pt idx="3">
                  <c:v>2C CONN</c:v>
                </c:pt>
                <c:pt idx="4">
                  <c:v>STOPPPER</c:v>
                </c:pt>
                <c:pt idx="5">
                  <c:v>CAM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STOPPPER</c:v>
                </c:pt>
                <c:pt idx="15">
                  <c:v>LEAD GUIDE</c:v>
                </c:pt>
              </c:strCache>
            </c:strRef>
          </c:cat>
          <c:val>
            <c:numRef>
              <c:f>'23'!$J$6:$J$22</c:f>
              <c:numCache>
                <c:formatCode>_(* #,##0_);_(* \(#,##0\);_(* "-"_);_(@_)</c:formatCode>
                <c:ptCount val="17"/>
                <c:pt idx="0">
                  <c:v>1615</c:v>
                </c:pt>
                <c:pt idx="1">
                  <c:v>2094</c:v>
                </c:pt>
                <c:pt idx="2">
                  <c:v>26484</c:v>
                </c:pt>
                <c:pt idx="3">
                  <c:v>219</c:v>
                </c:pt>
                <c:pt idx="4">
                  <c:v>5489</c:v>
                </c:pt>
                <c:pt idx="5">
                  <c:v>6052</c:v>
                </c:pt>
                <c:pt idx="6">
                  <c:v>15260</c:v>
                </c:pt>
                <c:pt idx="7">
                  <c:v>5421</c:v>
                </c:pt>
                <c:pt idx="8">
                  <c:v>1330</c:v>
                </c:pt>
                <c:pt idx="9">
                  <c:v>275</c:v>
                </c:pt>
                <c:pt idx="10">
                  <c:v>17216</c:v>
                </c:pt>
                <c:pt idx="11">
                  <c:v>1376</c:v>
                </c:pt>
                <c:pt idx="12">
                  <c:v>3740</c:v>
                </c:pt>
                <c:pt idx="13">
                  <c:v>5841</c:v>
                </c:pt>
                <c:pt idx="14">
                  <c:v>1050</c:v>
                </c:pt>
                <c:pt idx="15">
                  <c:v>530</c:v>
                </c:pt>
                <c:pt idx="16">
                  <c:v>75408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9-4822-B244-972D05522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'23'!$AD$6:$AD$22</c:f>
              <c:strCache>
                <c:ptCount val="17"/>
                <c:pt idx="0">
                  <c:v>29%</c:v>
                </c:pt>
                <c:pt idx="1">
                  <c:v>46%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17%</c:v>
                </c:pt>
                <c:pt idx="7">
                  <c:v>100%</c:v>
                </c:pt>
                <c:pt idx="8">
                  <c:v>0%</c:v>
                </c:pt>
                <c:pt idx="9">
                  <c:v>25%</c:v>
                </c:pt>
                <c:pt idx="10">
                  <c:v>79%</c:v>
                </c:pt>
                <c:pt idx="11">
                  <c:v>29%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0">
                  <c:v>FLOATING</c:v>
                </c:pt>
                <c:pt idx="1">
                  <c:v>FLOATING</c:v>
                </c:pt>
                <c:pt idx="2">
                  <c:v>SLIDER</c:v>
                </c:pt>
                <c:pt idx="3">
                  <c:v>2C CONN</c:v>
                </c:pt>
                <c:pt idx="4">
                  <c:v>STOPPPER</c:v>
                </c:pt>
                <c:pt idx="5">
                  <c:v>CAM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STOPPPER</c:v>
                </c:pt>
                <c:pt idx="15">
                  <c:v>LEAD GUIDE</c:v>
                </c:pt>
              </c:strCache>
            </c:strRef>
          </c:cat>
          <c:val>
            <c:numRef>
              <c:f>'23'!$AD$6:$AD$22</c:f>
              <c:numCache>
                <c:formatCode>0%</c:formatCode>
                <c:ptCount val="17"/>
                <c:pt idx="0">
                  <c:v>0.29166666666666669</c:v>
                </c:pt>
                <c:pt idx="1">
                  <c:v>0.45833333333333331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0.16666666666666666</c:v>
                </c:pt>
                <c:pt idx="7">
                  <c:v>1</c:v>
                </c:pt>
                <c:pt idx="8">
                  <c:v>0</c:v>
                </c:pt>
                <c:pt idx="9">
                  <c:v>0.25</c:v>
                </c:pt>
                <c:pt idx="10">
                  <c:v>0.79166666666666663</c:v>
                </c:pt>
                <c:pt idx="11">
                  <c:v>0.29166666666666669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8D-4A73-B04B-903CE4F8E62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8D-4A73-B04B-903CE4F8E62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0">
                  <c:v>FLOATING</c:v>
                </c:pt>
                <c:pt idx="1">
                  <c:v>FLOATING</c:v>
                </c:pt>
                <c:pt idx="2">
                  <c:v>SLIDER</c:v>
                </c:pt>
                <c:pt idx="3">
                  <c:v>2C CONN</c:v>
                </c:pt>
                <c:pt idx="4">
                  <c:v>STOPPPER</c:v>
                </c:pt>
                <c:pt idx="5">
                  <c:v>CAM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STOPPPER</c:v>
                </c:pt>
                <c:pt idx="15">
                  <c:v>LEAD GUIDE</c:v>
                </c:pt>
              </c:strCache>
            </c:strRef>
          </c:cat>
          <c:val>
            <c:numRef>
              <c:f>'23'!$AE$6:$AE$22</c:f>
              <c:numCache>
                <c:formatCode>0%</c:formatCode>
                <c:ptCount val="17"/>
                <c:pt idx="0">
                  <c:v>0.48529411764705882</c:v>
                </c:pt>
                <c:pt idx="1">
                  <c:v>0.48529411764705882</c:v>
                </c:pt>
                <c:pt idx="2">
                  <c:v>0.48529411764705882</c:v>
                </c:pt>
                <c:pt idx="3">
                  <c:v>0.48529411764705882</c:v>
                </c:pt>
                <c:pt idx="4">
                  <c:v>0.48529411764705882</c:v>
                </c:pt>
                <c:pt idx="5">
                  <c:v>0.48529411764705882</c:v>
                </c:pt>
                <c:pt idx="6">
                  <c:v>0.48529411764705882</c:v>
                </c:pt>
                <c:pt idx="7">
                  <c:v>0.48529411764705882</c:v>
                </c:pt>
                <c:pt idx="8">
                  <c:v>0.48529411764705882</c:v>
                </c:pt>
                <c:pt idx="9">
                  <c:v>0.48529411764705882</c:v>
                </c:pt>
                <c:pt idx="10">
                  <c:v>0.48529411764705882</c:v>
                </c:pt>
                <c:pt idx="11">
                  <c:v>0.48529411764705882</c:v>
                </c:pt>
                <c:pt idx="12">
                  <c:v>0.48529411764705882</c:v>
                </c:pt>
                <c:pt idx="13">
                  <c:v>0.48529411764705882</c:v>
                </c:pt>
                <c:pt idx="14">
                  <c:v>0.48529411764705882</c:v>
                </c:pt>
                <c:pt idx="15">
                  <c:v>0.48529411764705882</c:v>
                </c:pt>
                <c:pt idx="16">
                  <c:v>0.48529411764705882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8D-4A73-B04B-903CE4F8E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'23'!$D$6:$D$22</c:f>
              <c:strCache>
                <c:ptCount val="16"/>
                <c:pt idx="0">
                  <c:v>FLOATING</c:v>
                </c:pt>
                <c:pt idx="1">
                  <c:v>FLOATING</c:v>
                </c:pt>
                <c:pt idx="2">
                  <c:v>SLIDER</c:v>
                </c:pt>
                <c:pt idx="3">
                  <c:v>2C CONN</c:v>
                </c:pt>
                <c:pt idx="4">
                  <c:v>STOPPPER</c:v>
                </c:pt>
                <c:pt idx="5">
                  <c:v>CAM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STOPPPER</c:v>
                </c:pt>
                <c:pt idx="15">
                  <c:v>LEAD GUIDE</c:v>
                </c:pt>
              </c:strCache>
            </c:strRef>
          </c:cat>
          <c:val>
            <c:numRef>
              <c:f>'23'!$L$6:$L$22</c:f>
              <c:numCache>
                <c:formatCode>_(* #,##0_);_(* \(#,##0\);_(* "-"_);_(@_)</c:formatCode>
                <c:ptCount val="17"/>
                <c:pt idx="0">
                  <c:v>1615</c:v>
                </c:pt>
                <c:pt idx="1">
                  <c:v>2094</c:v>
                </c:pt>
                <c:pt idx="2">
                  <c:v>26484</c:v>
                </c:pt>
                <c:pt idx="4">
                  <c:v>5489</c:v>
                </c:pt>
                <c:pt idx="5">
                  <c:v>6052</c:v>
                </c:pt>
                <c:pt idx="6">
                  <c:v>15260</c:v>
                </c:pt>
                <c:pt idx="7">
                  <c:v>5421</c:v>
                </c:pt>
                <c:pt idx="9">
                  <c:v>275</c:v>
                </c:pt>
                <c:pt idx="10">
                  <c:v>17216</c:v>
                </c:pt>
                <c:pt idx="11">
                  <c:v>1376</c:v>
                </c:pt>
                <c:pt idx="13">
                  <c:v>5841</c:v>
                </c:pt>
                <c:pt idx="16">
                  <c:v>75408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DB-4A86-90F6-B6A6B753A361}"/>
            </c:ext>
          </c:extLst>
        </c:ser>
        <c:ser>
          <c:idx val="1"/>
          <c:order val="1"/>
          <c:tx>
            <c:v>계획</c:v>
          </c:tx>
          <c:cat>
            <c:strRef>
              <c:f>'23'!$D$6:$D$22</c:f>
              <c:strCache>
                <c:ptCount val="16"/>
                <c:pt idx="0">
                  <c:v>FLOATING</c:v>
                </c:pt>
                <c:pt idx="1">
                  <c:v>FLOATING</c:v>
                </c:pt>
                <c:pt idx="2">
                  <c:v>SLIDER</c:v>
                </c:pt>
                <c:pt idx="3">
                  <c:v>2C CONN</c:v>
                </c:pt>
                <c:pt idx="4">
                  <c:v>STOPPPER</c:v>
                </c:pt>
                <c:pt idx="5">
                  <c:v>CAM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STOPPPER</c:v>
                </c:pt>
                <c:pt idx="15">
                  <c:v>LEAD GUIDE</c:v>
                </c:pt>
              </c:strCache>
            </c:strRef>
          </c:cat>
          <c:val>
            <c:numRef>
              <c:f>'23'!$J$6:$J$22</c:f>
              <c:numCache>
                <c:formatCode>_(* #,##0_);_(* \(#,##0\);_(* "-"_);_(@_)</c:formatCode>
                <c:ptCount val="17"/>
                <c:pt idx="0">
                  <c:v>1615</c:v>
                </c:pt>
                <c:pt idx="1">
                  <c:v>2094</c:v>
                </c:pt>
                <c:pt idx="2">
                  <c:v>26484</c:v>
                </c:pt>
                <c:pt idx="3">
                  <c:v>219</c:v>
                </c:pt>
                <c:pt idx="4">
                  <c:v>5489</c:v>
                </c:pt>
                <c:pt idx="5">
                  <c:v>6052</c:v>
                </c:pt>
                <c:pt idx="6">
                  <c:v>15260</c:v>
                </c:pt>
                <c:pt idx="7">
                  <c:v>5421</c:v>
                </c:pt>
                <c:pt idx="8">
                  <c:v>1330</c:v>
                </c:pt>
                <c:pt idx="9">
                  <c:v>275</c:v>
                </c:pt>
                <c:pt idx="10">
                  <c:v>17216</c:v>
                </c:pt>
                <c:pt idx="11">
                  <c:v>1376</c:v>
                </c:pt>
                <c:pt idx="12">
                  <c:v>3740</c:v>
                </c:pt>
                <c:pt idx="13">
                  <c:v>5841</c:v>
                </c:pt>
                <c:pt idx="14">
                  <c:v>1050</c:v>
                </c:pt>
                <c:pt idx="15">
                  <c:v>530</c:v>
                </c:pt>
                <c:pt idx="16">
                  <c:v>75408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DB-4A86-90F6-B6A6B753A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'23'!$AD$6:$AD$22</c:f>
              <c:strCache>
                <c:ptCount val="17"/>
                <c:pt idx="0">
                  <c:v>29%</c:v>
                </c:pt>
                <c:pt idx="1">
                  <c:v>46%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17%</c:v>
                </c:pt>
                <c:pt idx="7">
                  <c:v>100%</c:v>
                </c:pt>
                <c:pt idx="8">
                  <c:v>0%</c:v>
                </c:pt>
                <c:pt idx="9">
                  <c:v>25%</c:v>
                </c:pt>
                <c:pt idx="10">
                  <c:v>79%</c:v>
                </c:pt>
                <c:pt idx="11">
                  <c:v>29%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0">
                  <c:v>FLOATING</c:v>
                </c:pt>
                <c:pt idx="1">
                  <c:v>FLOATING</c:v>
                </c:pt>
                <c:pt idx="2">
                  <c:v>SLIDER</c:v>
                </c:pt>
                <c:pt idx="3">
                  <c:v>2C CONN</c:v>
                </c:pt>
                <c:pt idx="4">
                  <c:v>STOPPPER</c:v>
                </c:pt>
                <c:pt idx="5">
                  <c:v>CAM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STOPPPER</c:v>
                </c:pt>
                <c:pt idx="15">
                  <c:v>LEAD GUIDE</c:v>
                </c:pt>
              </c:strCache>
            </c:strRef>
          </c:cat>
          <c:val>
            <c:numRef>
              <c:f>'23'!$AD$6:$AD$22</c:f>
              <c:numCache>
                <c:formatCode>0%</c:formatCode>
                <c:ptCount val="17"/>
                <c:pt idx="0">
                  <c:v>0.29166666666666669</c:v>
                </c:pt>
                <c:pt idx="1">
                  <c:v>0.45833333333333331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0.16666666666666666</c:v>
                </c:pt>
                <c:pt idx="7">
                  <c:v>1</c:v>
                </c:pt>
                <c:pt idx="8">
                  <c:v>0</c:v>
                </c:pt>
                <c:pt idx="9">
                  <c:v>0.25</c:v>
                </c:pt>
                <c:pt idx="10">
                  <c:v>0.79166666666666663</c:v>
                </c:pt>
                <c:pt idx="11">
                  <c:v>0.29166666666666669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2-4434-B682-03C7953C456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72-4434-B682-03C7953C456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0">
                  <c:v>FLOATING</c:v>
                </c:pt>
                <c:pt idx="1">
                  <c:v>FLOATING</c:v>
                </c:pt>
                <c:pt idx="2">
                  <c:v>SLIDER</c:v>
                </c:pt>
                <c:pt idx="3">
                  <c:v>2C CONN</c:v>
                </c:pt>
                <c:pt idx="4">
                  <c:v>STOPPPER</c:v>
                </c:pt>
                <c:pt idx="5">
                  <c:v>CAM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STOPPPER</c:v>
                </c:pt>
                <c:pt idx="15">
                  <c:v>LEAD GUIDE</c:v>
                </c:pt>
              </c:strCache>
            </c:strRef>
          </c:cat>
          <c:val>
            <c:numRef>
              <c:f>'23'!$AE$6:$AE$22</c:f>
              <c:numCache>
                <c:formatCode>0%</c:formatCode>
                <c:ptCount val="17"/>
                <c:pt idx="0">
                  <c:v>0.48529411764705882</c:v>
                </c:pt>
                <c:pt idx="1">
                  <c:v>0.48529411764705882</c:v>
                </c:pt>
                <c:pt idx="2">
                  <c:v>0.48529411764705882</c:v>
                </c:pt>
                <c:pt idx="3">
                  <c:v>0.48529411764705882</c:v>
                </c:pt>
                <c:pt idx="4">
                  <c:v>0.48529411764705882</c:v>
                </c:pt>
                <c:pt idx="5">
                  <c:v>0.48529411764705882</c:v>
                </c:pt>
                <c:pt idx="6">
                  <c:v>0.48529411764705882</c:v>
                </c:pt>
                <c:pt idx="7">
                  <c:v>0.48529411764705882</c:v>
                </c:pt>
                <c:pt idx="8">
                  <c:v>0.48529411764705882</c:v>
                </c:pt>
                <c:pt idx="9">
                  <c:v>0.48529411764705882</c:v>
                </c:pt>
                <c:pt idx="10">
                  <c:v>0.48529411764705882</c:v>
                </c:pt>
                <c:pt idx="11">
                  <c:v>0.48529411764705882</c:v>
                </c:pt>
                <c:pt idx="12">
                  <c:v>0.48529411764705882</c:v>
                </c:pt>
                <c:pt idx="13">
                  <c:v>0.48529411764705882</c:v>
                </c:pt>
                <c:pt idx="14">
                  <c:v>0.48529411764705882</c:v>
                </c:pt>
                <c:pt idx="15">
                  <c:v>0.48529411764705882</c:v>
                </c:pt>
                <c:pt idx="16">
                  <c:v>0.48529411764705882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72-4434-B682-03C7953C4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7AD-4E98-883A-DCCB960D3A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AD-4E98-883A-DCCB960D3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7AD-4E98-883A-DCCB960D3A6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AD-4E98-883A-DCCB960D3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'24'!$D$6:$D$23</c:f>
              <c:strCache>
                <c:ptCount val="17"/>
                <c:pt idx="0">
                  <c:v>FLOATING/A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TOP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'24'!$L$6:$L$23</c:f>
              <c:numCache>
                <c:formatCode>_(* #,##0_);_(* \(#,##0\);_(* "-"_);_(@_)</c:formatCode>
                <c:ptCount val="18"/>
                <c:pt idx="0">
                  <c:v>1136</c:v>
                </c:pt>
                <c:pt idx="1">
                  <c:v>2324</c:v>
                </c:pt>
                <c:pt idx="2">
                  <c:v>22683</c:v>
                </c:pt>
                <c:pt idx="3">
                  <c:v>2507</c:v>
                </c:pt>
                <c:pt idx="4">
                  <c:v>5478</c:v>
                </c:pt>
                <c:pt idx="5">
                  <c:v>6258</c:v>
                </c:pt>
                <c:pt idx="7">
                  <c:v>4981</c:v>
                </c:pt>
                <c:pt idx="10">
                  <c:v>22532</c:v>
                </c:pt>
                <c:pt idx="11">
                  <c:v>500</c:v>
                </c:pt>
                <c:pt idx="12">
                  <c:v>1677</c:v>
                </c:pt>
                <c:pt idx="13">
                  <c:v>2690</c:v>
                </c:pt>
                <c:pt idx="14">
                  <c:v>5844</c:v>
                </c:pt>
                <c:pt idx="15">
                  <c:v>1668</c:v>
                </c:pt>
                <c:pt idx="16">
                  <c:v>2124</c:v>
                </c:pt>
                <c:pt idx="17">
                  <c:v>75360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5-4748-BCCF-364CA4A80C88}"/>
            </c:ext>
          </c:extLst>
        </c:ser>
        <c:ser>
          <c:idx val="1"/>
          <c:order val="1"/>
          <c:tx>
            <c:v>계획</c:v>
          </c:tx>
          <c:cat>
            <c:strRef>
              <c:f>'24'!$D$6:$D$23</c:f>
              <c:strCache>
                <c:ptCount val="17"/>
                <c:pt idx="0">
                  <c:v>FLOATING/A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TOP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'24'!$J$6:$J$23</c:f>
              <c:numCache>
                <c:formatCode>_(* #,##0_);_(* \(#,##0\);_(* "-"_);_(@_)</c:formatCode>
                <c:ptCount val="18"/>
                <c:pt idx="0">
                  <c:v>1136</c:v>
                </c:pt>
                <c:pt idx="1">
                  <c:v>2324</c:v>
                </c:pt>
                <c:pt idx="2">
                  <c:v>22683</c:v>
                </c:pt>
                <c:pt idx="3">
                  <c:v>2507</c:v>
                </c:pt>
                <c:pt idx="4">
                  <c:v>5478</c:v>
                </c:pt>
                <c:pt idx="5">
                  <c:v>6258</c:v>
                </c:pt>
                <c:pt idx="6">
                  <c:v>15260</c:v>
                </c:pt>
                <c:pt idx="7">
                  <c:v>4981</c:v>
                </c:pt>
                <c:pt idx="8">
                  <c:v>1330</c:v>
                </c:pt>
                <c:pt idx="9">
                  <c:v>275</c:v>
                </c:pt>
                <c:pt idx="10">
                  <c:v>22532</c:v>
                </c:pt>
                <c:pt idx="11">
                  <c:v>500</c:v>
                </c:pt>
                <c:pt idx="12">
                  <c:v>1677</c:v>
                </c:pt>
                <c:pt idx="13">
                  <c:v>2690</c:v>
                </c:pt>
                <c:pt idx="14">
                  <c:v>5844</c:v>
                </c:pt>
                <c:pt idx="15">
                  <c:v>1668</c:v>
                </c:pt>
                <c:pt idx="16">
                  <c:v>2124</c:v>
                </c:pt>
                <c:pt idx="17">
                  <c:v>75360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85-4748-BCCF-364CA4A80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'24'!$AD$6:$AD$23</c:f>
              <c:strCache>
                <c:ptCount val="18"/>
                <c:pt idx="0">
                  <c:v>25%</c:v>
                </c:pt>
                <c:pt idx="1">
                  <c:v>29%</c:v>
                </c:pt>
                <c:pt idx="2">
                  <c:v>96%</c:v>
                </c:pt>
                <c:pt idx="3">
                  <c:v>50%</c:v>
                </c:pt>
                <c:pt idx="4">
                  <c:v>100%</c:v>
                </c:pt>
                <c:pt idx="5">
                  <c:v>96%</c:v>
                </c:pt>
                <c:pt idx="6">
                  <c:v>0%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17%</c:v>
                </c:pt>
                <c:pt idx="12">
                  <c:v>46%</c:v>
                </c:pt>
                <c:pt idx="13">
                  <c:v>63%</c:v>
                </c:pt>
                <c:pt idx="14">
                  <c:v>100%</c:v>
                </c:pt>
                <c:pt idx="15">
                  <c:v>21%</c:v>
                </c:pt>
                <c:pt idx="16">
                  <c:v>71%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'24'!$D$6:$D$23</c:f>
              <c:strCache>
                <c:ptCount val="17"/>
                <c:pt idx="0">
                  <c:v>FLOATING/A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TOP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'24'!$AD$6:$AD$23</c:f>
              <c:numCache>
                <c:formatCode>0%</c:formatCode>
                <c:ptCount val="18"/>
                <c:pt idx="0">
                  <c:v>0.25</c:v>
                </c:pt>
                <c:pt idx="1">
                  <c:v>0.29166666666666669</c:v>
                </c:pt>
                <c:pt idx="2">
                  <c:v>0.95833333333333337</c:v>
                </c:pt>
                <c:pt idx="3">
                  <c:v>0.5</c:v>
                </c:pt>
                <c:pt idx="4">
                  <c:v>1</c:v>
                </c:pt>
                <c:pt idx="5">
                  <c:v>0.95833333333333337</c:v>
                </c:pt>
                <c:pt idx="6">
                  <c:v>0</c:v>
                </c:pt>
                <c:pt idx="7">
                  <c:v>0.91666666666666663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0.16666666666666666</c:v>
                </c:pt>
                <c:pt idx="12">
                  <c:v>0.45833333333333331</c:v>
                </c:pt>
                <c:pt idx="13">
                  <c:v>0.625</c:v>
                </c:pt>
                <c:pt idx="14">
                  <c:v>1</c:v>
                </c:pt>
                <c:pt idx="15">
                  <c:v>0.20833333333333334</c:v>
                </c:pt>
                <c:pt idx="16">
                  <c:v>0.70833333333333337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7-40C9-A16E-4C50AC80A50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77-40C9-A16E-4C50AC80A5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'24'!$D$6:$D$23</c:f>
              <c:strCache>
                <c:ptCount val="17"/>
                <c:pt idx="0">
                  <c:v>FLOATING/A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TOP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'24'!$AE$6:$AE$23</c:f>
              <c:numCache>
                <c:formatCode>0%</c:formatCode>
                <c:ptCount val="18"/>
                <c:pt idx="0">
                  <c:v>0.55787037037037046</c:v>
                </c:pt>
                <c:pt idx="1">
                  <c:v>0.55787037037037046</c:v>
                </c:pt>
                <c:pt idx="2">
                  <c:v>0.55787037037037046</c:v>
                </c:pt>
                <c:pt idx="3">
                  <c:v>0.55787037037037046</c:v>
                </c:pt>
                <c:pt idx="4">
                  <c:v>0.55787037037037046</c:v>
                </c:pt>
                <c:pt idx="5">
                  <c:v>0.55787037037037046</c:v>
                </c:pt>
                <c:pt idx="6">
                  <c:v>0.55787037037037046</c:v>
                </c:pt>
                <c:pt idx="7">
                  <c:v>0.55787037037037046</c:v>
                </c:pt>
                <c:pt idx="8">
                  <c:v>0.55787037037037046</c:v>
                </c:pt>
                <c:pt idx="9">
                  <c:v>0.55787037037037046</c:v>
                </c:pt>
                <c:pt idx="10">
                  <c:v>0.55787037037037046</c:v>
                </c:pt>
                <c:pt idx="11">
                  <c:v>0.55787037037037046</c:v>
                </c:pt>
                <c:pt idx="12">
                  <c:v>0.55787037037037046</c:v>
                </c:pt>
                <c:pt idx="13">
                  <c:v>0.55787037037037046</c:v>
                </c:pt>
                <c:pt idx="14">
                  <c:v>0.55787037037037046</c:v>
                </c:pt>
                <c:pt idx="15">
                  <c:v>0.55787037037037046</c:v>
                </c:pt>
                <c:pt idx="16">
                  <c:v>0.55787037037037046</c:v>
                </c:pt>
                <c:pt idx="17">
                  <c:v>0.55787037037037046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77-40C9-A16E-4C50AC80A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'24'!$D$6:$D$23</c:f>
              <c:strCache>
                <c:ptCount val="17"/>
                <c:pt idx="0">
                  <c:v>FLOATING/A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TOP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'24'!$L$6:$L$23</c:f>
              <c:numCache>
                <c:formatCode>_(* #,##0_);_(* \(#,##0\);_(* "-"_);_(@_)</c:formatCode>
                <c:ptCount val="18"/>
                <c:pt idx="0">
                  <c:v>1136</c:v>
                </c:pt>
                <c:pt idx="1">
                  <c:v>2324</c:v>
                </c:pt>
                <c:pt idx="2">
                  <c:v>22683</c:v>
                </c:pt>
                <c:pt idx="3">
                  <c:v>2507</c:v>
                </c:pt>
                <c:pt idx="4">
                  <c:v>5478</c:v>
                </c:pt>
                <c:pt idx="5">
                  <c:v>6258</c:v>
                </c:pt>
                <c:pt idx="7">
                  <c:v>4981</c:v>
                </c:pt>
                <c:pt idx="10">
                  <c:v>22532</c:v>
                </c:pt>
                <c:pt idx="11">
                  <c:v>500</c:v>
                </c:pt>
                <c:pt idx="12">
                  <c:v>1677</c:v>
                </c:pt>
                <c:pt idx="13">
                  <c:v>2690</c:v>
                </c:pt>
                <c:pt idx="14">
                  <c:v>5844</c:v>
                </c:pt>
                <c:pt idx="15">
                  <c:v>1668</c:v>
                </c:pt>
                <c:pt idx="16">
                  <c:v>2124</c:v>
                </c:pt>
                <c:pt idx="17">
                  <c:v>75360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E-45E3-BDC6-CB2009D2A139}"/>
            </c:ext>
          </c:extLst>
        </c:ser>
        <c:ser>
          <c:idx val="1"/>
          <c:order val="1"/>
          <c:tx>
            <c:v>계획</c:v>
          </c:tx>
          <c:cat>
            <c:strRef>
              <c:f>'24'!$D$6:$D$23</c:f>
              <c:strCache>
                <c:ptCount val="17"/>
                <c:pt idx="0">
                  <c:v>FLOATING/A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TOP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'24'!$J$6:$J$23</c:f>
              <c:numCache>
                <c:formatCode>_(* #,##0_);_(* \(#,##0\);_(* "-"_);_(@_)</c:formatCode>
                <c:ptCount val="18"/>
                <c:pt idx="0">
                  <c:v>1136</c:v>
                </c:pt>
                <c:pt idx="1">
                  <c:v>2324</c:v>
                </c:pt>
                <c:pt idx="2">
                  <c:v>22683</c:v>
                </c:pt>
                <c:pt idx="3">
                  <c:v>2507</c:v>
                </c:pt>
                <c:pt idx="4">
                  <c:v>5478</c:v>
                </c:pt>
                <c:pt idx="5">
                  <c:v>6258</c:v>
                </c:pt>
                <c:pt idx="6">
                  <c:v>15260</c:v>
                </c:pt>
                <c:pt idx="7">
                  <c:v>4981</c:v>
                </c:pt>
                <c:pt idx="8">
                  <c:v>1330</c:v>
                </c:pt>
                <c:pt idx="9">
                  <c:v>275</c:v>
                </c:pt>
                <c:pt idx="10">
                  <c:v>22532</c:v>
                </c:pt>
                <c:pt idx="11">
                  <c:v>500</c:v>
                </c:pt>
                <c:pt idx="12">
                  <c:v>1677</c:v>
                </c:pt>
                <c:pt idx="13">
                  <c:v>2690</c:v>
                </c:pt>
                <c:pt idx="14">
                  <c:v>5844</c:v>
                </c:pt>
                <c:pt idx="15">
                  <c:v>1668</c:v>
                </c:pt>
                <c:pt idx="16">
                  <c:v>2124</c:v>
                </c:pt>
                <c:pt idx="17">
                  <c:v>75360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9E-45E3-BDC6-CB2009D2A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'24'!$AD$6:$AD$23</c:f>
              <c:strCache>
                <c:ptCount val="18"/>
                <c:pt idx="0">
                  <c:v>25%</c:v>
                </c:pt>
                <c:pt idx="1">
                  <c:v>29%</c:v>
                </c:pt>
                <c:pt idx="2">
                  <c:v>96%</c:v>
                </c:pt>
                <c:pt idx="3">
                  <c:v>50%</c:v>
                </c:pt>
                <c:pt idx="4">
                  <c:v>100%</c:v>
                </c:pt>
                <c:pt idx="5">
                  <c:v>96%</c:v>
                </c:pt>
                <c:pt idx="6">
                  <c:v>0%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17%</c:v>
                </c:pt>
                <c:pt idx="12">
                  <c:v>46%</c:v>
                </c:pt>
                <c:pt idx="13">
                  <c:v>63%</c:v>
                </c:pt>
                <c:pt idx="14">
                  <c:v>100%</c:v>
                </c:pt>
                <c:pt idx="15">
                  <c:v>21%</c:v>
                </c:pt>
                <c:pt idx="16">
                  <c:v>71%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'24'!$D$6:$D$23</c:f>
              <c:strCache>
                <c:ptCount val="17"/>
                <c:pt idx="0">
                  <c:v>FLOATING/A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TOP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'24'!$AD$6:$AD$23</c:f>
              <c:numCache>
                <c:formatCode>0%</c:formatCode>
                <c:ptCount val="18"/>
                <c:pt idx="0">
                  <c:v>0.25</c:v>
                </c:pt>
                <c:pt idx="1">
                  <c:v>0.29166666666666669</c:v>
                </c:pt>
                <c:pt idx="2">
                  <c:v>0.95833333333333337</c:v>
                </c:pt>
                <c:pt idx="3">
                  <c:v>0.5</c:v>
                </c:pt>
                <c:pt idx="4">
                  <c:v>1</c:v>
                </c:pt>
                <c:pt idx="5">
                  <c:v>0.95833333333333337</c:v>
                </c:pt>
                <c:pt idx="6">
                  <c:v>0</c:v>
                </c:pt>
                <c:pt idx="7">
                  <c:v>0.91666666666666663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0.16666666666666666</c:v>
                </c:pt>
                <c:pt idx="12">
                  <c:v>0.45833333333333331</c:v>
                </c:pt>
                <c:pt idx="13">
                  <c:v>0.625</c:v>
                </c:pt>
                <c:pt idx="14">
                  <c:v>1</c:v>
                </c:pt>
                <c:pt idx="15">
                  <c:v>0.20833333333333334</c:v>
                </c:pt>
                <c:pt idx="16">
                  <c:v>0.70833333333333337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BA-4FDC-983B-71FC7E6EC03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3BA-4FDC-983B-71FC7E6EC03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'24'!$D$6:$D$23</c:f>
              <c:strCache>
                <c:ptCount val="17"/>
                <c:pt idx="0">
                  <c:v>FLOATING/A</c:v>
                </c:pt>
                <c:pt idx="1">
                  <c:v>ADAPTER</c:v>
                </c:pt>
                <c:pt idx="2">
                  <c:v>SLIDER</c:v>
                </c:pt>
                <c:pt idx="3">
                  <c:v>BASE</c:v>
                </c:pt>
                <c:pt idx="4">
                  <c:v>STOPPPER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TOP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'24'!$AE$6:$AE$23</c:f>
              <c:numCache>
                <c:formatCode>0%</c:formatCode>
                <c:ptCount val="18"/>
                <c:pt idx="0">
                  <c:v>0.55787037037037046</c:v>
                </c:pt>
                <c:pt idx="1">
                  <c:v>0.55787037037037046</c:v>
                </c:pt>
                <c:pt idx="2">
                  <c:v>0.55787037037037046</c:v>
                </c:pt>
                <c:pt idx="3">
                  <c:v>0.55787037037037046</c:v>
                </c:pt>
                <c:pt idx="4">
                  <c:v>0.55787037037037046</c:v>
                </c:pt>
                <c:pt idx="5">
                  <c:v>0.55787037037037046</c:v>
                </c:pt>
                <c:pt idx="6">
                  <c:v>0.55787037037037046</c:v>
                </c:pt>
                <c:pt idx="7">
                  <c:v>0.55787037037037046</c:v>
                </c:pt>
                <c:pt idx="8">
                  <c:v>0.55787037037037046</c:v>
                </c:pt>
                <c:pt idx="9">
                  <c:v>0.55787037037037046</c:v>
                </c:pt>
                <c:pt idx="10">
                  <c:v>0.55787037037037046</c:v>
                </c:pt>
                <c:pt idx="11">
                  <c:v>0.55787037037037046</c:v>
                </c:pt>
                <c:pt idx="12">
                  <c:v>0.55787037037037046</c:v>
                </c:pt>
                <c:pt idx="13">
                  <c:v>0.55787037037037046</c:v>
                </c:pt>
                <c:pt idx="14">
                  <c:v>0.55787037037037046</c:v>
                </c:pt>
                <c:pt idx="15">
                  <c:v>0.55787037037037046</c:v>
                </c:pt>
                <c:pt idx="16">
                  <c:v>0.55787037037037046</c:v>
                </c:pt>
                <c:pt idx="17">
                  <c:v>0.55787037037037046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BA-4FDC-983B-71FC7E6EC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698-4061-B9D6-B4CD29A722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98-4061-B9D6-B4CD29A72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698-4061-B9D6-B4CD29A722D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98-4061-B9D6-B4CD29A72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BOTTOM</c:v>
                </c:pt>
                <c:pt idx="12">
                  <c:v>BASE</c:v>
                </c:pt>
                <c:pt idx="13">
                  <c:v>STOPPPER</c:v>
                </c:pt>
                <c:pt idx="14">
                  <c:v>LATCH PLATE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'25'!$L$6:$L$23</c:f>
              <c:numCache>
                <c:formatCode>_(* #,##0_);_(* \(#,##0\);_(* "-"_);_(@_)</c:formatCode>
                <c:ptCount val="18"/>
                <c:pt idx="0">
                  <c:v>581</c:v>
                </c:pt>
                <c:pt idx="1">
                  <c:v>26084</c:v>
                </c:pt>
                <c:pt idx="2">
                  <c:v>2213</c:v>
                </c:pt>
                <c:pt idx="3">
                  <c:v>5235</c:v>
                </c:pt>
                <c:pt idx="4">
                  <c:v>6648</c:v>
                </c:pt>
                <c:pt idx="6">
                  <c:v>4563</c:v>
                </c:pt>
                <c:pt idx="7">
                  <c:v>8436</c:v>
                </c:pt>
                <c:pt idx="9">
                  <c:v>22956</c:v>
                </c:pt>
                <c:pt idx="10">
                  <c:v>2556</c:v>
                </c:pt>
                <c:pt idx="11">
                  <c:v>4996</c:v>
                </c:pt>
                <c:pt idx="12">
                  <c:v>5869</c:v>
                </c:pt>
                <c:pt idx="13">
                  <c:v>1652</c:v>
                </c:pt>
                <c:pt idx="14">
                  <c:v>1000</c:v>
                </c:pt>
                <c:pt idx="15">
                  <c:v>1682</c:v>
                </c:pt>
                <c:pt idx="16">
                  <c:v>1534</c:v>
                </c:pt>
                <c:pt idx="17">
                  <c:v>75692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B-4344-BC6C-D79D066E0650}"/>
            </c:ext>
          </c:extLst>
        </c:ser>
        <c:ser>
          <c:idx val="1"/>
          <c:order val="1"/>
          <c:tx>
            <c:v>계획</c:v>
          </c:tx>
          <c:cat>
            <c:strRef>
              <c:f>'25'!$D$6:$D$23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BOTTOM</c:v>
                </c:pt>
                <c:pt idx="12">
                  <c:v>BASE</c:v>
                </c:pt>
                <c:pt idx="13">
                  <c:v>STOPPPER</c:v>
                </c:pt>
                <c:pt idx="14">
                  <c:v>LATCH PLATE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'25'!$J$6:$J$23</c:f>
              <c:numCache>
                <c:formatCode>_(* #,##0_);_(* \(#,##0\);_(* "-"_);_(@_)</c:formatCode>
                <c:ptCount val="18"/>
                <c:pt idx="0">
                  <c:v>581</c:v>
                </c:pt>
                <c:pt idx="1">
                  <c:v>26084</c:v>
                </c:pt>
                <c:pt idx="2">
                  <c:v>2213</c:v>
                </c:pt>
                <c:pt idx="3">
                  <c:v>5235</c:v>
                </c:pt>
                <c:pt idx="4">
                  <c:v>6648</c:v>
                </c:pt>
                <c:pt idx="5">
                  <c:v>15260</c:v>
                </c:pt>
                <c:pt idx="6">
                  <c:v>4563</c:v>
                </c:pt>
                <c:pt idx="7">
                  <c:v>8436</c:v>
                </c:pt>
                <c:pt idx="8">
                  <c:v>275</c:v>
                </c:pt>
                <c:pt idx="9">
                  <c:v>22956</c:v>
                </c:pt>
                <c:pt idx="10">
                  <c:v>2556</c:v>
                </c:pt>
                <c:pt idx="11">
                  <c:v>4996</c:v>
                </c:pt>
                <c:pt idx="12">
                  <c:v>5869</c:v>
                </c:pt>
                <c:pt idx="13">
                  <c:v>1652</c:v>
                </c:pt>
                <c:pt idx="14">
                  <c:v>1000</c:v>
                </c:pt>
                <c:pt idx="15">
                  <c:v>1682</c:v>
                </c:pt>
                <c:pt idx="16">
                  <c:v>1682</c:v>
                </c:pt>
                <c:pt idx="17">
                  <c:v>75692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0B-4344-BC6C-D79D066E0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'25'!$AD$6:$AD$23</c:f>
              <c:strCache>
                <c:ptCount val="18"/>
                <c:pt idx="0">
                  <c:v>17%</c:v>
                </c:pt>
                <c:pt idx="1">
                  <c:v>100%</c:v>
                </c:pt>
                <c:pt idx="2">
                  <c:v>42%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83%</c:v>
                </c:pt>
                <c:pt idx="7">
                  <c:v>71%</c:v>
                </c:pt>
                <c:pt idx="8">
                  <c:v>0%</c:v>
                </c:pt>
                <c:pt idx="9">
                  <c:v>100%</c:v>
                </c:pt>
                <c:pt idx="10">
                  <c:v>50%</c:v>
                </c:pt>
                <c:pt idx="11">
                  <c:v>96%</c:v>
                </c:pt>
                <c:pt idx="12">
                  <c:v>100%</c:v>
                </c:pt>
                <c:pt idx="13">
                  <c:v>21%</c:v>
                </c:pt>
                <c:pt idx="14">
                  <c:v>17%</c:v>
                </c:pt>
                <c:pt idx="15">
                  <c:v>21%</c:v>
                </c:pt>
                <c:pt idx="16">
                  <c:v>19%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BOTTOM</c:v>
                </c:pt>
                <c:pt idx="12">
                  <c:v>BASE</c:v>
                </c:pt>
                <c:pt idx="13">
                  <c:v>STOPPPER</c:v>
                </c:pt>
                <c:pt idx="14">
                  <c:v>LATCH PLATE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'25'!$AD$6:$AD$23</c:f>
              <c:numCache>
                <c:formatCode>0%</c:formatCode>
                <c:ptCount val="18"/>
                <c:pt idx="0">
                  <c:v>0.16666666666666666</c:v>
                </c:pt>
                <c:pt idx="1">
                  <c:v>1</c:v>
                </c:pt>
                <c:pt idx="2">
                  <c:v>0.41666666666666669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0.83333333333333337</c:v>
                </c:pt>
                <c:pt idx="7">
                  <c:v>0.70833333333333337</c:v>
                </c:pt>
                <c:pt idx="8">
                  <c:v>0</c:v>
                </c:pt>
                <c:pt idx="9">
                  <c:v>1</c:v>
                </c:pt>
                <c:pt idx="10">
                  <c:v>0.5</c:v>
                </c:pt>
                <c:pt idx="11">
                  <c:v>0.95833333333333337</c:v>
                </c:pt>
                <c:pt idx="12">
                  <c:v>1</c:v>
                </c:pt>
                <c:pt idx="13">
                  <c:v>0.20833333333333334</c:v>
                </c:pt>
                <c:pt idx="14">
                  <c:v>0.16666666666666666</c:v>
                </c:pt>
                <c:pt idx="15">
                  <c:v>0.20833333333333334</c:v>
                </c:pt>
                <c:pt idx="16">
                  <c:v>0.19000198176773683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C-4116-BED4-65DB89C6301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2C-4116-BED4-65DB89C6301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BOTTOM</c:v>
                </c:pt>
                <c:pt idx="12">
                  <c:v>BASE</c:v>
                </c:pt>
                <c:pt idx="13">
                  <c:v>STOPPPER</c:v>
                </c:pt>
                <c:pt idx="14">
                  <c:v>LATCH PLATE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'25'!$AE$6:$AE$23</c:f>
              <c:numCache>
                <c:formatCode>0%</c:formatCode>
                <c:ptCount val="18"/>
                <c:pt idx="0">
                  <c:v>0.57537048046857786</c:v>
                </c:pt>
                <c:pt idx="1">
                  <c:v>0.57537048046857786</c:v>
                </c:pt>
                <c:pt idx="2">
                  <c:v>0.57537048046857786</c:v>
                </c:pt>
                <c:pt idx="3">
                  <c:v>0.57537048046857786</c:v>
                </c:pt>
                <c:pt idx="4">
                  <c:v>0.57537048046857786</c:v>
                </c:pt>
                <c:pt idx="5">
                  <c:v>0.57537048046857786</c:v>
                </c:pt>
                <c:pt idx="6">
                  <c:v>0.57537048046857786</c:v>
                </c:pt>
                <c:pt idx="7">
                  <c:v>0.57537048046857786</c:v>
                </c:pt>
                <c:pt idx="8">
                  <c:v>0.57537048046857786</c:v>
                </c:pt>
                <c:pt idx="9">
                  <c:v>0.57537048046857786</c:v>
                </c:pt>
                <c:pt idx="10">
                  <c:v>0.57537048046857786</c:v>
                </c:pt>
                <c:pt idx="11">
                  <c:v>0.57537048046857786</c:v>
                </c:pt>
                <c:pt idx="12">
                  <c:v>0.57537048046857786</c:v>
                </c:pt>
                <c:pt idx="13">
                  <c:v>0.57537048046857786</c:v>
                </c:pt>
                <c:pt idx="14">
                  <c:v>0.57537048046857786</c:v>
                </c:pt>
                <c:pt idx="15">
                  <c:v>0.57537048046857786</c:v>
                </c:pt>
                <c:pt idx="16">
                  <c:v>0.57537048046857786</c:v>
                </c:pt>
                <c:pt idx="17">
                  <c:v>0.57537048046857786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2C-4116-BED4-65DB89C63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BOTTOM</c:v>
                </c:pt>
                <c:pt idx="12">
                  <c:v>BASE</c:v>
                </c:pt>
                <c:pt idx="13">
                  <c:v>STOPPPER</c:v>
                </c:pt>
                <c:pt idx="14">
                  <c:v>LATCH PLATE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'25'!$L$6:$L$23</c:f>
              <c:numCache>
                <c:formatCode>_(* #,##0_);_(* \(#,##0\);_(* "-"_);_(@_)</c:formatCode>
                <c:ptCount val="18"/>
                <c:pt idx="0">
                  <c:v>581</c:v>
                </c:pt>
                <c:pt idx="1">
                  <c:v>26084</c:v>
                </c:pt>
                <c:pt idx="2">
                  <c:v>2213</c:v>
                </c:pt>
                <c:pt idx="3">
                  <c:v>5235</c:v>
                </c:pt>
                <c:pt idx="4">
                  <c:v>6648</c:v>
                </c:pt>
                <c:pt idx="6">
                  <c:v>4563</c:v>
                </c:pt>
                <c:pt idx="7">
                  <c:v>8436</c:v>
                </c:pt>
                <c:pt idx="9">
                  <c:v>22956</c:v>
                </c:pt>
                <c:pt idx="10">
                  <c:v>2556</c:v>
                </c:pt>
                <c:pt idx="11">
                  <c:v>4996</c:v>
                </c:pt>
                <c:pt idx="12">
                  <c:v>5869</c:v>
                </c:pt>
                <c:pt idx="13">
                  <c:v>1652</c:v>
                </c:pt>
                <c:pt idx="14">
                  <c:v>1000</c:v>
                </c:pt>
                <c:pt idx="15">
                  <c:v>1682</c:v>
                </c:pt>
                <c:pt idx="16">
                  <c:v>1534</c:v>
                </c:pt>
                <c:pt idx="17">
                  <c:v>75692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FC-48AF-A156-1DDD4B3B3B7E}"/>
            </c:ext>
          </c:extLst>
        </c:ser>
        <c:ser>
          <c:idx val="1"/>
          <c:order val="1"/>
          <c:tx>
            <c:v>계획</c:v>
          </c:tx>
          <c:cat>
            <c:strRef>
              <c:f>'25'!$D$6:$D$23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BOTTOM</c:v>
                </c:pt>
                <c:pt idx="12">
                  <c:v>BASE</c:v>
                </c:pt>
                <c:pt idx="13">
                  <c:v>STOPPPER</c:v>
                </c:pt>
                <c:pt idx="14">
                  <c:v>LATCH PLATE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'25'!$J$6:$J$23</c:f>
              <c:numCache>
                <c:formatCode>_(* #,##0_);_(* \(#,##0\);_(* "-"_);_(@_)</c:formatCode>
                <c:ptCount val="18"/>
                <c:pt idx="0">
                  <c:v>581</c:v>
                </c:pt>
                <c:pt idx="1">
                  <c:v>26084</c:v>
                </c:pt>
                <c:pt idx="2">
                  <c:v>2213</c:v>
                </c:pt>
                <c:pt idx="3">
                  <c:v>5235</c:v>
                </c:pt>
                <c:pt idx="4">
                  <c:v>6648</c:v>
                </c:pt>
                <c:pt idx="5">
                  <c:v>15260</c:v>
                </c:pt>
                <c:pt idx="6">
                  <c:v>4563</c:v>
                </c:pt>
                <c:pt idx="7">
                  <c:v>8436</c:v>
                </c:pt>
                <c:pt idx="8">
                  <c:v>275</c:v>
                </c:pt>
                <c:pt idx="9">
                  <c:v>22956</c:v>
                </c:pt>
                <c:pt idx="10">
                  <c:v>2556</c:v>
                </c:pt>
                <c:pt idx="11">
                  <c:v>4996</c:v>
                </c:pt>
                <c:pt idx="12">
                  <c:v>5869</c:v>
                </c:pt>
                <c:pt idx="13">
                  <c:v>1652</c:v>
                </c:pt>
                <c:pt idx="14">
                  <c:v>1000</c:v>
                </c:pt>
                <c:pt idx="15">
                  <c:v>1682</c:v>
                </c:pt>
                <c:pt idx="16">
                  <c:v>1682</c:v>
                </c:pt>
                <c:pt idx="17">
                  <c:v>75692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FC-48AF-A156-1DDD4B3B3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'25'!$AD$6:$AD$23</c:f>
              <c:strCache>
                <c:ptCount val="18"/>
                <c:pt idx="0">
                  <c:v>17%</c:v>
                </c:pt>
                <c:pt idx="1">
                  <c:v>100%</c:v>
                </c:pt>
                <c:pt idx="2">
                  <c:v>42%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83%</c:v>
                </c:pt>
                <c:pt idx="7">
                  <c:v>71%</c:v>
                </c:pt>
                <c:pt idx="8">
                  <c:v>0%</c:v>
                </c:pt>
                <c:pt idx="9">
                  <c:v>100%</c:v>
                </c:pt>
                <c:pt idx="10">
                  <c:v>50%</c:v>
                </c:pt>
                <c:pt idx="11">
                  <c:v>96%</c:v>
                </c:pt>
                <c:pt idx="12">
                  <c:v>100%</c:v>
                </c:pt>
                <c:pt idx="13">
                  <c:v>21%</c:v>
                </c:pt>
                <c:pt idx="14">
                  <c:v>17%</c:v>
                </c:pt>
                <c:pt idx="15">
                  <c:v>21%</c:v>
                </c:pt>
                <c:pt idx="16">
                  <c:v>19%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BOTTOM</c:v>
                </c:pt>
                <c:pt idx="12">
                  <c:v>BASE</c:v>
                </c:pt>
                <c:pt idx="13">
                  <c:v>STOPPPER</c:v>
                </c:pt>
                <c:pt idx="14">
                  <c:v>LATCH PLATE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'25'!$AD$6:$AD$23</c:f>
              <c:numCache>
                <c:formatCode>0%</c:formatCode>
                <c:ptCount val="18"/>
                <c:pt idx="0">
                  <c:v>0.16666666666666666</c:v>
                </c:pt>
                <c:pt idx="1">
                  <c:v>1</c:v>
                </c:pt>
                <c:pt idx="2">
                  <c:v>0.41666666666666669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0.83333333333333337</c:v>
                </c:pt>
                <c:pt idx="7">
                  <c:v>0.70833333333333337</c:v>
                </c:pt>
                <c:pt idx="8">
                  <c:v>0</c:v>
                </c:pt>
                <c:pt idx="9">
                  <c:v>1</c:v>
                </c:pt>
                <c:pt idx="10">
                  <c:v>0.5</c:v>
                </c:pt>
                <c:pt idx="11">
                  <c:v>0.95833333333333337</c:v>
                </c:pt>
                <c:pt idx="12">
                  <c:v>1</c:v>
                </c:pt>
                <c:pt idx="13">
                  <c:v>0.20833333333333334</c:v>
                </c:pt>
                <c:pt idx="14">
                  <c:v>0.16666666666666666</c:v>
                </c:pt>
                <c:pt idx="15">
                  <c:v>0.20833333333333334</c:v>
                </c:pt>
                <c:pt idx="16">
                  <c:v>0.19000198176773683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5-4693-91F7-A43068BAC83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A65-4693-91F7-A43068BAC83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BOTTOM</c:v>
                </c:pt>
                <c:pt idx="12">
                  <c:v>BASE</c:v>
                </c:pt>
                <c:pt idx="13">
                  <c:v>STOPPPER</c:v>
                </c:pt>
                <c:pt idx="14">
                  <c:v>LATCH PLATE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'25'!$AE$6:$AE$23</c:f>
              <c:numCache>
                <c:formatCode>0%</c:formatCode>
                <c:ptCount val="18"/>
                <c:pt idx="0">
                  <c:v>0.57537048046857786</c:v>
                </c:pt>
                <c:pt idx="1">
                  <c:v>0.57537048046857786</c:v>
                </c:pt>
                <c:pt idx="2">
                  <c:v>0.57537048046857786</c:v>
                </c:pt>
                <c:pt idx="3">
                  <c:v>0.57537048046857786</c:v>
                </c:pt>
                <c:pt idx="4">
                  <c:v>0.57537048046857786</c:v>
                </c:pt>
                <c:pt idx="5">
                  <c:v>0.57537048046857786</c:v>
                </c:pt>
                <c:pt idx="6">
                  <c:v>0.57537048046857786</c:v>
                </c:pt>
                <c:pt idx="7">
                  <c:v>0.57537048046857786</c:v>
                </c:pt>
                <c:pt idx="8">
                  <c:v>0.57537048046857786</c:v>
                </c:pt>
                <c:pt idx="9">
                  <c:v>0.57537048046857786</c:v>
                </c:pt>
                <c:pt idx="10">
                  <c:v>0.57537048046857786</c:v>
                </c:pt>
                <c:pt idx="11">
                  <c:v>0.57537048046857786</c:v>
                </c:pt>
                <c:pt idx="12">
                  <c:v>0.57537048046857786</c:v>
                </c:pt>
                <c:pt idx="13">
                  <c:v>0.57537048046857786</c:v>
                </c:pt>
                <c:pt idx="14">
                  <c:v>0.57537048046857786</c:v>
                </c:pt>
                <c:pt idx="15">
                  <c:v>0.57537048046857786</c:v>
                </c:pt>
                <c:pt idx="16">
                  <c:v>0.57537048046857786</c:v>
                </c:pt>
                <c:pt idx="17">
                  <c:v>0.57537048046857786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65-4693-91F7-A43068BAC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E27-412F-9837-54132ADC72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27-412F-9837-54132ADC7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E27-412F-9837-54132ADC723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27-412F-9837-54132ADC7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'26'!$D$6:$D$22</c:f>
              <c:strCache>
                <c:ptCount val="16"/>
                <c:pt idx="0">
                  <c:v>BOTTOM</c:v>
                </c:pt>
                <c:pt idx="1">
                  <c:v>SLIDER</c:v>
                </c:pt>
                <c:pt idx="3">
                  <c:v>BASE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'26'!$L$6:$L$22</c:f>
              <c:numCache>
                <c:formatCode>_(* #,##0_);_(* \(#,##0\);_(* "-"_);_(@_)</c:formatCode>
                <c:ptCount val="17"/>
                <c:pt idx="0">
                  <c:v>6282</c:v>
                </c:pt>
                <c:pt idx="1">
                  <c:v>10612</c:v>
                </c:pt>
                <c:pt idx="2">
                  <c:v>1457</c:v>
                </c:pt>
                <c:pt idx="4">
                  <c:v>4421</c:v>
                </c:pt>
                <c:pt idx="5">
                  <c:v>6637</c:v>
                </c:pt>
                <c:pt idx="7">
                  <c:v>3733</c:v>
                </c:pt>
                <c:pt idx="8">
                  <c:v>13386</c:v>
                </c:pt>
                <c:pt idx="10">
                  <c:v>23032</c:v>
                </c:pt>
                <c:pt idx="12">
                  <c:v>5194</c:v>
                </c:pt>
                <c:pt idx="13">
                  <c:v>5847</c:v>
                </c:pt>
                <c:pt idx="14">
                  <c:v>4498</c:v>
                </c:pt>
                <c:pt idx="15">
                  <c:v>3065</c:v>
                </c:pt>
                <c:pt idx="16">
                  <c:v>70172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F-4897-8B83-85C4B3197B8D}"/>
            </c:ext>
          </c:extLst>
        </c:ser>
        <c:ser>
          <c:idx val="1"/>
          <c:order val="1"/>
          <c:tx>
            <c:v>계획</c:v>
          </c:tx>
          <c:cat>
            <c:strRef>
              <c:f>'26'!$D$6:$D$22</c:f>
              <c:strCache>
                <c:ptCount val="16"/>
                <c:pt idx="0">
                  <c:v>BOTTOM</c:v>
                </c:pt>
                <c:pt idx="1">
                  <c:v>SLIDER</c:v>
                </c:pt>
                <c:pt idx="3">
                  <c:v>BASE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'26'!$J$6:$J$22</c:f>
              <c:numCache>
                <c:formatCode>_(* #,##0_);_(* \(#,##0\);_(* "-"_);_(@_)</c:formatCode>
                <c:ptCount val="17"/>
                <c:pt idx="0">
                  <c:v>6282</c:v>
                </c:pt>
                <c:pt idx="1">
                  <c:v>10612</c:v>
                </c:pt>
                <c:pt idx="2">
                  <c:v>1457</c:v>
                </c:pt>
                <c:pt idx="3">
                  <c:v>2213</c:v>
                </c:pt>
                <c:pt idx="4">
                  <c:v>4421</c:v>
                </c:pt>
                <c:pt idx="5">
                  <c:v>6637</c:v>
                </c:pt>
                <c:pt idx="6">
                  <c:v>15260</c:v>
                </c:pt>
                <c:pt idx="7">
                  <c:v>3733</c:v>
                </c:pt>
                <c:pt idx="8">
                  <c:v>13386</c:v>
                </c:pt>
                <c:pt idx="9">
                  <c:v>275</c:v>
                </c:pt>
                <c:pt idx="10">
                  <c:v>23032</c:v>
                </c:pt>
                <c:pt idx="11">
                  <c:v>2556</c:v>
                </c:pt>
                <c:pt idx="12">
                  <c:v>5194</c:v>
                </c:pt>
                <c:pt idx="13">
                  <c:v>5847</c:v>
                </c:pt>
                <c:pt idx="14">
                  <c:v>4498</c:v>
                </c:pt>
                <c:pt idx="15">
                  <c:v>3065</c:v>
                </c:pt>
                <c:pt idx="16">
                  <c:v>70172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9F-4897-8B83-85C4B3197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'26'!$AD$6:$AD$22</c:f>
              <c:strCache>
                <c:ptCount val="17"/>
                <c:pt idx="0">
                  <c:v>96%</c:v>
                </c:pt>
                <c:pt idx="1">
                  <c:v>42%</c:v>
                </c:pt>
                <c:pt idx="2">
                  <c:v>33%</c:v>
                </c:pt>
                <c:pt idx="3">
                  <c:v>0%</c:v>
                </c:pt>
                <c:pt idx="4">
                  <c:v>83%</c:v>
                </c:pt>
                <c:pt idx="5">
                  <c:v>100%</c:v>
                </c:pt>
                <c:pt idx="6">
                  <c:v>0%</c:v>
                </c:pt>
                <c:pt idx="7">
                  <c:v>75%</c:v>
                </c:pt>
                <c:pt idx="8">
                  <c:v>100%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96%</c:v>
                </c:pt>
                <c:pt idx="15">
                  <c:v>75%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BOTTOM</c:v>
                </c:pt>
                <c:pt idx="1">
                  <c:v>SLIDER</c:v>
                </c:pt>
                <c:pt idx="3">
                  <c:v>BASE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'26'!$AD$6:$AD$22</c:f>
              <c:numCache>
                <c:formatCode>0%</c:formatCode>
                <c:ptCount val="17"/>
                <c:pt idx="0">
                  <c:v>0.95833333333333337</c:v>
                </c:pt>
                <c:pt idx="1">
                  <c:v>0.41666666666666669</c:v>
                </c:pt>
                <c:pt idx="2">
                  <c:v>0.33333333333333331</c:v>
                </c:pt>
                <c:pt idx="3">
                  <c:v>0</c:v>
                </c:pt>
                <c:pt idx="4">
                  <c:v>0.83333333333333337</c:v>
                </c:pt>
                <c:pt idx="5">
                  <c:v>1</c:v>
                </c:pt>
                <c:pt idx="6">
                  <c:v>0</c:v>
                </c:pt>
                <c:pt idx="7">
                  <c:v>0.75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0.95833333333333337</c:v>
                </c:pt>
                <c:pt idx="15">
                  <c:v>0.75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9-49B8-8C90-AAEEE889F56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E9-49B8-8C90-AAEEE889F5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BOTTOM</c:v>
                </c:pt>
                <c:pt idx="1">
                  <c:v>SLIDER</c:v>
                </c:pt>
                <c:pt idx="3">
                  <c:v>BASE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'26'!$AE$6:$AE$22</c:f>
              <c:numCache>
                <c:formatCode>0%</c:formatCode>
                <c:ptCount val="17"/>
                <c:pt idx="0">
                  <c:v>0.6470588235294118</c:v>
                </c:pt>
                <c:pt idx="1">
                  <c:v>0.6470588235294118</c:v>
                </c:pt>
                <c:pt idx="2">
                  <c:v>0.6470588235294118</c:v>
                </c:pt>
                <c:pt idx="3">
                  <c:v>0.6470588235294118</c:v>
                </c:pt>
                <c:pt idx="4">
                  <c:v>0.6470588235294118</c:v>
                </c:pt>
                <c:pt idx="5">
                  <c:v>0.6470588235294118</c:v>
                </c:pt>
                <c:pt idx="6">
                  <c:v>0.6470588235294118</c:v>
                </c:pt>
                <c:pt idx="7">
                  <c:v>0.6470588235294118</c:v>
                </c:pt>
                <c:pt idx="8">
                  <c:v>0.6470588235294118</c:v>
                </c:pt>
                <c:pt idx="9">
                  <c:v>0.6470588235294118</c:v>
                </c:pt>
                <c:pt idx="10">
                  <c:v>0.6470588235294118</c:v>
                </c:pt>
                <c:pt idx="11">
                  <c:v>0.6470588235294118</c:v>
                </c:pt>
                <c:pt idx="12">
                  <c:v>0.6470588235294118</c:v>
                </c:pt>
                <c:pt idx="13">
                  <c:v>0.6470588235294118</c:v>
                </c:pt>
                <c:pt idx="14">
                  <c:v>0.6470588235294118</c:v>
                </c:pt>
                <c:pt idx="15">
                  <c:v>0.6470588235294118</c:v>
                </c:pt>
                <c:pt idx="16">
                  <c:v>0.6470588235294118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9-49B8-8C90-AAEEE889F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'26'!$D$6:$D$22</c:f>
              <c:strCache>
                <c:ptCount val="16"/>
                <c:pt idx="0">
                  <c:v>BOTTOM</c:v>
                </c:pt>
                <c:pt idx="1">
                  <c:v>SLIDER</c:v>
                </c:pt>
                <c:pt idx="3">
                  <c:v>BASE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'26'!$L$6:$L$22</c:f>
              <c:numCache>
                <c:formatCode>_(* #,##0_);_(* \(#,##0\);_(* "-"_);_(@_)</c:formatCode>
                <c:ptCount val="17"/>
                <c:pt idx="0">
                  <c:v>6282</c:v>
                </c:pt>
                <c:pt idx="1">
                  <c:v>10612</c:v>
                </c:pt>
                <c:pt idx="2">
                  <c:v>1457</c:v>
                </c:pt>
                <c:pt idx="4">
                  <c:v>4421</c:v>
                </c:pt>
                <c:pt idx="5">
                  <c:v>6637</c:v>
                </c:pt>
                <c:pt idx="7">
                  <c:v>3733</c:v>
                </c:pt>
                <c:pt idx="8">
                  <c:v>13386</c:v>
                </c:pt>
                <c:pt idx="10">
                  <c:v>23032</c:v>
                </c:pt>
                <c:pt idx="12">
                  <c:v>5194</c:v>
                </c:pt>
                <c:pt idx="13">
                  <c:v>5847</c:v>
                </c:pt>
                <c:pt idx="14">
                  <c:v>4498</c:v>
                </c:pt>
                <c:pt idx="15">
                  <c:v>3065</c:v>
                </c:pt>
                <c:pt idx="16">
                  <c:v>70172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F5-4236-861F-7DC7C16D3A72}"/>
            </c:ext>
          </c:extLst>
        </c:ser>
        <c:ser>
          <c:idx val="1"/>
          <c:order val="1"/>
          <c:tx>
            <c:v>계획</c:v>
          </c:tx>
          <c:cat>
            <c:strRef>
              <c:f>'26'!$D$6:$D$22</c:f>
              <c:strCache>
                <c:ptCount val="16"/>
                <c:pt idx="0">
                  <c:v>BOTTOM</c:v>
                </c:pt>
                <c:pt idx="1">
                  <c:v>SLIDER</c:v>
                </c:pt>
                <c:pt idx="3">
                  <c:v>BASE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'26'!$J$6:$J$22</c:f>
              <c:numCache>
                <c:formatCode>_(* #,##0_);_(* \(#,##0\);_(* "-"_);_(@_)</c:formatCode>
                <c:ptCount val="17"/>
                <c:pt idx="0">
                  <c:v>6282</c:v>
                </c:pt>
                <c:pt idx="1">
                  <c:v>10612</c:v>
                </c:pt>
                <c:pt idx="2">
                  <c:v>1457</c:v>
                </c:pt>
                <c:pt idx="3">
                  <c:v>2213</c:v>
                </c:pt>
                <c:pt idx="4">
                  <c:v>4421</c:v>
                </c:pt>
                <c:pt idx="5">
                  <c:v>6637</c:v>
                </c:pt>
                <c:pt idx="6">
                  <c:v>15260</c:v>
                </c:pt>
                <c:pt idx="7">
                  <c:v>3733</c:v>
                </c:pt>
                <c:pt idx="8">
                  <c:v>13386</c:v>
                </c:pt>
                <c:pt idx="9">
                  <c:v>275</c:v>
                </c:pt>
                <c:pt idx="10">
                  <c:v>23032</c:v>
                </c:pt>
                <c:pt idx="11">
                  <c:v>2556</c:v>
                </c:pt>
                <c:pt idx="12">
                  <c:v>5194</c:v>
                </c:pt>
                <c:pt idx="13">
                  <c:v>5847</c:v>
                </c:pt>
                <c:pt idx="14">
                  <c:v>4498</c:v>
                </c:pt>
                <c:pt idx="15">
                  <c:v>3065</c:v>
                </c:pt>
                <c:pt idx="16">
                  <c:v>70172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F5-4236-861F-7DC7C16D3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'26'!$AD$6:$AD$22</c:f>
              <c:strCache>
                <c:ptCount val="17"/>
                <c:pt idx="0">
                  <c:v>96%</c:v>
                </c:pt>
                <c:pt idx="1">
                  <c:v>42%</c:v>
                </c:pt>
                <c:pt idx="2">
                  <c:v>33%</c:v>
                </c:pt>
                <c:pt idx="3">
                  <c:v>0%</c:v>
                </c:pt>
                <c:pt idx="4">
                  <c:v>83%</c:v>
                </c:pt>
                <c:pt idx="5">
                  <c:v>100%</c:v>
                </c:pt>
                <c:pt idx="6">
                  <c:v>0%</c:v>
                </c:pt>
                <c:pt idx="7">
                  <c:v>75%</c:v>
                </c:pt>
                <c:pt idx="8">
                  <c:v>100%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96%</c:v>
                </c:pt>
                <c:pt idx="15">
                  <c:v>75%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BOTTOM</c:v>
                </c:pt>
                <c:pt idx="1">
                  <c:v>SLIDER</c:v>
                </c:pt>
                <c:pt idx="3">
                  <c:v>BASE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'26'!$AD$6:$AD$22</c:f>
              <c:numCache>
                <c:formatCode>0%</c:formatCode>
                <c:ptCount val="17"/>
                <c:pt idx="0">
                  <c:v>0.95833333333333337</c:v>
                </c:pt>
                <c:pt idx="1">
                  <c:v>0.41666666666666669</c:v>
                </c:pt>
                <c:pt idx="2">
                  <c:v>0.33333333333333331</c:v>
                </c:pt>
                <c:pt idx="3">
                  <c:v>0</c:v>
                </c:pt>
                <c:pt idx="4">
                  <c:v>0.83333333333333337</c:v>
                </c:pt>
                <c:pt idx="5">
                  <c:v>1</c:v>
                </c:pt>
                <c:pt idx="6">
                  <c:v>0</c:v>
                </c:pt>
                <c:pt idx="7">
                  <c:v>0.75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0.95833333333333337</c:v>
                </c:pt>
                <c:pt idx="15">
                  <c:v>0.75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AF-4FCC-A85B-7D213881CE4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AF-4FCC-A85B-7D213881CE4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BOTTOM</c:v>
                </c:pt>
                <c:pt idx="1">
                  <c:v>SLIDER</c:v>
                </c:pt>
                <c:pt idx="3">
                  <c:v>BASE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BOTTOM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'26'!$AE$6:$AE$22</c:f>
              <c:numCache>
                <c:formatCode>0%</c:formatCode>
                <c:ptCount val="17"/>
                <c:pt idx="0">
                  <c:v>0.6470588235294118</c:v>
                </c:pt>
                <c:pt idx="1">
                  <c:v>0.6470588235294118</c:v>
                </c:pt>
                <c:pt idx="2">
                  <c:v>0.6470588235294118</c:v>
                </c:pt>
                <c:pt idx="3">
                  <c:v>0.6470588235294118</c:v>
                </c:pt>
                <c:pt idx="4">
                  <c:v>0.6470588235294118</c:v>
                </c:pt>
                <c:pt idx="5">
                  <c:v>0.6470588235294118</c:v>
                </c:pt>
                <c:pt idx="6">
                  <c:v>0.6470588235294118</c:v>
                </c:pt>
                <c:pt idx="7">
                  <c:v>0.6470588235294118</c:v>
                </c:pt>
                <c:pt idx="8">
                  <c:v>0.6470588235294118</c:v>
                </c:pt>
                <c:pt idx="9">
                  <c:v>0.6470588235294118</c:v>
                </c:pt>
                <c:pt idx="10">
                  <c:v>0.6470588235294118</c:v>
                </c:pt>
                <c:pt idx="11">
                  <c:v>0.6470588235294118</c:v>
                </c:pt>
                <c:pt idx="12">
                  <c:v>0.6470588235294118</c:v>
                </c:pt>
                <c:pt idx="13">
                  <c:v>0.6470588235294118</c:v>
                </c:pt>
                <c:pt idx="14">
                  <c:v>0.6470588235294118</c:v>
                </c:pt>
                <c:pt idx="15">
                  <c:v>0.6470588235294118</c:v>
                </c:pt>
                <c:pt idx="16">
                  <c:v>0.6470588235294118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AF-4FCC-A85B-7D213881C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2D1-43BC-973F-BC5FCAD6D8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1-43BC-973F-BC5FCAD6D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2D1-43BC-973F-BC5FCAD6D80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D1-43BC-973F-BC5FCAD6D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BOTTOM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0">
                  <c:v>883</c:v>
                </c:pt>
                <c:pt idx="3">
                  <c:v>1946</c:v>
                </c:pt>
                <c:pt idx="4">
                  <c:v>2872</c:v>
                </c:pt>
                <c:pt idx="6">
                  <c:v>2354</c:v>
                </c:pt>
                <c:pt idx="7">
                  <c:v>2364</c:v>
                </c:pt>
                <c:pt idx="9">
                  <c:v>9380</c:v>
                </c:pt>
                <c:pt idx="10">
                  <c:v>2283</c:v>
                </c:pt>
                <c:pt idx="12">
                  <c:v>792</c:v>
                </c:pt>
                <c:pt idx="13">
                  <c:v>2017</c:v>
                </c:pt>
                <c:pt idx="14">
                  <c:v>2105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A-4EEA-BD08-779EB4048194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BOTTOM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883</c:v>
                </c:pt>
                <c:pt idx="1">
                  <c:v>1457</c:v>
                </c:pt>
                <c:pt idx="2">
                  <c:v>2213</c:v>
                </c:pt>
                <c:pt idx="3">
                  <c:v>1946</c:v>
                </c:pt>
                <c:pt idx="4">
                  <c:v>2872</c:v>
                </c:pt>
                <c:pt idx="5">
                  <c:v>15260</c:v>
                </c:pt>
                <c:pt idx="6">
                  <c:v>2354</c:v>
                </c:pt>
                <c:pt idx="7">
                  <c:v>2364</c:v>
                </c:pt>
                <c:pt idx="8">
                  <c:v>275</c:v>
                </c:pt>
                <c:pt idx="9">
                  <c:v>9380</c:v>
                </c:pt>
                <c:pt idx="10">
                  <c:v>2283</c:v>
                </c:pt>
                <c:pt idx="11">
                  <c:v>5194</c:v>
                </c:pt>
                <c:pt idx="12">
                  <c:v>792</c:v>
                </c:pt>
                <c:pt idx="13">
                  <c:v>2017</c:v>
                </c:pt>
                <c:pt idx="14">
                  <c:v>2105</c:v>
                </c:pt>
                <c:pt idx="15">
                  <c:v>70172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A-4EEA-BD08-779EB4048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25%</c:v>
                </c:pt>
                <c:pt idx="1">
                  <c:v>0%</c:v>
                </c:pt>
                <c:pt idx="2">
                  <c:v>0%</c:v>
                </c:pt>
                <c:pt idx="3">
                  <c:v>38%</c:v>
                </c:pt>
                <c:pt idx="4">
                  <c:v>46%</c:v>
                </c:pt>
                <c:pt idx="5">
                  <c:v>0%</c:v>
                </c:pt>
                <c:pt idx="6">
                  <c:v>46%</c:v>
                </c:pt>
                <c:pt idx="7">
                  <c:v>25%</c:v>
                </c:pt>
                <c:pt idx="8">
                  <c:v>0%</c:v>
                </c:pt>
                <c:pt idx="9">
                  <c:v>33%</c:v>
                </c:pt>
                <c:pt idx="10">
                  <c:v>46%</c:v>
                </c:pt>
                <c:pt idx="11">
                  <c:v>0%</c:v>
                </c:pt>
                <c:pt idx="12">
                  <c:v>21%</c:v>
                </c:pt>
                <c:pt idx="13">
                  <c:v>46%</c:v>
                </c:pt>
                <c:pt idx="14">
                  <c:v>46%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BOTTOM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0.375</c:v>
                </c:pt>
                <c:pt idx="4">
                  <c:v>0.45833333333333331</c:v>
                </c:pt>
                <c:pt idx="5">
                  <c:v>0</c:v>
                </c:pt>
                <c:pt idx="6">
                  <c:v>0.45833333333333331</c:v>
                </c:pt>
                <c:pt idx="7">
                  <c:v>0.25</c:v>
                </c:pt>
                <c:pt idx="8">
                  <c:v>0</c:v>
                </c:pt>
                <c:pt idx="9">
                  <c:v>0.33333333333333331</c:v>
                </c:pt>
                <c:pt idx="10">
                  <c:v>0.45833333333333331</c:v>
                </c:pt>
                <c:pt idx="11">
                  <c:v>0</c:v>
                </c:pt>
                <c:pt idx="12">
                  <c:v>0.20833333333333334</c:v>
                </c:pt>
                <c:pt idx="13">
                  <c:v>0.45833333333333331</c:v>
                </c:pt>
                <c:pt idx="14">
                  <c:v>0.45833333333333331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F2-4E6E-8CF4-ED8B989C6DB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F2-4E6E-8CF4-ED8B989C6D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BOTTOM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0.23177083333333337</c:v>
                </c:pt>
                <c:pt idx="1">
                  <c:v>0.23177083333333337</c:v>
                </c:pt>
                <c:pt idx="2">
                  <c:v>0.23177083333333337</c:v>
                </c:pt>
                <c:pt idx="3">
                  <c:v>0.23177083333333337</c:v>
                </c:pt>
                <c:pt idx="4">
                  <c:v>0.23177083333333337</c:v>
                </c:pt>
                <c:pt idx="5">
                  <c:v>0.23177083333333337</c:v>
                </c:pt>
                <c:pt idx="6">
                  <c:v>0.23177083333333337</c:v>
                </c:pt>
                <c:pt idx="7">
                  <c:v>0.23177083333333337</c:v>
                </c:pt>
                <c:pt idx="8">
                  <c:v>0.23177083333333337</c:v>
                </c:pt>
                <c:pt idx="9">
                  <c:v>0.23177083333333337</c:v>
                </c:pt>
                <c:pt idx="10">
                  <c:v>0.23177083333333337</c:v>
                </c:pt>
                <c:pt idx="11">
                  <c:v>0.23177083333333337</c:v>
                </c:pt>
                <c:pt idx="12">
                  <c:v>0.23177083333333337</c:v>
                </c:pt>
                <c:pt idx="13">
                  <c:v>0.23177083333333337</c:v>
                </c:pt>
                <c:pt idx="14">
                  <c:v>0.23177083333333337</c:v>
                </c:pt>
                <c:pt idx="15">
                  <c:v>0.23177083333333337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F2-4E6E-8CF4-ED8B989C6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BOTTOM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0">
                  <c:v>883</c:v>
                </c:pt>
                <c:pt idx="3">
                  <c:v>1946</c:v>
                </c:pt>
                <c:pt idx="4">
                  <c:v>2872</c:v>
                </c:pt>
                <c:pt idx="6">
                  <c:v>2354</c:v>
                </c:pt>
                <c:pt idx="7">
                  <c:v>2364</c:v>
                </c:pt>
                <c:pt idx="9">
                  <c:v>9380</c:v>
                </c:pt>
                <c:pt idx="10">
                  <c:v>2283</c:v>
                </c:pt>
                <c:pt idx="12">
                  <c:v>792</c:v>
                </c:pt>
                <c:pt idx="13">
                  <c:v>2017</c:v>
                </c:pt>
                <c:pt idx="14">
                  <c:v>2105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F-4D8B-B931-7D5226FC6F5F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BOTTOM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883</c:v>
                </c:pt>
                <c:pt idx="1">
                  <c:v>1457</c:v>
                </c:pt>
                <c:pt idx="2">
                  <c:v>2213</c:v>
                </c:pt>
                <c:pt idx="3">
                  <c:v>1946</c:v>
                </c:pt>
                <c:pt idx="4">
                  <c:v>2872</c:v>
                </c:pt>
                <c:pt idx="5">
                  <c:v>15260</c:v>
                </c:pt>
                <c:pt idx="6">
                  <c:v>2354</c:v>
                </c:pt>
                <c:pt idx="7">
                  <c:v>2364</c:v>
                </c:pt>
                <c:pt idx="8">
                  <c:v>275</c:v>
                </c:pt>
                <c:pt idx="9">
                  <c:v>9380</c:v>
                </c:pt>
                <c:pt idx="10">
                  <c:v>2283</c:v>
                </c:pt>
                <c:pt idx="11">
                  <c:v>5194</c:v>
                </c:pt>
                <c:pt idx="12">
                  <c:v>792</c:v>
                </c:pt>
                <c:pt idx="13">
                  <c:v>2017</c:v>
                </c:pt>
                <c:pt idx="14">
                  <c:v>2105</c:v>
                </c:pt>
                <c:pt idx="15">
                  <c:v>70172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2F-4D8B-B931-7D5226FC6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25%</c:v>
                </c:pt>
                <c:pt idx="1">
                  <c:v>0%</c:v>
                </c:pt>
                <c:pt idx="2">
                  <c:v>0%</c:v>
                </c:pt>
                <c:pt idx="3">
                  <c:v>38%</c:v>
                </c:pt>
                <c:pt idx="4">
                  <c:v>46%</c:v>
                </c:pt>
                <c:pt idx="5">
                  <c:v>0%</c:v>
                </c:pt>
                <c:pt idx="6">
                  <c:v>46%</c:v>
                </c:pt>
                <c:pt idx="7">
                  <c:v>25%</c:v>
                </c:pt>
                <c:pt idx="8">
                  <c:v>0%</c:v>
                </c:pt>
                <c:pt idx="9">
                  <c:v>33%</c:v>
                </c:pt>
                <c:pt idx="10">
                  <c:v>46%</c:v>
                </c:pt>
                <c:pt idx="11">
                  <c:v>0%</c:v>
                </c:pt>
                <c:pt idx="12">
                  <c:v>21%</c:v>
                </c:pt>
                <c:pt idx="13">
                  <c:v>46%</c:v>
                </c:pt>
                <c:pt idx="14">
                  <c:v>46%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BOTTOM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0.375</c:v>
                </c:pt>
                <c:pt idx="4">
                  <c:v>0.45833333333333331</c:v>
                </c:pt>
                <c:pt idx="5">
                  <c:v>0</c:v>
                </c:pt>
                <c:pt idx="6">
                  <c:v>0.45833333333333331</c:v>
                </c:pt>
                <c:pt idx="7">
                  <c:v>0.25</c:v>
                </c:pt>
                <c:pt idx="8">
                  <c:v>0</c:v>
                </c:pt>
                <c:pt idx="9">
                  <c:v>0.33333333333333331</c:v>
                </c:pt>
                <c:pt idx="10">
                  <c:v>0.45833333333333331</c:v>
                </c:pt>
                <c:pt idx="11">
                  <c:v>0</c:v>
                </c:pt>
                <c:pt idx="12">
                  <c:v>0.20833333333333334</c:v>
                </c:pt>
                <c:pt idx="13">
                  <c:v>0.45833333333333331</c:v>
                </c:pt>
                <c:pt idx="14">
                  <c:v>0.45833333333333331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9-411E-A1D3-9BB358A9855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C9-411E-A1D3-9BB358A9855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BOTTOM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0.23177083333333337</c:v>
                </c:pt>
                <c:pt idx="1">
                  <c:v>0.23177083333333337</c:v>
                </c:pt>
                <c:pt idx="2">
                  <c:v>0.23177083333333337</c:v>
                </c:pt>
                <c:pt idx="3">
                  <c:v>0.23177083333333337</c:v>
                </c:pt>
                <c:pt idx="4">
                  <c:v>0.23177083333333337</c:v>
                </c:pt>
                <c:pt idx="5">
                  <c:v>0.23177083333333337</c:v>
                </c:pt>
                <c:pt idx="6">
                  <c:v>0.23177083333333337</c:v>
                </c:pt>
                <c:pt idx="7">
                  <c:v>0.23177083333333337</c:v>
                </c:pt>
                <c:pt idx="8">
                  <c:v>0.23177083333333337</c:v>
                </c:pt>
                <c:pt idx="9">
                  <c:v>0.23177083333333337</c:v>
                </c:pt>
                <c:pt idx="10">
                  <c:v>0.23177083333333337</c:v>
                </c:pt>
                <c:pt idx="11">
                  <c:v>0.23177083333333337</c:v>
                </c:pt>
                <c:pt idx="12">
                  <c:v>0.23177083333333337</c:v>
                </c:pt>
                <c:pt idx="13">
                  <c:v>0.23177083333333337</c:v>
                </c:pt>
                <c:pt idx="14">
                  <c:v>0.23177083333333337</c:v>
                </c:pt>
                <c:pt idx="15">
                  <c:v>0.23177083333333337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C9-411E-A1D3-9BB358A98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E43-4649-BB24-4C18A3A07E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43-4649-BB24-4C18A3A07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E43-4649-BB24-4C18A3A07E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43-4649-BB24-4C18A3A07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02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0.38615612139917693</c:v>
                </c:pt>
                <c:pt idx="1">
                  <c:v>0.43541666666666679</c:v>
                </c:pt>
                <c:pt idx="2">
                  <c:v>0.56018518518518512</c:v>
                </c:pt>
                <c:pt idx="3">
                  <c:v>0.43382352941176472</c:v>
                </c:pt>
                <c:pt idx="4">
                  <c:v>0.52864583333333326</c:v>
                </c:pt>
                <c:pt idx="5">
                  <c:v>0.46078431372549017</c:v>
                </c:pt>
                <c:pt idx="7">
                  <c:v>0.5625</c:v>
                </c:pt>
                <c:pt idx="8">
                  <c:v>0.62239583333333326</c:v>
                </c:pt>
                <c:pt idx="9">
                  <c:v>0.38125000000000003</c:v>
                </c:pt>
                <c:pt idx="14">
                  <c:v>0.51960784313725483</c:v>
                </c:pt>
                <c:pt idx="15">
                  <c:v>0.44117647058823528</c:v>
                </c:pt>
                <c:pt idx="16">
                  <c:v>0.52083333333333337</c:v>
                </c:pt>
                <c:pt idx="17">
                  <c:v>0.52696078431372539</c:v>
                </c:pt>
                <c:pt idx="18">
                  <c:v>0.46813725490196084</c:v>
                </c:pt>
                <c:pt idx="19">
                  <c:v>0.48697916666666663</c:v>
                </c:pt>
                <c:pt idx="21">
                  <c:v>0.5</c:v>
                </c:pt>
                <c:pt idx="22">
                  <c:v>0.48529411764705882</c:v>
                </c:pt>
                <c:pt idx="23">
                  <c:v>0.55787037037037046</c:v>
                </c:pt>
                <c:pt idx="24">
                  <c:v>0.57537048046857786</c:v>
                </c:pt>
                <c:pt idx="25">
                  <c:v>0.6470588235294118</c:v>
                </c:pt>
                <c:pt idx="26">
                  <c:v>0.23177083333333337</c:v>
                </c:pt>
                <c:pt idx="31">
                  <c:v>0.36900774861945995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02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총괄!$A$3:$A$18</c:f>
              <c:strCache>
                <c:ptCount val="16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</c:strCache>
            </c:strRef>
          </c:cat>
          <c:val>
            <c:numRef>
              <c:f>총괄!$AG$3:$AG$18</c:f>
              <c:numCache>
                <c:formatCode>0%</c:formatCode>
                <c:ptCount val="16"/>
                <c:pt idx="0">
                  <c:v>0.38244047619047616</c:v>
                </c:pt>
                <c:pt idx="1">
                  <c:v>0.42857142857142855</c:v>
                </c:pt>
                <c:pt idx="2">
                  <c:v>0.32440476190476192</c:v>
                </c:pt>
                <c:pt idx="3">
                  <c:v>0.68005952380952384</c:v>
                </c:pt>
                <c:pt idx="4">
                  <c:v>0.5178571428571429</c:v>
                </c:pt>
                <c:pt idx="5">
                  <c:v>0.25892857142857145</c:v>
                </c:pt>
                <c:pt idx="6">
                  <c:v>0.51636904761904767</c:v>
                </c:pt>
                <c:pt idx="7">
                  <c:v>0.41517857142857145</c:v>
                </c:pt>
                <c:pt idx="8">
                  <c:v>4.7619047619047616E-2</c:v>
                </c:pt>
                <c:pt idx="9">
                  <c:v>0.16964285714285712</c:v>
                </c:pt>
                <c:pt idx="10">
                  <c:v>0.21428571428571433</c:v>
                </c:pt>
                <c:pt idx="11">
                  <c:v>0.43452380952380948</c:v>
                </c:pt>
                <c:pt idx="12">
                  <c:v>0.45238095238095244</c:v>
                </c:pt>
                <c:pt idx="13">
                  <c:v>0.42708333333333337</c:v>
                </c:pt>
                <c:pt idx="14">
                  <c:v>0.45740995834355674</c:v>
                </c:pt>
                <c:pt idx="15">
                  <c:v>0.65773809523809523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7.xml"/><Relationship Id="rId1" Type="http://schemas.openxmlformats.org/officeDocument/2006/relationships/chart" Target="../charts/chart10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841293B-1161-43AE-B99D-7CE0669B6A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6F8CD9B-3B90-4CC4-9E82-CA01F0590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DE5C9FC-88BF-4FB9-BD86-3B758E396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449443A-1313-4B87-946F-961BB664E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BA6F567-CDB8-4814-9C4B-1028058B8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982CBFE-A137-495E-991F-A820965DC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2852E7E-A55C-464F-B10C-D971B3B95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28</xdr:row>
      <xdr:rowOff>0</xdr:rowOff>
    </xdr:from>
    <xdr:to>
      <xdr:col>12</xdr:col>
      <xdr:colOff>1199028</xdr:colOff>
      <xdr:row>41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244B217-D1DB-4F42-886B-CAF06CADC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29</xdr:col>
      <xdr:colOff>457200</xdr:colOff>
      <xdr:row>41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18FA413-B8E5-4254-9B99-B4610B3C8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EBAAD3C-4A34-4596-AE80-647D4076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28</xdr:row>
      <xdr:rowOff>0</xdr:rowOff>
    </xdr:from>
    <xdr:to>
      <xdr:col>12</xdr:col>
      <xdr:colOff>1199028</xdr:colOff>
      <xdr:row>41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00B1315-3E3A-4385-930E-79210C280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29</xdr:col>
      <xdr:colOff>457200</xdr:colOff>
      <xdr:row>41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F8E9303-1EE4-4262-A830-D973E459E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093AF74-09DB-4FE0-9373-045BDE157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42</xdr:row>
      <xdr:rowOff>13607</xdr:rowOff>
    </xdr:from>
    <xdr:to>
      <xdr:col>29</xdr:col>
      <xdr:colOff>476250</xdr:colOff>
      <xdr:row>50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57C95CA-86E7-45BA-9095-7F649008B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2842852-7D82-4271-81DB-2E07414EB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669850F-0933-4C08-9F0D-D94AC31D0F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360B9F8-1F32-4DF2-8CEF-E5301F93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B19D32F-3C02-45E5-92AB-BC34D80CE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5D9A38D-7362-447B-A4F7-8FB0D5D601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1AE98E4-E361-44E6-8D36-503CBFBE3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FF1B4DC-4F9D-4780-B0E6-373FDAAEA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CE6B3A4-A0D0-46EB-9065-1203BB100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88A6A06-29F8-4BC8-8BE6-2CCE59802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0C3F7C1-A505-4F8A-A67C-0224C6F98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C4CC28C-0671-4086-9B24-5270C6855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43D212D-3C43-4EFB-AD01-B77169588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0A56FD1-E622-4F50-9F77-46EBE6C70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2637C1C-31D1-4F54-8B8B-CE43888AF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3724D3D-3D71-4BA8-BF19-E7E4CA629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F78804F-9147-4B74-B4F2-B0377EE73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A5110F6-5988-4A09-8B05-99AFD13A6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F79A6E2-C09B-431F-AABF-BB35C715B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30340EC-5AFF-437D-BD8C-A82B49860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2EBBC81-8811-427B-BF6D-CD1E19F32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D977A24-4AD8-406E-BEA1-0F6EEDEBEB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EAD346E-6E16-4876-ADC4-04D436192D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8BF76D1-5B21-416B-ADF3-1DCE22C236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EE74180-7388-4D5C-8ACE-AAA5EF08B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05CC6FE-D424-462C-A35E-8348C3CA0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1AEA5DC-ECF2-4F0D-81B3-931CC8602F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34E38E0-9091-4EB0-96E5-9CAC78645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BA9DA39-C96E-4B55-A01C-3217DDC32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E6CCC09-F2C4-4174-B91B-6DD6BD438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FB8CFA8-3DEA-44CD-9D8E-62CAEA94A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1C0A8E4-EEC0-4543-83FA-858E46E9E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612BB4F-56B6-43B5-82E8-C1796751C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6E647D7-5C20-40BC-BA44-027364244B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DE71EBF-9A70-4534-BEB3-E499F8B2E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35AE7BF-819B-4FAB-A3A0-B3D1090CAF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2CA5ED1-EEF6-4ABE-B73F-9E12A7A3C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0DCB2FE-E4A9-46DE-8A1A-03BE992C7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B64320B-E360-4236-807A-32C511683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5C07857-28B3-4733-B4B9-39C5EBF2EF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5ED7669-B361-4782-A671-2523B2AB4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1BF1932-5295-4FA2-AC5A-BAA1C6CC3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4BA4588-BCD8-4558-A4D7-BA1F385C9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28</xdr:row>
      <xdr:rowOff>0</xdr:rowOff>
    </xdr:from>
    <xdr:to>
      <xdr:col>12</xdr:col>
      <xdr:colOff>1199028</xdr:colOff>
      <xdr:row>41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E788CA3-F0D9-453D-BA2F-F18C01A2B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29</xdr:col>
      <xdr:colOff>457200</xdr:colOff>
      <xdr:row>41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55F788A-125F-43EB-9F27-74618CA2F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F0EACD7-D11C-4499-9B6A-53A2E986F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28</xdr:row>
      <xdr:rowOff>0</xdr:rowOff>
    </xdr:from>
    <xdr:to>
      <xdr:col>12</xdr:col>
      <xdr:colOff>1199028</xdr:colOff>
      <xdr:row>41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F416032-BEA7-4B06-93A2-BC8C58F89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29</xdr:col>
      <xdr:colOff>457200</xdr:colOff>
      <xdr:row>41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A4A504A-79F2-4531-9817-049DFC662E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90DBCB9-3DD2-4530-A5EB-E49784D6A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42</xdr:row>
      <xdr:rowOff>13607</xdr:rowOff>
    </xdr:from>
    <xdr:to>
      <xdr:col>29</xdr:col>
      <xdr:colOff>476250</xdr:colOff>
      <xdr:row>50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5B01FAB-2FCB-4ABF-A40E-0ADF72C64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E23A7A2-FE02-4D1D-9FB1-E29AFCA95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FC6525A-45DF-4ACC-BC4A-E27531EFE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6CB87DF-B2E8-4735-958D-6CF7C52DA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B6CD5FD-FB6D-4630-82C9-C5852F0380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62FAB70-2211-4DC5-89E4-C6B6C83DC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91187D1-1D48-46B0-805E-9485F6136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7A101FF-DB56-4D33-8A8F-7EF56B4E7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5BCF23B-2229-405A-A32E-491BB35DB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12720F8-9444-4ACD-9195-376E5823B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06DBCE2-A6CB-4610-8094-A75A80597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6064757-4505-4D73-9853-0D9D83C5A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AED8FDB-2567-4B7F-9C6A-30236240E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3426138-438D-4D55-8D8E-FC74561F1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8D7DADF-2CEF-4F56-B59F-49D9E8532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3A5B0FF-A53D-41D9-B9A4-FF5AD99EF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B23C52A-7D25-4A34-9832-3F73FA4DD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A2B2A31-5814-4A54-8A3D-A269122FE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0F444C0-2229-493B-BC10-A762D7861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7B69DCB-D7B5-4DF4-9F4D-2F207C4BE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81F32A7-87B2-416C-868E-B3E94BB04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86CA8B1-365C-4A71-9EC8-8698464B5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E567C83-5731-4380-A385-E5E0BC62C5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D8F593D-3596-4066-BAFF-FBDF0D7A6C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562CEAE-DEDE-412F-A0C0-C4EF70256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0BACA53-660A-4160-A8C9-79BE34775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EDA9371-2E09-4594-AB34-A06DE79EE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0EF768F-9B7F-483E-A189-F82BCF8C7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6CAFC0C-B18D-4D79-BAD9-ADB8BB369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4C4D1E3-46F4-49CF-88BC-E161C706D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AA45FA2-D81F-463F-BBD1-571B48864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29F86B5-AFA3-4527-98E9-8EE76E7E4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A81F839-C74E-4EA0-81F8-75DFD52E7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1388179-F828-488E-9E00-AA98A634A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ACCADFA-CC1C-441D-A88F-EACE7009F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EA6D8FA-7CA0-413B-ACAC-98F8F5380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DE57231-DE75-47DE-A5F4-DD3584BE22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BF5D285-FE15-4546-9D6B-25428FD17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F76BD92-557F-4AAA-A551-B44B5C59F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10FD353-AC50-41E2-9D40-236CC0C43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8099DE5-3D89-46CF-9556-1603B229BF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13BEA96-F726-478D-8EA3-19F04BC4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6F79C08-2B3F-4AE9-96D2-7D05DC18B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5289E2A-94DA-4244-9AA5-B837813B7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CD1731C-4DF2-4209-B500-E29C6843F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E1DD3CA-025B-458F-8190-9055C821B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AE12C5A-B507-4E07-B398-A0A6F00B5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11BAA36-BF5A-4F96-8C0C-C9D75255E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26BE3EB-4B9B-4EEA-8D70-567106C0A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26AA8DF-8724-4F77-B753-82BBF1727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55CAC15-5F0B-4E94-9A16-CFEE388FA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CAAAA9A-9ACF-41B3-9F0F-107F3D5FF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E79A6F3-63E5-4EF1-8D1C-8A00E0842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2EFCFCB-6247-4A83-B839-8C560D8EB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1CE52F8-AB8A-4F4C-9376-51229223B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32B2A2E-EE46-4F93-9160-EED2D3AEE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7DD0154-4F50-458B-80D8-A06E3DAFD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F01C4AE-49EB-41D9-B6C2-DEF58162C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4A4E531-D8BC-4229-86FD-CB026A0F1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48D79D3-E37B-4CFF-931B-6A2055C59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F2C4035-9147-4ACA-8BE2-5E81F7128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D53F69B-D5E0-4653-98E0-A52563746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2E4EBAE-4E72-4598-983A-5A760C510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3996A7A-73EF-43FF-8B9D-A715236CC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ED2E12E-053A-4A61-8BA0-94F12AAC8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7D24D43-F693-4873-8234-3527D4434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526ED10-804C-4CC2-9EBE-ED0B4C94D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0AEDECF-3E90-4B48-A6E6-583DD057E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57761F7-756D-4E86-95C6-8460BF3A4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1CF64DE-4427-4424-9956-FCC4F6575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338245A-555C-4788-B01B-9420EA80D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661B8D0-6B7B-4650-9F9F-32A501A35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748375A-BFC7-4B49-9ADB-F75FC8AC6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8383E4F-D3AF-4664-AA00-8474D6A32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FAAB9A2-B2A3-4850-8D45-6D8EF0631D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B998D9D-E294-470C-9A97-17C5B08E0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AC1CF96-4239-4F7F-8A31-D11115D10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6960030-4293-4B41-8362-20721D8F3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F1C0ECD-FBC2-43EF-987A-F297F1378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1EC88AA-9512-4137-B5E6-CF3F31ECC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804AB8F-B3D6-4517-A662-52DC6C1B0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1F06AC0-3503-42DE-9BF2-EC275BFF4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F46038E-5677-4813-B859-020204CB0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C6706BB-F846-40B5-8A73-9E5E6D400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5F46C53-890C-4EF3-BDB3-7D87E29898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104775</xdr:rowOff>
    </xdr:from>
    <xdr:to>
      <xdr:col>16</xdr:col>
      <xdr:colOff>66675</xdr:colOff>
      <xdr:row>32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20</xdr:row>
      <xdr:rowOff>123825</xdr:rowOff>
    </xdr:from>
    <xdr:to>
      <xdr:col>32</xdr:col>
      <xdr:colOff>371474</xdr:colOff>
      <xdr:row>32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AB1C-281A-43B0-8E4E-AD52935F70EF}">
  <dimension ref="A1:AF89"/>
  <sheetViews>
    <sheetView view="pageBreakPreview" topLeftCell="A67" zoomScale="70" zoomScaleNormal="72" zoomScaleSheetLayoutView="70" workbookViewId="0">
      <selection activeCell="Y88" sqref="Y88:AD8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160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128" t="s">
        <v>17</v>
      </c>
      <c r="L5" s="128" t="s">
        <v>18</v>
      </c>
      <c r="M5" s="128" t="s">
        <v>19</v>
      </c>
      <c r="N5" s="12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30" customHeight="1">
      <c r="A6" s="96">
        <v>1</v>
      </c>
      <c r="B6" s="11" t="s">
        <v>154</v>
      </c>
      <c r="C6" s="34" t="s">
        <v>112</v>
      </c>
      <c r="D6" s="52" t="s">
        <v>155</v>
      </c>
      <c r="E6" s="53" t="s">
        <v>148</v>
      </c>
      <c r="F6" s="30" t="s">
        <v>132</v>
      </c>
      <c r="G6" s="12">
        <v>1</v>
      </c>
      <c r="H6" s="13">
        <v>24</v>
      </c>
      <c r="I6" s="7">
        <v>360</v>
      </c>
      <c r="J6" s="14">
        <v>500</v>
      </c>
      <c r="K6" s="15">
        <f>L6+500</f>
        <v>500</v>
      </c>
      <c r="L6" s="15"/>
      <c r="M6" s="15">
        <f t="shared" ref="M6:M23" si="0">L6-N6</f>
        <v>0</v>
      </c>
      <c r="N6" s="15">
        <v>0</v>
      </c>
      <c r="O6" s="58" t="str">
        <f t="shared" ref="O6:O24" si="1">IF(L6=0,"0",N6/L6)</f>
        <v>0</v>
      </c>
      <c r="P6" s="39" t="str">
        <f t="shared" ref="P6:P23" si="2">IF(L6=0,"0",(24-Q6))</f>
        <v>0</v>
      </c>
      <c r="Q6" s="40">
        <f t="shared" ref="Q6:Q23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3" si="4">IF(J6=0,"0",(L6/J6))</f>
        <v>0</v>
      </c>
      <c r="AC6" s="9">
        <f t="shared" ref="AC6:AC23" si="5">IF(P6=0,"0",(P6/24))</f>
        <v>0</v>
      </c>
      <c r="AD6" s="10">
        <f t="shared" ref="AD6:AD23" si="6">AC6*AB6*(1-O6)</f>
        <v>0</v>
      </c>
      <c r="AE6" s="36">
        <f t="shared" ref="AE6:AE20" si="7">$AD$24</f>
        <v>0.38615612139917693</v>
      </c>
      <c r="AF6" s="84">
        <f t="shared" ref="AF6:AF23" si="8">A6</f>
        <v>1</v>
      </c>
    </row>
    <row r="7" spans="1:32" ht="27" customHeight="1">
      <c r="A7" s="112">
        <v>2</v>
      </c>
      <c r="B7" s="11" t="s">
        <v>57</v>
      </c>
      <c r="C7" s="34" t="s">
        <v>156</v>
      </c>
      <c r="D7" s="52" t="s">
        <v>162</v>
      </c>
      <c r="E7" s="53" t="s">
        <v>158</v>
      </c>
      <c r="F7" s="12">
        <v>8301</v>
      </c>
      <c r="G7" s="12">
        <v>1</v>
      </c>
      <c r="H7" s="13">
        <v>24</v>
      </c>
      <c r="I7" s="31">
        <v>2000</v>
      </c>
      <c r="J7" s="14">
        <v>3268</v>
      </c>
      <c r="K7" s="15">
        <f>L7</f>
        <v>3268</v>
      </c>
      <c r="L7" s="15">
        <f>2403+865</f>
        <v>3268</v>
      </c>
      <c r="M7" s="15">
        <f t="shared" si="0"/>
        <v>3268</v>
      </c>
      <c r="N7" s="15">
        <v>0</v>
      </c>
      <c r="O7" s="58">
        <f t="shared" si="1"/>
        <v>0</v>
      </c>
      <c r="P7" s="39">
        <f t="shared" si="2"/>
        <v>18</v>
      </c>
      <c r="Q7" s="40">
        <f t="shared" si="3"/>
        <v>6</v>
      </c>
      <c r="R7" s="7"/>
      <c r="S7" s="6"/>
      <c r="T7" s="16"/>
      <c r="U7" s="16"/>
      <c r="V7" s="17"/>
      <c r="W7" s="5"/>
      <c r="X7" s="16"/>
      <c r="Y7" s="16"/>
      <c r="Z7" s="16"/>
      <c r="AA7" s="18">
        <v>6</v>
      </c>
      <c r="AB7" s="8">
        <f t="shared" si="4"/>
        <v>1</v>
      </c>
      <c r="AC7" s="9">
        <f t="shared" si="5"/>
        <v>0.75</v>
      </c>
      <c r="AD7" s="10">
        <f t="shared" si="6"/>
        <v>0.75</v>
      </c>
      <c r="AE7" s="36">
        <f t="shared" si="7"/>
        <v>0.38615612139917693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130</v>
      </c>
      <c r="E8" s="53" t="s">
        <v>163</v>
      </c>
      <c r="F8" s="30" t="s">
        <v>131</v>
      </c>
      <c r="G8" s="33">
        <v>2</v>
      </c>
      <c r="H8" s="35">
        <v>24</v>
      </c>
      <c r="I8" s="7">
        <v>3300</v>
      </c>
      <c r="J8" s="5">
        <v>3592</v>
      </c>
      <c r="K8" s="15">
        <f>L8</f>
        <v>3592</v>
      </c>
      <c r="L8" s="15">
        <f>1796*2</f>
        <v>3592</v>
      </c>
      <c r="M8" s="15">
        <f t="shared" si="0"/>
        <v>3592</v>
      </c>
      <c r="N8" s="15">
        <v>0</v>
      </c>
      <c r="O8" s="58">
        <f t="shared" si="1"/>
        <v>0</v>
      </c>
      <c r="P8" s="39">
        <f t="shared" si="2"/>
        <v>9</v>
      </c>
      <c r="Q8" s="40">
        <f t="shared" si="3"/>
        <v>15</v>
      </c>
      <c r="R8" s="7"/>
      <c r="S8" s="6"/>
      <c r="T8" s="16"/>
      <c r="U8" s="16"/>
      <c r="V8" s="17"/>
      <c r="W8" s="5">
        <v>15</v>
      </c>
      <c r="X8" s="16"/>
      <c r="Y8" s="16"/>
      <c r="Z8" s="16"/>
      <c r="AA8" s="18"/>
      <c r="AB8" s="8">
        <f t="shared" si="4"/>
        <v>1</v>
      </c>
      <c r="AC8" s="9">
        <f t="shared" si="5"/>
        <v>0.375</v>
      </c>
      <c r="AD8" s="10">
        <f t="shared" si="6"/>
        <v>0.375</v>
      </c>
      <c r="AE8" s="36">
        <f t="shared" si="7"/>
        <v>0.38615612139917693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134</v>
      </c>
      <c r="F9" s="30" t="s">
        <v>133</v>
      </c>
      <c r="G9" s="12">
        <v>1</v>
      </c>
      <c r="H9" s="13">
        <v>24</v>
      </c>
      <c r="I9" s="7">
        <v>50000</v>
      </c>
      <c r="J9" s="14">
        <v>4441</v>
      </c>
      <c r="K9" s="15">
        <f>L9</f>
        <v>4441</v>
      </c>
      <c r="L9" s="15">
        <f>2742+1699</f>
        <v>4441</v>
      </c>
      <c r="M9" s="15">
        <f t="shared" si="0"/>
        <v>4441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0.38615612139917693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120</v>
      </c>
      <c r="D10" s="52"/>
      <c r="E10" s="53" t="s">
        <v>164</v>
      </c>
      <c r="F10" s="30" t="s">
        <v>165</v>
      </c>
      <c r="G10" s="33">
        <v>2</v>
      </c>
      <c r="H10" s="35">
        <v>24</v>
      </c>
      <c r="I10" s="7">
        <v>600</v>
      </c>
      <c r="J10" s="14">
        <v>780</v>
      </c>
      <c r="K10" s="15">
        <f>L10</f>
        <v>780</v>
      </c>
      <c r="L10" s="15">
        <f>390*2</f>
        <v>780</v>
      </c>
      <c r="M10" s="15">
        <f t="shared" si="0"/>
        <v>780</v>
      </c>
      <c r="N10" s="15">
        <v>0</v>
      </c>
      <c r="O10" s="58">
        <f t="shared" si="1"/>
        <v>0</v>
      </c>
      <c r="P10" s="39">
        <f t="shared" si="2"/>
        <v>3</v>
      </c>
      <c r="Q10" s="40">
        <f t="shared" si="3"/>
        <v>21</v>
      </c>
      <c r="R10" s="7"/>
      <c r="S10" s="6"/>
      <c r="T10" s="16"/>
      <c r="U10" s="16"/>
      <c r="V10" s="17"/>
      <c r="W10" s="5">
        <v>21</v>
      </c>
      <c r="X10" s="16"/>
      <c r="Y10" s="16"/>
      <c r="Z10" s="16"/>
      <c r="AA10" s="18"/>
      <c r="AB10" s="8">
        <f t="shared" si="4"/>
        <v>1</v>
      </c>
      <c r="AC10" s="9">
        <f t="shared" si="5"/>
        <v>0.125</v>
      </c>
      <c r="AD10" s="10">
        <f t="shared" si="6"/>
        <v>0.125</v>
      </c>
      <c r="AE10" s="36">
        <f t="shared" si="7"/>
        <v>0.38615612139917693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/>
      <c r="E11" s="53" t="s">
        <v>152</v>
      </c>
      <c r="F11" s="30" t="s">
        <v>142</v>
      </c>
      <c r="G11" s="33">
        <v>1</v>
      </c>
      <c r="H11" s="35">
        <v>24</v>
      </c>
      <c r="I11" s="7">
        <v>500</v>
      </c>
      <c r="J11" s="14">
        <v>609</v>
      </c>
      <c r="K11" s="15">
        <f>L11+609</f>
        <v>609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0.38615612139917693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144</v>
      </c>
      <c r="F12" s="30" t="s">
        <v>145</v>
      </c>
      <c r="G12" s="12">
        <v>1</v>
      </c>
      <c r="H12" s="13">
        <v>22</v>
      </c>
      <c r="I12" s="31">
        <v>80000</v>
      </c>
      <c r="J12" s="5">
        <v>2806</v>
      </c>
      <c r="K12" s="15">
        <f>L12+4597+5041+5597+5567+5537+3364+5103+4208+3250+4473+4603+3900+3271+5266+5310</f>
        <v>71893</v>
      </c>
      <c r="L12" s="15">
        <f>729+2077</f>
        <v>2806</v>
      </c>
      <c r="M12" s="15">
        <f t="shared" si="0"/>
        <v>2806</v>
      </c>
      <c r="N12" s="15">
        <v>0</v>
      </c>
      <c r="O12" s="58">
        <f t="shared" si="1"/>
        <v>0</v>
      </c>
      <c r="P12" s="39">
        <f t="shared" si="2"/>
        <v>14</v>
      </c>
      <c r="Q12" s="40">
        <f t="shared" si="3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0.58333333333333337</v>
      </c>
      <c r="AD12" s="10">
        <f t="shared" si="6"/>
        <v>0.58333333333333337</v>
      </c>
      <c r="AE12" s="36">
        <f t="shared" si="7"/>
        <v>0.38615612139917693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139</v>
      </c>
      <c r="D13" s="52" t="s">
        <v>166</v>
      </c>
      <c r="E13" s="53" t="s">
        <v>167</v>
      </c>
      <c r="F13" s="30" t="s">
        <v>168</v>
      </c>
      <c r="G13" s="33" t="s">
        <v>169</v>
      </c>
      <c r="H13" s="35">
        <v>24</v>
      </c>
      <c r="I13" s="7">
        <v>9000</v>
      </c>
      <c r="J13" s="14">
        <v>1314</v>
      </c>
      <c r="K13" s="15">
        <f>L13</f>
        <v>1314</v>
      </c>
      <c r="L13" s="15">
        <f>1004+310</f>
        <v>1314</v>
      </c>
      <c r="M13" s="15">
        <f t="shared" si="0"/>
        <v>1314</v>
      </c>
      <c r="N13" s="15">
        <v>0</v>
      </c>
      <c r="O13" s="58">
        <f t="shared" si="1"/>
        <v>0</v>
      </c>
      <c r="P13" s="39">
        <f t="shared" si="2"/>
        <v>9</v>
      </c>
      <c r="Q13" s="40">
        <f t="shared" si="3"/>
        <v>15</v>
      </c>
      <c r="R13" s="7"/>
      <c r="S13" s="6">
        <v>15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0.375</v>
      </c>
      <c r="AD13" s="10">
        <f t="shared" si="6"/>
        <v>0.375</v>
      </c>
      <c r="AE13" s="36">
        <f t="shared" si="7"/>
        <v>0.38615612139917693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147</v>
      </c>
      <c r="G14" s="33">
        <v>1</v>
      </c>
      <c r="H14" s="35">
        <v>50</v>
      </c>
      <c r="I14" s="7">
        <v>300</v>
      </c>
      <c r="J14" s="5">
        <v>452</v>
      </c>
      <c r="K14" s="15">
        <f>L14+452</f>
        <v>452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>
        <v>24</v>
      </c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0.38615612139917693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/>
      <c r="E15" s="53" t="s">
        <v>137</v>
      </c>
      <c r="F15" s="12" t="s">
        <v>128</v>
      </c>
      <c r="G15" s="12">
        <v>1</v>
      </c>
      <c r="H15" s="13">
        <v>24</v>
      </c>
      <c r="I15" s="31">
        <v>2000</v>
      </c>
      <c r="J15" s="14">
        <v>4493</v>
      </c>
      <c r="K15" s="15">
        <f>L15+3470+4493</f>
        <v>7963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0.38615612139917693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139</v>
      </c>
      <c r="D16" s="52" t="s">
        <v>115</v>
      </c>
      <c r="E16" s="53" t="s">
        <v>143</v>
      </c>
      <c r="F16" s="30" t="s">
        <v>129</v>
      </c>
      <c r="G16" s="12">
        <v>1</v>
      </c>
      <c r="H16" s="13">
        <v>24</v>
      </c>
      <c r="I16" s="7">
        <v>1000</v>
      </c>
      <c r="J16" s="14">
        <v>670</v>
      </c>
      <c r="K16" s="15">
        <f>L16+610</f>
        <v>1280</v>
      </c>
      <c r="L16" s="15">
        <v>670</v>
      </c>
      <c r="M16" s="15">
        <f t="shared" si="0"/>
        <v>670</v>
      </c>
      <c r="N16" s="15">
        <v>0</v>
      </c>
      <c r="O16" s="58">
        <f t="shared" si="1"/>
        <v>0</v>
      </c>
      <c r="P16" s="39">
        <f t="shared" si="2"/>
        <v>5</v>
      </c>
      <c r="Q16" s="40">
        <f t="shared" si="3"/>
        <v>19</v>
      </c>
      <c r="R16" s="7"/>
      <c r="S16" s="6">
        <v>19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0.20833333333333334</v>
      </c>
      <c r="AD16" s="10">
        <f t="shared" si="6"/>
        <v>0.20833333333333334</v>
      </c>
      <c r="AE16" s="36">
        <f t="shared" si="7"/>
        <v>0.38615612139917693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159</v>
      </c>
      <c r="D17" s="52" t="s">
        <v>170</v>
      </c>
      <c r="E17" s="53" t="s">
        <v>171</v>
      </c>
      <c r="F17" s="30" t="s">
        <v>172</v>
      </c>
      <c r="G17" s="12">
        <v>2</v>
      </c>
      <c r="H17" s="13">
        <v>24</v>
      </c>
      <c r="I17" s="7">
        <v>60000</v>
      </c>
      <c r="J17" s="14">
        <v>11416</v>
      </c>
      <c r="K17" s="15">
        <f>L17</f>
        <v>11416</v>
      </c>
      <c r="L17" s="15">
        <f>2640*2+3068*2</f>
        <v>11416</v>
      </c>
      <c r="M17" s="15">
        <f t="shared" si="0"/>
        <v>11416</v>
      </c>
      <c r="N17" s="15">
        <v>0</v>
      </c>
      <c r="O17" s="58">
        <f t="shared" si="1"/>
        <v>0</v>
      </c>
      <c r="P17" s="39">
        <f t="shared" si="2"/>
        <v>21</v>
      </c>
      <c r="Q17" s="40">
        <f t="shared" si="3"/>
        <v>3</v>
      </c>
      <c r="R17" s="7"/>
      <c r="S17" s="6"/>
      <c r="T17" s="16">
        <v>3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0.875</v>
      </c>
      <c r="AD17" s="10">
        <f t="shared" si="6"/>
        <v>0.875</v>
      </c>
      <c r="AE17" s="36">
        <f t="shared" si="7"/>
        <v>0.38615612139917693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/>
      <c r="E18" s="53" t="s">
        <v>173</v>
      </c>
      <c r="F18" s="30" t="s">
        <v>142</v>
      </c>
      <c r="G18" s="33">
        <v>2</v>
      </c>
      <c r="H18" s="35">
        <v>24</v>
      </c>
      <c r="I18" s="7">
        <v>600</v>
      </c>
      <c r="J18" s="14">
        <v>660</v>
      </c>
      <c r="K18" s="15">
        <f>L18</f>
        <v>660</v>
      </c>
      <c r="L18" s="15">
        <f>330*2</f>
        <v>660</v>
      </c>
      <c r="M18" s="15">
        <f t="shared" si="0"/>
        <v>660</v>
      </c>
      <c r="N18" s="15">
        <v>0</v>
      </c>
      <c r="O18" s="58">
        <f t="shared" si="1"/>
        <v>0</v>
      </c>
      <c r="P18" s="39">
        <f t="shared" si="2"/>
        <v>3</v>
      </c>
      <c r="Q18" s="40">
        <f t="shared" si="3"/>
        <v>21</v>
      </c>
      <c r="R18" s="7"/>
      <c r="S18" s="6"/>
      <c r="T18" s="16"/>
      <c r="U18" s="16"/>
      <c r="V18" s="17"/>
      <c r="W18" s="5">
        <v>21</v>
      </c>
      <c r="X18" s="16"/>
      <c r="Y18" s="16"/>
      <c r="Z18" s="16"/>
      <c r="AA18" s="18"/>
      <c r="AB18" s="8">
        <f t="shared" si="4"/>
        <v>1</v>
      </c>
      <c r="AC18" s="9">
        <f t="shared" si="5"/>
        <v>0.125</v>
      </c>
      <c r="AD18" s="10">
        <f t="shared" si="6"/>
        <v>0.125</v>
      </c>
      <c r="AE18" s="36">
        <f t="shared" si="7"/>
        <v>0.38615612139917693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174</v>
      </c>
      <c r="E19" s="53" t="s">
        <v>175</v>
      </c>
      <c r="F19" s="30" t="s">
        <v>153</v>
      </c>
      <c r="G19" s="33">
        <v>1</v>
      </c>
      <c r="H19" s="35">
        <v>24</v>
      </c>
      <c r="I19" s="7">
        <v>10000</v>
      </c>
      <c r="J19" s="14">
        <v>5105</v>
      </c>
      <c r="K19" s="15">
        <f>L19</f>
        <v>5105</v>
      </c>
      <c r="L19" s="15">
        <f>2325+2780</f>
        <v>5105</v>
      </c>
      <c r="M19" s="15">
        <f t="shared" si="0"/>
        <v>5105</v>
      </c>
      <c r="N19" s="15">
        <v>0</v>
      </c>
      <c r="O19" s="58">
        <f t="shared" si="1"/>
        <v>0</v>
      </c>
      <c r="P19" s="39">
        <f t="shared" si="2"/>
        <v>23</v>
      </c>
      <c r="Q19" s="40">
        <f t="shared" si="3"/>
        <v>1</v>
      </c>
      <c r="R19" s="7"/>
      <c r="S19" s="6"/>
      <c r="T19" s="16">
        <v>1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0.95833333333333337</v>
      </c>
      <c r="AD19" s="10">
        <f t="shared" si="6"/>
        <v>0.95833333333333337</v>
      </c>
      <c r="AE19" s="36">
        <f t="shared" si="7"/>
        <v>0.38615612139917693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120</v>
      </c>
      <c r="D20" s="52"/>
      <c r="E20" s="53" t="s">
        <v>176</v>
      </c>
      <c r="F20" s="30" t="s">
        <v>142</v>
      </c>
      <c r="G20" s="12">
        <v>2</v>
      </c>
      <c r="H20" s="13">
        <v>24</v>
      </c>
      <c r="I20" s="7">
        <v>600</v>
      </c>
      <c r="J20" s="14">
        <v>660</v>
      </c>
      <c r="K20" s="15">
        <f>L20</f>
        <v>660</v>
      </c>
      <c r="L20" s="15">
        <f>330*2</f>
        <v>660</v>
      </c>
      <c r="M20" s="15">
        <f t="shared" si="0"/>
        <v>660</v>
      </c>
      <c r="N20" s="15">
        <v>0</v>
      </c>
      <c r="O20" s="58">
        <f t="shared" si="1"/>
        <v>0</v>
      </c>
      <c r="P20" s="39">
        <f t="shared" si="2"/>
        <v>3</v>
      </c>
      <c r="Q20" s="40">
        <f t="shared" si="3"/>
        <v>21</v>
      </c>
      <c r="R20" s="7"/>
      <c r="S20" s="6"/>
      <c r="T20" s="16"/>
      <c r="U20" s="16"/>
      <c r="V20" s="17"/>
      <c r="W20" s="5">
        <v>21</v>
      </c>
      <c r="X20" s="16"/>
      <c r="Y20" s="16"/>
      <c r="Z20" s="16"/>
      <c r="AA20" s="18"/>
      <c r="AB20" s="8">
        <f t="shared" si="4"/>
        <v>1</v>
      </c>
      <c r="AC20" s="9">
        <f t="shared" si="5"/>
        <v>0.125</v>
      </c>
      <c r="AD20" s="10">
        <f t="shared" si="6"/>
        <v>0.125</v>
      </c>
      <c r="AE20" s="36">
        <f t="shared" si="7"/>
        <v>0.38615612139917693</v>
      </c>
      <c r="AF20" s="84">
        <f t="shared" si="8"/>
        <v>15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178</v>
      </c>
      <c r="E21" s="53" t="s">
        <v>177</v>
      </c>
      <c r="F21" s="30" t="s">
        <v>157</v>
      </c>
      <c r="G21" s="12">
        <v>4</v>
      </c>
      <c r="H21" s="13">
        <v>24</v>
      </c>
      <c r="I21" s="7">
        <v>520</v>
      </c>
      <c r="J21" s="14">
        <v>568</v>
      </c>
      <c r="K21" s="15">
        <f t="shared" ref="K21:K22" si="9">L21</f>
        <v>568</v>
      </c>
      <c r="L21" s="15">
        <f>142*4</f>
        <v>568</v>
      </c>
      <c r="M21" s="15">
        <f t="shared" ref="M21:M22" si="10">L21-N21</f>
        <v>568</v>
      </c>
      <c r="N21" s="15">
        <v>0</v>
      </c>
      <c r="O21" s="58">
        <f t="shared" ref="O21:O22" si="11">IF(L21=0,"0",N21/L21)</f>
        <v>0</v>
      </c>
      <c r="P21" s="39">
        <f t="shared" ref="P21:P22" si="12">IF(L21=0,"0",(24-Q21))</f>
        <v>3</v>
      </c>
      <c r="Q21" s="40">
        <f t="shared" ref="Q21:Q22" si="13">SUM(R21:AA21)</f>
        <v>21</v>
      </c>
      <c r="R21" s="7"/>
      <c r="S21" s="6"/>
      <c r="T21" s="16"/>
      <c r="U21" s="16"/>
      <c r="V21" s="17"/>
      <c r="W21" s="5">
        <v>21</v>
      </c>
      <c r="X21" s="16"/>
      <c r="Y21" s="16"/>
      <c r="Z21" s="16"/>
      <c r="AA21" s="18"/>
      <c r="AB21" s="8">
        <f t="shared" ref="AB21:AB22" si="14">IF(J21=0,"0",(L21/J21))</f>
        <v>1</v>
      </c>
      <c r="AC21" s="9">
        <f t="shared" ref="AC21:AC22" si="15">IF(P21=0,"0",(P21/24))</f>
        <v>0.125</v>
      </c>
      <c r="AD21" s="10">
        <f t="shared" ref="AD21:AD22" si="16">AC21*AB21*(1-O21)</f>
        <v>0.125</v>
      </c>
      <c r="AE21" s="36">
        <f t="shared" ref="AE21:AE22" si="17">$AD$24</f>
        <v>0.38615612139917693</v>
      </c>
      <c r="AF21" s="84">
        <f t="shared" ref="AF21:AF22" si="18">A21</f>
        <v>15</v>
      </c>
    </row>
    <row r="22" spans="1:32" ht="30" customHeight="1">
      <c r="A22" s="112">
        <v>15</v>
      </c>
      <c r="B22" s="11" t="s">
        <v>57</v>
      </c>
      <c r="C22" s="34" t="s">
        <v>112</v>
      </c>
      <c r="D22" s="52" t="s">
        <v>135</v>
      </c>
      <c r="E22" s="53" t="s">
        <v>179</v>
      </c>
      <c r="F22" s="30" t="s">
        <v>157</v>
      </c>
      <c r="G22" s="12">
        <v>2</v>
      </c>
      <c r="H22" s="13">
        <v>24</v>
      </c>
      <c r="I22" s="7">
        <v>3800</v>
      </c>
      <c r="J22" s="14">
        <v>2880</v>
      </c>
      <c r="K22" s="15">
        <f t="shared" si="9"/>
        <v>3880</v>
      </c>
      <c r="L22" s="15">
        <f>1940*2</f>
        <v>3880</v>
      </c>
      <c r="M22" s="15">
        <f t="shared" si="10"/>
        <v>3880</v>
      </c>
      <c r="N22" s="15">
        <v>0</v>
      </c>
      <c r="O22" s="58">
        <f t="shared" si="11"/>
        <v>0</v>
      </c>
      <c r="P22" s="39">
        <f t="shared" si="12"/>
        <v>11</v>
      </c>
      <c r="Q22" s="40">
        <f t="shared" si="13"/>
        <v>13</v>
      </c>
      <c r="R22" s="7"/>
      <c r="S22" s="6"/>
      <c r="T22" s="16"/>
      <c r="U22" s="16"/>
      <c r="V22" s="17"/>
      <c r="W22" s="5">
        <v>13</v>
      </c>
      <c r="X22" s="16"/>
      <c r="Y22" s="16"/>
      <c r="Z22" s="16"/>
      <c r="AA22" s="18"/>
      <c r="AB22" s="8">
        <f t="shared" si="14"/>
        <v>1.3472222222222223</v>
      </c>
      <c r="AC22" s="9">
        <f t="shared" si="15"/>
        <v>0.45833333333333331</v>
      </c>
      <c r="AD22" s="10">
        <f t="shared" si="16"/>
        <v>0.61747685185185186</v>
      </c>
      <c r="AE22" s="36">
        <f t="shared" si="17"/>
        <v>0.38615612139917693</v>
      </c>
      <c r="AF22" s="84">
        <f t="shared" si="1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180</v>
      </c>
      <c r="F23" s="12" t="s">
        <v>114</v>
      </c>
      <c r="G23" s="12">
        <v>3</v>
      </c>
      <c r="H23" s="35">
        <v>20</v>
      </c>
      <c r="I23" s="7">
        <v>200000</v>
      </c>
      <c r="J23" s="14">
        <v>39891</v>
      </c>
      <c r="K23" s="15">
        <f>L23</f>
        <v>39891</v>
      </c>
      <c r="L23" s="15">
        <f>5807*3+7490*3</f>
        <v>39891</v>
      </c>
      <c r="M23" s="15">
        <f t="shared" si="0"/>
        <v>39891</v>
      </c>
      <c r="N23" s="15">
        <v>0</v>
      </c>
      <c r="O23" s="58">
        <f t="shared" si="1"/>
        <v>0</v>
      </c>
      <c r="P23" s="39">
        <f t="shared" si="2"/>
        <v>20</v>
      </c>
      <c r="Q23" s="40">
        <f t="shared" si="3"/>
        <v>4</v>
      </c>
      <c r="R23" s="7"/>
      <c r="S23" s="6"/>
      <c r="T23" s="16">
        <v>4</v>
      </c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0.83333333333333337</v>
      </c>
      <c r="AD23" s="10">
        <f t="shared" si="6"/>
        <v>0.83333333333333337</v>
      </c>
      <c r="AE23" s="36">
        <f>$AD$24</f>
        <v>0.38615612139917693</v>
      </c>
      <c r="AF23" s="84">
        <f t="shared" si="8"/>
        <v>16</v>
      </c>
    </row>
    <row r="24" spans="1:32" ht="31.5" customHeight="1" thickBot="1">
      <c r="A24" s="408" t="s">
        <v>34</v>
      </c>
      <c r="B24" s="409"/>
      <c r="C24" s="409"/>
      <c r="D24" s="409"/>
      <c r="E24" s="409"/>
      <c r="F24" s="409"/>
      <c r="G24" s="409"/>
      <c r="H24" s="410"/>
      <c r="I24" s="22">
        <f t="shared" ref="I24:N24" si="19">SUM(I6:I23)</f>
        <v>424580</v>
      </c>
      <c r="J24" s="19">
        <f t="shared" si="19"/>
        <v>84105</v>
      </c>
      <c r="K24" s="20">
        <f t="shared" si="19"/>
        <v>158272</v>
      </c>
      <c r="L24" s="21">
        <f t="shared" si="19"/>
        <v>79051</v>
      </c>
      <c r="M24" s="20">
        <f t="shared" si="19"/>
        <v>79051</v>
      </c>
      <c r="N24" s="21">
        <f t="shared" si="19"/>
        <v>0</v>
      </c>
      <c r="O24" s="41">
        <f t="shared" si="1"/>
        <v>0</v>
      </c>
      <c r="P24" s="42">
        <f t="shared" ref="P24:AA24" si="20">SUM(P6:P23)</f>
        <v>163</v>
      </c>
      <c r="Q24" s="43">
        <f t="shared" si="20"/>
        <v>269</v>
      </c>
      <c r="R24" s="23">
        <f t="shared" si="20"/>
        <v>24</v>
      </c>
      <c r="S24" s="24">
        <f t="shared" si="20"/>
        <v>47</v>
      </c>
      <c r="T24" s="24">
        <f t="shared" si="20"/>
        <v>8</v>
      </c>
      <c r="U24" s="24">
        <f t="shared" si="20"/>
        <v>0</v>
      </c>
      <c r="V24" s="25">
        <f t="shared" si="20"/>
        <v>0</v>
      </c>
      <c r="W24" s="26">
        <f t="shared" si="20"/>
        <v>160</v>
      </c>
      <c r="X24" s="27">
        <f t="shared" si="20"/>
        <v>0</v>
      </c>
      <c r="Y24" s="27">
        <f t="shared" si="20"/>
        <v>0</v>
      </c>
      <c r="Z24" s="27">
        <f t="shared" si="20"/>
        <v>0</v>
      </c>
      <c r="AA24" s="27">
        <f t="shared" si="20"/>
        <v>30</v>
      </c>
      <c r="AB24" s="28">
        <f>AVERAGE(AB6:AB23)</f>
        <v>0.79706790123456783</v>
      </c>
      <c r="AC24" s="4">
        <f>AVERAGE(AC6:AC23)</f>
        <v>0.37731481481481477</v>
      </c>
      <c r="AD24" s="4">
        <f>AVERAGE(AD6:AD23)</f>
        <v>0.38615612139917693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11" t="s">
        <v>45</v>
      </c>
      <c r="B51" s="411"/>
      <c r="C51" s="411"/>
      <c r="D51" s="411"/>
      <c r="E51" s="411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12" t="s">
        <v>181</v>
      </c>
      <c r="B52" s="413"/>
      <c r="C52" s="413"/>
      <c r="D52" s="413"/>
      <c r="E52" s="413"/>
      <c r="F52" s="413"/>
      <c r="G52" s="413"/>
      <c r="H52" s="413"/>
      <c r="I52" s="413"/>
      <c r="J52" s="413"/>
      <c r="K52" s="413"/>
      <c r="L52" s="413"/>
      <c r="M52" s="414"/>
      <c r="N52" s="415" t="s">
        <v>209</v>
      </c>
      <c r="O52" s="416"/>
      <c r="P52" s="416"/>
      <c r="Q52" s="416"/>
      <c r="R52" s="416"/>
      <c r="S52" s="416"/>
      <c r="T52" s="416"/>
      <c r="U52" s="416"/>
      <c r="V52" s="416"/>
      <c r="W52" s="416"/>
      <c r="X52" s="416"/>
      <c r="Y52" s="416"/>
      <c r="Z52" s="416"/>
      <c r="AA52" s="416"/>
      <c r="AB52" s="416"/>
      <c r="AC52" s="416"/>
      <c r="AD52" s="417"/>
    </row>
    <row r="53" spans="1:32" ht="27" customHeight="1">
      <c r="A53" s="418" t="s">
        <v>2</v>
      </c>
      <c r="B53" s="419"/>
      <c r="C53" s="133" t="s">
        <v>46</v>
      </c>
      <c r="D53" s="133" t="s">
        <v>47</v>
      </c>
      <c r="E53" s="133" t="s">
        <v>107</v>
      </c>
      <c r="F53" s="420" t="s">
        <v>106</v>
      </c>
      <c r="G53" s="421"/>
      <c r="H53" s="421"/>
      <c r="I53" s="421"/>
      <c r="J53" s="421"/>
      <c r="K53" s="421"/>
      <c r="L53" s="421"/>
      <c r="M53" s="422"/>
      <c r="N53" s="67" t="s">
        <v>110</v>
      </c>
      <c r="O53" s="127" t="s">
        <v>46</v>
      </c>
      <c r="P53" s="420" t="s">
        <v>47</v>
      </c>
      <c r="Q53" s="423"/>
      <c r="R53" s="420" t="s">
        <v>38</v>
      </c>
      <c r="S53" s="421"/>
      <c r="T53" s="421"/>
      <c r="U53" s="423"/>
      <c r="V53" s="420" t="s">
        <v>48</v>
      </c>
      <c r="W53" s="421"/>
      <c r="X53" s="421"/>
      <c r="Y53" s="421"/>
      <c r="Z53" s="421"/>
      <c r="AA53" s="421"/>
      <c r="AB53" s="421"/>
      <c r="AC53" s="421"/>
      <c r="AD53" s="422"/>
    </row>
    <row r="54" spans="1:32" ht="27" customHeight="1">
      <c r="A54" s="434" t="s">
        <v>118</v>
      </c>
      <c r="B54" s="435"/>
      <c r="C54" s="130" t="s">
        <v>136</v>
      </c>
      <c r="D54" s="130" t="s">
        <v>115</v>
      </c>
      <c r="E54" s="130" t="s">
        <v>144</v>
      </c>
      <c r="F54" s="436" t="s">
        <v>182</v>
      </c>
      <c r="G54" s="437"/>
      <c r="H54" s="437"/>
      <c r="I54" s="437"/>
      <c r="J54" s="437"/>
      <c r="K54" s="437"/>
      <c r="L54" s="437"/>
      <c r="M54" s="438"/>
      <c r="N54" s="126" t="s">
        <v>139</v>
      </c>
      <c r="O54" s="124" t="s">
        <v>141</v>
      </c>
      <c r="P54" s="439" t="s">
        <v>115</v>
      </c>
      <c r="Q54" s="440"/>
      <c r="R54" s="439" t="s">
        <v>143</v>
      </c>
      <c r="S54" s="441"/>
      <c r="T54" s="441"/>
      <c r="U54" s="440"/>
      <c r="V54" s="442" t="s">
        <v>124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139</v>
      </c>
      <c r="B55" s="435"/>
      <c r="C55" s="130" t="s">
        <v>127</v>
      </c>
      <c r="D55" s="130" t="s">
        <v>170</v>
      </c>
      <c r="E55" s="130" t="s">
        <v>183</v>
      </c>
      <c r="F55" s="436" t="s">
        <v>184</v>
      </c>
      <c r="G55" s="437"/>
      <c r="H55" s="437"/>
      <c r="I55" s="437"/>
      <c r="J55" s="437"/>
      <c r="K55" s="437"/>
      <c r="L55" s="437"/>
      <c r="M55" s="438"/>
      <c r="N55" s="126" t="s">
        <v>112</v>
      </c>
      <c r="O55" s="124" t="s">
        <v>140</v>
      </c>
      <c r="P55" s="439" t="s">
        <v>211</v>
      </c>
      <c r="Q55" s="440"/>
      <c r="R55" s="439" t="s">
        <v>210</v>
      </c>
      <c r="S55" s="441"/>
      <c r="T55" s="441"/>
      <c r="U55" s="440"/>
      <c r="V55" s="442" t="s">
        <v>138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185</v>
      </c>
      <c r="B56" s="435"/>
      <c r="C56" s="130" t="s">
        <v>186</v>
      </c>
      <c r="D56" s="130" t="s">
        <v>187</v>
      </c>
      <c r="E56" s="130" t="s">
        <v>188</v>
      </c>
      <c r="F56" s="436" t="s">
        <v>138</v>
      </c>
      <c r="G56" s="437"/>
      <c r="H56" s="437"/>
      <c r="I56" s="437"/>
      <c r="J56" s="437"/>
      <c r="K56" s="437"/>
      <c r="L56" s="437"/>
      <c r="M56" s="438"/>
      <c r="N56" s="126" t="s">
        <v>112</v>
      </c>
      <c r="O56" s="124" t="s">
        <v>140</v>
      </c>
      <c r="P56" s="439" t="s">
        <v>212</v>
      </c>
      <c r="Q56" s="440"/>
      <c r="R56" s="439" t="s">
        <v>213</v>
      </c>
      <c r="S56" s="441"/>
      <c r="T56" s="441"/>
      <c r="U56" s="440"/>
      <c r="V56" s="442" t="s">
        <v>138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189</v>
      </c>
      <c r="B57" s="435"/>
      <c r="C57" s="130" t="s">
        <v>190</v>
      </c>
      <c r="D57" s="130" t="s">
        <v>191</v>
      </c>
      <c r="E57" s="130" t="s">
        <v>192</v>
      </c>
      <c r="F57" s="436" t="s">
        <v>138</v>
      </c>
      <c r="G57" s="437"/>
      <c r="H57" s="437"/>
      <c r="I57" s="437"/>
      <c r="J57" s="437"/>
      <c r="K57" s="437"/>
      <c r="L57" s="437"/>
      <c r="M57" s="438"/>
      <c r="N57" s="126" t="s">
        <v>112</v>
      </c>
      <c r="O57" s="124" t="s">
        <v>215</v>
      </c>
      <c r="P57" s="439" t="s">
        <v>216</v>
      </c>
      <c r="Q57" s="440"/>
      <c r="R57" s="439" t="s">
        <v>214</v>
      </c>
      <c r="S57" s="441"/>
      <c r="T57" s="441"/>
      <c r="U57" s="440"/>
      <c r="V57" s="442" t="s">
        <v>138</v>
      </c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139</v>
      </c>
      <c r="B58" s="435"/>
      <c r="C58" s="130" t="s">
        <v>193</v>
      </c>
      <c r="D58" s="130" t="s">
        <v>115</v>
      </c>
      <c r="E58" s="130" t="s">
        <v>194</v>
      </c>
      <c r="F58" s="436" t="s">
        <v>195</v>
      </c>
      <c r="G58" s="437"/>
      <c r="H58" s="437"/>
      <c r="I58" s="437"/>
      <c r="J58" s="437"/>
      <c r="K58" s="437"/>
      <c r="L58" s="437"/>
      <c r="M58" s="438"/>
      <c r="N58" s="126" t="s">
        <v>112</v>
      </c>
      <c r="O58" s="124" t="s">
        <v>204</v>
      </c>
      <c r="P58" s="439" t="s">
        <v>115</v>
      </c>
      <c r="Q58" s="440"/>
      <c r="R58" s="439" t="s">
        <v>217</v>
      </c>
      <c r="S58" s="441"/>
      <c r="T58" s="441"/>
      <c r="U58" s="440"/>
      <c r="V58" s="442" t="s">
        <v>138</v>
      </c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 t="s">
        <v>197</v>
      </c>
      <c r="B59" s="435"/>
      <c r="C59" s="130" t="s">
        <v>198</v>
      </c>
      <c r="D59" s="130"/>
      <c r="E59" s="130" t="s">
        <v>196</v>
      </c>
      <c r="F59" s="436" t="s">
        <v>138</v>
      </c>
      <c r="G59" s="437"/>
      <c r="H59" s="437"/>
      <c r="I59" s="437"/>
      <c r="J59" s="437"/>
      <c r="K59" s="437"/>
      <c r="L59" s="437"/>
      <c r="M59" s="438"/>
      <c r="N59" s="126" t="s">
        <v>112</v>
      </c>
      <c r="O59" s="124" t="s">
        <v>219</v>
      </c>
      <c r="P59" s="439" t="s">
        <v>115</v>
      </c>
      <c r="Q59" s="440"/>
      <c r="R59" s="439" t="s">
        <v>218</v>
      </c>
      <c r="S59" s="441"/>
      <c r="T59" s="441"/>
      <c r="U59" s="440"/>
      <c r="V59" s="442" t="s">
        <v>138</v>
      </c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34" t="s">
        <v>189</v>
      </c>
      <c r="B60" s="435"/>
      <c r="C60" s="130" t="s">
        <v>201</v>
      </c>
      <c r="D60" s="130" t="s">
        <v>202</v>
      </c>
      <c r="E60" s="130" t="s">
        <v>199</v>
      </c>
      <c r="F60" s="436" t="s">
        <v>138</v>
      </c>
      <c r="G60" s="437"/>
      <c r="H60" s="437"/>
      <c r="I60" s="437"/>
      <c r="J60" s="437"/>
      <c r="K60" s="437"/>
      <c r="L60" s="437"/>
      <c r="M60" s="438"/>
      <c r="N60" s="126" t="s">
        <v>112</v>
      </c>
      <c r="O60" s="124" t="s">
        <v>200</v>
      </c>
      <c r="P60" s="439" t="s">
        <v>115</v>
      </c>
      <c r="Q60" s="440"/>
      <c r="R60" s="439" t="s">
        <v>220</v>
      </c>
      <c r="S60" s="441"/>
      <c r="T60" s="441"/>
      <c r="U60" s="440"/>
      <c r="V60" s="442" t="s">
        <v>138</v>
      </c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34" t="s">
        <v>203</v>
      </c>
      <c r="B61" s="435"/>
      <c r="C61" s="130" t="s">
        <v>204</v>
      </c>
      <c r="D61" s="130"/>
      <c r="E61" s="130" t="s">
        <v>205</v>
      </c>
      <c r="F61" s="436" t="s">
        <v>206</v>
      </c>
      <c r="G61" s="437"/>
      <c r="H61" s="437"/>
      <c r="I61" s="437"/>
      <c r="J61" s="437"/>
      <c r="K61" s="437"/>
      <c r="L61" s="437"/>
      <c r="M61" s="438"/>
      <c r="N61" s="126" t="s">
        <v>112</v>
      </c>
      <c r="O61" s="124" t="s">
        <v>208</v>
      </c>
      <c r="P61" s="439" t="s">
        <v>211</v>
      </c>
      <c r="Q61" s="440"/>
      <c r="R61" s="435" t="s">
        <v>221</v>
      </c>
      <c r="S61" s="435"/>
      <c r="T61" s="435"/>
      <c r="U61" s="435"/>
      <c r="V61" s="442" t="s">
        <v>138</v>
      </c>
      <c r="W61" s="442"/>
      <c r="X61" s="442"/>
      <c r="Y61" s="442"/>
      <c r="Z61" s="442"/>
      <c r="AA61" s="442"/>
      <c r="AB61" s="442"/>
      <c r="AC61" s="442"/>
      <c r="AD61" s="443"/>
    </row>
    <row r="62" spans="1:32" ht="27" customHeight="1">
      <c r="A62" s="457" t="s">
        <v>203</v>
      </c>
      <c r="B62" s="458"/>
      <c r="C62" s="129" t="s">
        <v>200</v>
      </c>
      <c r="D62" s="129"/>
      <c r="E62" s="130" t="s">
        <v>207</v>
      </c>
      <c r="F62" s="436" t="s">
        <v>206</v>
      </c>
      <c r="G62" s="437"/>
      <c r="H62" s="437"/>
      <c r="I62" s="437"/>
      <c r="J62" s="437"/>
      <c r="K62" s="437"/>
      <c r="L62" s="437"/>
      <c r="M62" s="438"/>
      <c r="N62" s="126"/>
      <c r="O62" s="124"/>
      <c r="P62" s="435"/>
      <c r="Q62" s="435"/>
      <c r="R62" s="435"/>
      <c r="S62" s="435"/>
      <c r="T62" s="435"/>
      <c r="U62" s="435"/>
      <c r="V62" s="442"/>
      <c r="W62" s="442"/>
      <c r="X62" s="442"/>
      <c r="Y62" s="442"/>
      <c r="Z62" s="442"/>
      <c r="AA62" s="442"/>
      <c r="AB62" s="442"/>
      <c r="AC62" s="442"/>
      <c r="AD62" s="443"/>
      <c r="AF62" s="84">
        <f>8*3000</f>
        <v>24000</v>
      </c>
    </row>
    <row r="63" spans="1:32" ht="27" customHeight="1" thickBot="1">
      <c r="A63" s="444" t="s">
        <v>203</v>
      </c>
      <c r="B63" s="445"/>
      <c r="C63" s="131" t="s">
        <v>208</v>
      </c>
      <c r="D63" s="132"/>
      <c r="E63" s="131" t="s">
        <v>176</v>
      </c>
      <c r="F63" s="446" t="s">
        <v>206</v>
      </c>
      <c r="G63" s="447"/>
      <c r="H63" s="447"/>
      <c r="I63" s="447"/>
      <c r="J63" s="447"/>
      <c r="K63" s="447"/>
      <c r="L63" s="447"/>
      <c r="M63" s="448"/>
      <c r="N63" s="111"/>
      <c r="O63" s="103"/>
      <c r="P63" s="449"/>
      <c r="Q63" s="449"/>
      <c r="R63" s="449"/>
      <c r="S63" s="449"/>
      <c r="T63" s="449"/>
      <c r="U63" s="449"/>
      <c r="V63" s="450"/>
      <c r="W63" s="450"/>
      <c r="X63" s="450"/>
      <c r="Y63" s="450"/>
      <c r="Z63" s="450"/>
      <c r="AA63" s="450"/>
      <c r="AB63" s="450"/>
      <c r="AC63" s="450"/>
      <c r="AD63" s="451"/>
      <c r="AF63" s="84">
        <f>16*3000</f>
        <v>48000</v>
      </c>
    </row>
    <row r="64" spans="1:32" ht="27.75" thickBot="1">
      <c r="A64" s="452" t="s">
        <v>222</v>
      </c>
      <c r="B64" s="452"/>
      <c r="C64" s="452"/>
      <c r="D64" s="452"/>
      <c r="E64" s="452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53" t="s">
        <v>111</v>
      </c>
      <c r="B65" s="454"/>
      <c r="C65" s="125" t="s">
        <v>2</v>
      </c>
      <c r="D65" s="125" t="s">
        <v>37</v>
      </c>
      <c r="E65" s="125" t="s">
        <v>3</v>
      </c>
      <c r="F65" s="454" t="s">
        <v>109</v>
      </c>
      <c r="G65" s="454"/>
      <c r="H65" s="454"/>
      <c r="I65" s="454"/>
      <c r="J65" s="454"/>
      <c r="K65" s="454" t="s">
        <v>39</v>
      </c>
      <c r="L65" s="454"/>
      <c r="M65" s="125" t="s">
        <v>40</v>
      </c>
      <c r="N65" s="454" t="s">
        <v>41</v>
      </c>
      <c r="O65" s="454"/>
      <c r="P65" s="455" t="s">
        <v>42</v>
      </c>
      <c r="Q65" s="456"/>
      <c r="R65" s="455" t="s">
        <v>43</v>
      </c>
      <c r="S65" s="459"/>
      <c r="T65" s="459"/>
      <c r="U65" s="459"/>
      <c r="V65" s="459"/>
      <c r="W65" s="459"/>
      <c r="X65" s="459"/>
      <c r="Y65" s="459"/>
      <c r="Z65" s="459"/>
      <c r="AA65" s="456"/>
      <c r="AB65" s="454" t="s">
        <v>44</v>
      </c>
      <c r="AC65" s="454"/>
      <c r="AD65" s="460"/>
      <c r="AF65" s="84">
        <f>SUM(AF62:AF64)</f>
        <v>96000</v>
      </c>
    </row>
    <row r="66" spans="1:32" ht="25.5" customHeight="1">
      <c r="A66" s="461">
        <v>1</v>
      </c>
      <c r="B66" s="462"/>
      <c r="C66" s="104" t="s">
        <v>203</v>
      </c>
      <c r="D66" s="120"/>
      <c r="E66" s="123"/>
      <c r="F66" s="463" t="s">
        <v>205</v>
      </c>
      <c r="G66" s="464"/>
      <c r="H66" s="464"/>
      <c r="I66" s="464"/>
      <c r="J66" s="465"/>
      <c r="K66" s="466" t="s">
        <v>229</v>
      </c>
      <c r="L66" s="466"/>
      <c r="M66" s="51" t="s">
        <v>230</v>
      </c>
      <c r="N66" s="467" t="s">
        <v>204</v>
      </c>
      <c r="O66" s="467"/>
      <c r="P66" s="468">
        <v>100</v>
      </c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2</v>
      </c>
      <c r="B67" s="462"/>
      <c r="C67" s="104" t="s">
        <v>227</v>
      </c>
      <c r="D67" s="120"/>
      <c r="E67" s="123" t="s">
        <v>216</v>
      </c>
      <c r="F67" s="463" t="s">
        <v>223</v>
      </c>
      <c r="G67" s="464"/>
      <c r="H67" s="464"/>
      <c r="I67" s="464"/>
      <c r="J67" s="465"/>
      <c r="K67" s="466" t="s">
        <v>231</v>
      </c>
      <c r="L67" s="466"/>
      <c r="M67" s="51" t="s">
        <v>230</v>
      </c>
      <c r="N67" s="467" t="s">
        <v>224</v>
      </c>
      <c r="O67" s="467"/>
      <c r="P67" s="468">
        <v>100</v>
      </c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3</v>
      </c>
      <c r="B68" s="462"/>
      <c r="C68" s="104" t="s">
        <v>227</v>
      </c>
      <c r="D68" s="120"/>
      <c r="E68" s="123" t="s">
        <v>228</v>
      </c>
      <c r="F68" s="463" t="s">
        <v>225</v>
      </c>
      <c r="G68" s="464"/>
      <c r="H68" s="464"/>
      <c r="I68" s="464"/>
      <c r="J68" s="465"/>
      <c r="K68" s="466" t="s">
        <v>233</v>
      </c>
      <c r="L68" s="466"/>
      <c r="M68" s="51" t="s">
        <v>230</v>
      </c>
      <c r="N68" s="467" t="s">
        <v>200</v>
      </c>
      <c r="O68" s="467"/>
      <c r="P68" s="468">
        <v>100</v>
      </c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4</v>
      </c>
      <c r="B69" s="462"/>
      <c r="C69" s="104" t="s">
        <v>189</v>
      </c>
      <c r="D69" s="120"/>
      <c r="E69" s="123" t="s">
        <v>178</v>
      </c>
      <c r="F69" s="463" t="s">
        <v>226</v>
      </c>
      <c r="G69" s="464"/>
      <c r="H69" s="464"/>
      <c r="I69" s="464"/>
      <c r="J69" s="465"/>
      <c r="K69" s="466" t="s">
        <v>234</v>
      </c>
      <c r="L69" s="466"/>
      <c r="M69" s="51" t="s">
        <v>232</v>
      </c>
      <c r="N69" s="467" t="s">
        <v>208</v>
      </c>
      <c r="O69" s="467"/>
      <c r="P69" s="468">
        <v>100</v>
      </c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5</v>
      </c>
      <c r="B70" s="462"/>
      <c r="C70" s="104" t="s">
        <v>203</v>
      </c>
      <c r="D70" s="120"/>
      <c r="E70" s="123"/>
      <c r="F70" s="463" t="s">
        <v>176</v>
      </c>
      <c r="G70" s="464"/>
      <c r="H70" s="464"/>
      <c r="I70" s="464"/>
      <c r="J70" s="465"/>
      <c r="K70" s="466" t="s">
        <v>235</v>
      </c>
      <c r="L70" s="466"/>
      <c r="M70" s="51" t="s">
        <v>230</v>
      </c>
      <c r="N70" s="467" t="s">
        <v>208</v>
      </c>
      <c r="O70" s="467"/>
      <c r="P70" s="468">
        <v>100</v>
      </c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6</v>
      </c>
      <c r="B71" s="462"/>
      <c r="C71" s="104" t="s">
        <v>203</v>
      </c>
      <c r="D71" s="120"/>
      <c r="E71" s="123"/>
      <c r="F71" s="463" t="s">
        <v>207</v>
      </c>
      <c r="G71" s="464"/>
      <c r="H71" s="464"/>
      <c r="I71" s="464"/>
      <c r="J71" s="465"/>
      <c r="K71" s="466" t="s">
        <v>235</v>
      </c>
      <c r="L71" s="466"/>
      <c r="M71" s="51" t="s">
        <v>230</v>
      </c>
      <c r="N71" s="467" t="s">
        <v>200</v>
      </c>
      <c r="O71" s="467"/>
      <c r="P71" s="468">
        <v>100</v>
      </c>
      <c r="Q71" s="468"/>
      <c r="R71" s="442" t="s">
        <v>236</v>
      </c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7</v>
      </c>
      <c r="B72" s="462"/>
      <c r="C72" s="104"/>
      <c r="D72" s="120"/>
      <c r="E72" s="123"/>
      <c r="F72" s="463"/>
      <c r="G72" s="464"/>
      <c r="H72" s="464"/>
      <c r="I72" s="464"/>
      <c r="J72" s="465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8</v>
      </c>
      <c r="B73" s="462"/>
      <c r="C73" s="104"/>
      <c r="D73" s="120"/>
      <c r="E73" s="123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9</v>
      </c>
      <c r="B74" s="462"/>
      <c r="C74" s="104"/>
      <c r="D74" s="120"/>
      <c r="E74" s="123"/>
      <c r="F74" s="470"/>
      <c r="G74" s="466"/>
      <c r="H74" s="466"/>
      <c r="I74" s="466"/>
      <c r="J74" s="466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5.5" customHeight="1">
      <c r="A75" s="461">
        <v>10</v>
      </c>
      <c r="B75" s="462"/>
      <c r="C75" s="104"/>
      <c r="D75" s="120"/>
      <c r="E75" s="123"/>
      <c r="F75" s="470"/>
      <c r="G75" s="466"/>
      <c r="H75" s="466"/>
      <c r="I75" s="466"/>
      <c r="J75" s="466"/>
      <c r="K75" s="466"/>
      <c r="L75" s="466"/>
      <c r="M75" s="51"/>
      <c r="N75" s="467"/>
      <c r="O75" s="467"/>
      <c r="P75" s="468"/>
      <c r="Q75" s="468"/>
      <c r="R75" s="442"/>
      <c r="S75" s="442"/>
      <c r="T75" s="442"/>
      <c r="U75" s="442"/>
      <c r="V75" s="442"/>
      <c r="W75" s="442"/>
      <c r="X75" s="442"/>
      <c r="Y75" s="442"/>
      <c r="Z75" s="442"/>
      <c r="AA75" s="442"/>
      <c r="AB75" s="466"/>
      <c r="AC75" s="466"/>
      <c r="AD75" s="469"/>
      <c r="AF75" s="50"/>
    </row>
    <row r="76" spans="1:32" ht="26.25" customHeight="1" thickBot="1">
      <c r="A76" s="471" t="s">
        <v>237</v>
      </c>
      <c r="B76" s="471"/>
      <c r="C76" s="471"/>
      <c r="D76" s="471"/>
      <c r="E76" s="471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72" t="s">
        <v>126</v>
      </c>
      <c r="B77" s="473"/>
      <c r="C77" s="122" t="s">
        <v>2</v>
      </c>
      <c r="D77" s="122" t="s">
        <v>37</v>
      </c>
      <c r="E77" s="122" t="s">
        <v>125</v>
      </c>
      <c r="F77" s="473" t="s">
        <v>38</v>
      </c>
      <c r="G77" s="473"/>
      <c r="H77" s="473"/>
      <c r="I77" s="473"/>
      <c r="J77" s="473"/>
      <c r="K77" s="474" t="s">
        <v>58</v>
      </c>
      <c r="L77" s="475"/>
      <c r="M77" s="475"/>
      <c r="N77" s="475"/>
      <c r="O77" s="475"/>
      <c r="P77" s="475"/>
      <c r="Q77" s="475"/>
      <c r="R77" s="475"/>
      <c r="S77" s="476"/>
      <c r="T77" s="473" t="s">
        <v>49</v>
      </c>
      <c r="U77" s="473"/>
      <c r="V77" s="474" t="s">
        <v>50</v>
      </c>
      <c r="W77" s="476"/>
      <c r="X77" s="475" t="s">
        <v>51</v>
      </c>
      <c r="Y77" s="475"/>
      <c r="Z77" s="475"/>
      <c r="AA77" s="475"/>
      <c r="AB77" s="475"/>
      <c r="AC77" s="475"/>
      <c r="AD77" s="477"/>
      <c r="AF77" s="50"/>
    </row>
    <row r="78" spans="1:32" ht="33.75" customHeight="1">
      <c r="A78" s="486">
        <v>1</v>
      </c>
      <c r="B78" s="487"/>
      <c r="C78" s="121" t="s">
        <v>112</v>
      </c>
      <c r="D78" s="121"/>
      <c r="E78" s="65" t="s">
        <v>117</v>
      </c>
      <c r="F78" s="488" t="s">
        <v>116</v>
      </c>
      <c r="G78" s="489"/>
      <c r="H78" s="489"/>
      <c r="I78" s="489"/>
      <c r="J78" s="490"/>
      <c r="K78" s="491" t="s">
        <v>119</v>
      </c>
      <c r="L78" s="492"/>
      <c r="M78" s="492"/>
      <c r="N78" s="492"/>
      <c r="O78" s="492"/>
      <c r="P78" s="492"/>
      <c r="Q78" s="492"/>
      <c r="R78" s="492"/>
      <c r="S78" s="493"/>
      <c r="T78" s="494">
        <v>44118</v>
      </c>
      <c r="U78" s="495"/>
      <c r="V78" s="496"/>
      <c r="W78" s="496"/>
      <c r="X78" s="497"/>
      <c r="Y78" s="497"/>
      <c r="Z78" s="497"/>
      <c r="AA78" s="497"/>
      <c r="AB78" s="497"/>
      <c r="AC78" s="497"/>
      <c r="AD78" s="498"/>
      <c r="AF78" s="50"/>
    </row>
    <row r="79" spans="1:32" ht="30" customHeight="1">
      <c r="A79" s="478">
        <f>A78+1</f>
        <v>2</v>
      </c>
      <c r="B79" s="479"/>
      <c r="C79" s="120"/>
      <c r="D79" s="120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ref="A80:A84" si="21">A79+1</f>
        <v>3</v>
      </c>
      <c r="B80" s="479"/>
      <c r="C80" s="120"/>
      <c r="D80" s="120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21"/>
        <v>4</v>
      </c>
      <c r="B81" s="479"/>
      <c r="C81" s="120"/>
      <c r="D81" s="120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21"/>
        <v>5</v>
      </c>
      <c r="B82" s="479"/>
      <c r="C82" s="120"/>
      <c r="D82" s="120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21"/>
        <v>6</v>
      </c>
      <c r="B83" s="479"/>
      <c r="C83" s="120"/>
      <c r="D83" s="120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78">
        <f t="shared" si="21"/>
        <v>7</v>
      </c>
      <c r="B84" s="479"/>
      <c r="C84" s="120"/>
      <c r="D84" s="120"/>
      <c r="E84" s="32"/>
      <c r="F84" s="479"/>
      <c r="G84" s="479"/>
      <c r="H84" s="479"/>
      <c r="I84" s="479"/>
      <c r="J84" s="479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6" thickBot="1">
      <c r="A85" s="471" t="s">
        <v>238</v>
      </c>
      <c r="B85" s="471"/>
      <c r="C85" s="471"/>
      <c r="D85" s="471"/>
      <c r="E85" s="471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2" t="s">
        <v>111</v>
      </c>
      <c r="B86" s="473"/>
      <c r="C86" s="499" t="s">
        <v>52</v>
      </c>
      <c r="D86" s="499"/>
      <c r="E86" s="499" t="s">
        <v>53</v>
      </c>
      <c r="F86" s="499"/>
      <c r="G86" s="499"/>
      <c r="H86" s="499"/>
      <c r="I86" s="499"/>
      <c r="J86" s="499"/>
      <c r="K86" s="499" t="s">
        <v>54</v>
      </c>
      <c r="L86" s="499"/>
      <c r="M86" s="499"/>
      <c r="N86" s="499"/>
      <c r="O86" s="499"/>
      <c r="P86" s="499"/>
      <c r="Q86" s="499"/>
      <c r="R86" s="499"/>
      <c r="S86" s="499"/>
      <c r="T86" s="499" t="s">
        <v>55</v>
      </c>
      <c r="U86" s="499"/>
      <c r="V86" s="499" t="s">
        <v>56</v>
      </c>
      <c r="W86" s="499"/>
      <c r="X86" s="499"/>
      <c r="Y86" s="499" t="s">
        <v>51</v>
      </c>
      <c r="Z86" s="499"/>
      <c r="AA86" s="499"/>
      <c r="AB86" s="499"/>
      <c r="AC86" s="499"/>
      <c r="AD86" s="500"/>
      <c r="AF86" s="50"/>
    </row>
    <row r="87" spans="1:32" ht="30.75" customHeight="1">
      <c r="A87" s="486">
        <v>1</v>
      </c>
      <c r="B87" s="487"/>
      <c r="C87" s="501">
        <v>9</v>
      </c>
      <c r="D87" s="501"/>
      <c r="E87" s="501" t="s">
        <v>149</v>
      </c>
      <c r="F87" s="501"/>
      <c r="G87" s="501"/>
      <c r="H87" s="501"/>
      <c r="I87" s="501"/>
      <c r="J87" s="501"/>
      <c r="K87" s="501" t="s">
        <v>150</v>
      </c>
      <c r="L87" s="501"/>
      <c r="M87" s="501"/>
      <c r="N87" s="501"/>
      <c r="O87" s="501"/>
      <c r="P87" s="501"/>
      <c r="Q87" s="501"/>
      <c r="R87" s="501"/>
      <c r="S87" s="501"/>
      <c r="T87" s="501" t="s">
        <v>151</v>
      </c>
      <c r="U87" s="501"/>
      <c r="V87" s="502"/>
      <c r="W87" s="502"/>
      <c r="X87" s="502"/>
      <c r="Y87" s="503" t="s">
        <v>239</v>
      </c>
      <c r="Z87" s="503"/>
      <c r="AA87" s="503"/>
      <c r="AB87" s="503"/>
      <c r="AC87" s="503"/>
      <c r="AD87" s="504"/>
      <c r="AF87" s="50"/>
    </row>
    <row r="88" spans="1:32" ht="30.75" customHeight="1">
      <c r="A88" s="478">
        <v>2</v>
      </c>
      <c r="B88" s="479"/>
      <c r="C88" s="512"/>
      <c r="D88" s="512"/>
      <c r="E88" s="512"/>
      <c r="F88" s="512"/>
      <c r="G88" s="512"/>
      <c r="H88" s="512"/>
      <c r="I88" s="512"/>
      <c r="J88" s="512"/>
      <c r="K88" s="512"/>
      <c r="L88" s="512"/>
      <c r="M88" s="512"/>
      <c r="N88" s="512"/>
      <c r="O88" s="512"/>
      <c r="P88" s="512"/>
      <c r="Q88" s="512"/>
      <c r="R88" s="512"/>
      <c r="S88" s="512"/>
      <c r="T88" s="513"/>
      <c r="U88" s="513"/>
      <c r="V88" s="514"/>
      <c r="W88" s="514"/>
      <c r="X88" s="514"/>
      <c r="Y88" s="505"/>
      <c r="Z88" s="505"/>
      <c r="AA88" s="505"/>
      <c r="AB88" s="505"/>
      <c r="AC88" s="505"/>
      <c r="AD88" s="506"/>
      <c r="AF88" s="50"/>
    </row>
    <row r="89" spans="1:32" ht="30.75" customHeight="1" thickBot="1">
      <c r="A89" s="507">
        <v>3</v>
      </c>
      <c r="B89" s="508"/>
      <c r="C89" s="509"/>
      <c r="D89" s="509"/>
      <c r="E89" s="509"/>
      <c r="F89" s="509"/>
      <c r="G89" s="509"/>
      <c r="H89" s="509"/>
      <c r="I89" s="509"/>
      <c r="J89" s="509"/>
      <c r="K89" s="509"/>
      <c r="L89" s="509"/>
      <c r="M89" s="509"/>
      <c r="N89" s="509"/>
      <c r="O89" s="509"/>
      <c r="P89" s="509"/>
      <c r="Q89" s="509"/>
      <c r="R89" s="509"/>
      <c r="S89" s="509"/>
      <c r="T89" s="509"/>
      <c r="U89" s="509"/>
      <c r="V89" s="509"/>
      <c r="W89" s="509"/>
      <c r="X89" s="509"/>
      <c r="Y89" s="510"/>
      <c r="Z89" s="510"/>
      <c r="AA89" s="510"/>
      <c r="AB89" s="510"/>
      <c r="AC89" s="510"/>
      <c r="AD89" s="511"/>
      <c r="AF89" s="50"/>
    </row>
  </sheetData>
  <mergeCells count="232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9A8D-4BF2-4D20-BC29-EB8C27182A28}">
  <dimension ref="A1:AF91"/>
  <sheetViews>
    <sheetView view="pageBreakPreview" zoomScale="70" zoomScaleNormal="72" zoomScaleSheetLayoutView="70" workbookViewId="0">
      <selection activeCell="V90" sqref="V90:X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240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134" t="s">
        <v>17</v>
      </c>
      <c r="L5" s="134" t="s">
        <v>18</v>
      </c>
      <c r="M5" s="134" t="s">
        <v>19</v>
      </c>
      <c r="N5" s="13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155</v>
      </c>
      <c r="E6" s="53" t="s">
        <v>241</v>
      </c>
      <c r="F6" s="30" t="s">
        <v>132</v>
      </c>
      <c r="G6" s="12">
        <v>1</v>
      </c>
      <c r="H6" s="13">
        <v>24</v>
      </c>
      <c r="I6" s="7">
        <v>12800</v>
      </c>
      <c r="J6" s="14">
        <v>3841</v>
      </c>
      <c r="K6" s="15">
        <f>L6</f>
        <v>3841</v>
      </c>
      <c r="L6" s="15">
        <f>775+3066</f>
        <v>3841</v>
      </c>
      <c r="M6" s="15">
        <f t="shared" ref="M6:M25" si="0">L6-N6</f>
        <v>3841</v>
      </c>
      <c r="N6" s="15">
        <v>0</v>
      </c>
      <c r="O6" s="58">
        <f t="shared" ref="O6:O26" si="1">IF(L6=0,"0",N6/L6)</f>
        <v>0</v>
      </c>
      <c r="P6" s="39">
        <f t="shared" ref="P6:P25" si="2">IF(L6=0,"0",(24-Q6))</f>
        <v>18</v>
      </c>
      <c r="Q6" s="40">
        <f t="shared" ref="Q6:Q25" si="3">SUM(R6:AA6)</f>
        <v>6</v>
      </c>
      <c r="R6" s="7"/>
      <c r="S6" s="6"/>
      <c r="T6" s="16"/>
      <c r="U6" s="16"/>
      <c r="V6" s="17"/>
      <c r="W6" s="5"/>
      <c r="X6" s="16"/>
      <c r="Y6" s="16"/>
      <c r="Z6" s="16"/>
      <c r="AA6" s="18">
        <v>6</v>
      </c>
      <c r="AB6" s="8">
        <f t="shared" ref="AB6:AB25" si="4">IF(J6=0,"0",(L6/J6))</f>
        <v>1</v>
      </c>
      <c r="AC6" s="9">
        <f t="shared" ref="AC6:AC25" si="5">IF(P6=0,"0",(P6/24))</f>
        <v>0.75</v>
      </c>
      <c r="AD6" s="10">
        <f t="shared" ref="AD6:AD25" si="6">AC6*AB6*(1-O6)</f>
        <v>0.75</v>
      </c>
      <c r="AE6" s="36">
        <f t="shared" ref="AE6:AE25" si="7">$AD$26</f>
        <v>0.43541666666666679</v>
      </c>
      <c r="AF6" s="84">
        <f t="shared" ref="AF6:AF25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211</v>
      </c>
      <c r="E7" s="53" t="s">
        <v>210</v>
      </c>
      <c r="F7" s="30" t="s">
        <v>242</v>
      </c>
      <c r="G7" s="12">
        <v>8</v>
      </c>
      <c r="H7" s="13">
        <v>24</v>
      </c>
      <c r="I7" s="31">
        <v>700</v>
      </c>
      <c r="J7" s="14">
        <v>800</v>
      </c>
      <c r="K7" s="15">
        <f>L7</f>
        <v>800</v>
      </c>
      <c r="L7" s="15">
        <v>800</v>
      </c>
      <c r="M7" s="15">
        <f t="shared" si="0"/>
        <v>800</v>
      </c>
      <c r="N7" s="15">
        <v>0</v>
      </c>
      <c r="O7" s="58">
        <f t="shared" si="1"/>
        <v>0</v>
      </c>
      <c r="P7" s="39">
        <f t="shared" si="2"/>
        <v>2</v>
      </c>
      <c r="Q7" s="40">
        <f t="shared" si="3"/>
        <v>22</v>
      </c>
      <c r="R7" s="7"/>
      <c r="S7" s="6"/>
      <c r="T7" s="16"/>
      <c r="U7" s="16"/>
      <c r="V7" s="17"/>
      <c r="W7" s="5">
        <v>22</v>
      </c>
      <c r="X7" s="16"/>
      <c r="Y7" s="16"/>
      <c r="Z7" s="16"/>
      <c r="AA7" s="18"/>
      <c r="AB7" s="8">
        <f t="shared" si="4"/>
        <v>1</v>
      </c>
      <c r="AC7" s="9">
        <f t="shared" si="5"/>
        <v>8.3333333333333329E-2</v>
      </c>
      <c r="AD7" s="10">
        <f t="shared" si="6"/>
        <v>8.3333333333333329E-2</v>
      </c>
      <c r="AE7" s="36">
        <f t="shared" si="7"/>
        <v>0.43541666666666679</v>
      </c>
      <c r="AF7" s="84">
        <f t="shared" si="8"/>
        <v>2</v>
      </c>
    </row>
    <row r="8" spans="1:32" ht="27" customHeight="1">
      <c r="A8" s="112">
        <v>2</v>
      </c>
      <c r="B8" s="11" t="s">
        <v>57</v>
      </c>
      <c r="C8" s="34" t="s">
        <v>112</v>
      </c>
      <c r="D8" s="52" t="s">
        <v>212</v>
      </c>
      <c r="E8" s="53" t="s">
        <v>213</v>
      </c>
      <c r="F8" s="30" t="s">
        <v>242</v>
      </c>
      <c r="G8" s="12">
        <v>4</v>
      </c>
      <c r="H8" s="13">
        <v>24</v>
      </c>
      <c r="I8" s="31">
        <v>520</v>
      </c>
      <c r="J8" s="14">
        <v>1200</v>
      </c>
      <c r="K8" s="15">
        <f>L8</f>
        <v>1200</v>
      </c>
      <c r="L8" s="15">
        <f>300*4</f>
        <v>1200</v>
      </c>
      <c r="M8" s="15">
        <f t="shared" ref="M8" si="9">L8-N8</f>
        <v>1200</v>
      </c>
      <c r="N8" s="15">
        <v>0</v>
      </c>
      <c r="O8" s="58">
        <f t="shared" ref="O8" si="10">IF(L8=0,"0",N8/L8)</f>
        <v>0</v>
      </c>
      <c r="P8" s="39">
        <f t="shared" ref="P8" si="11">IF(L8=0,"0",(24-Q8))</f>
        <v>4</v>
      </c>
      <c r="Q8" s="40">
        <f t="shared" ref="Q8" si="12">SUM(R8:AA8)</f>
        <v>20</v>
      </c>
      <c r="R8" s="7"/>
      <c r="S8" s="6"/>
      <c r="T8" s="16"/>
      <c r="U8" s="16"/>
      <c r="V8" s="17"/>
      <c r="W8" s="5">
        <v>20</v>
      </c>
      <c r="X8" s="16"/>
      <c r="Y8" s="16"/>
      <c r="Z8" s="16"/>
      <c r="AA8" s="18"/>
      <c r="AB8" s="8">
        <f t="shared" ref="AB8" si="13">IF(J8=0,"0",(L8/J8))</f>
        <v>1</v>
      </c>
      <c r="AC8" s="9">
        <f t="shared" ref="AC8" si="14">IF(P8=0,"0",(P8/24))</f>
        <v>0.16666666666666666</v>
      </c>
      <c r="AD8" s="10">
        <f t="shared" ref="AD8" si="15">AC8*AB8*(1-O8)</f>
        <v>0.16666666666666666</v>
      </c>
      <c r="AE8" s="36">
        <f t="shared" si="7"/>
        <v>0.43541666666666679</v>
      </c>
      <c r="AF8" s="84">
        <f t="shared" ref="AF8" si="16">A8</f>
        <v>2</v>
      </c>
    </row>
    <row r="9" spans="1:32" ht="27" customHeight="1">
      <c r="A9" s="112">
        <v>2</v>
      </c>
      <c r="B9" s="11" t="s">
        <v>57</v>
      </c>
      <c r="C9" s="34" t="s">
        <v>120</v>
      </c>
      <c r="D9" s="52"/>
      <c r="E9" s="53" t="s">
        <v>243</v>
      </c>
      <c r="F9" s="30" t="s">
        <v>128</v>
      </c>
      <c r="G9" s="12">
        <v>1</v>
      </c>
      <c r="H9" s="13">
        <v>24</v>
      </c>
      <c r="I9" s="31">
        <v>800</v>
      </c>
      <c r="J9" s="14">
        <v>3016</v>
      </c>
      <c r="K9" s="15">
        <f>L9</f>
        <v>3016</v>
      </c>
      <c r="L9" s="15">
        <f>2331+685</f>
        <v>3016</v>
      </c>
      <c r="M9" s="15">
        <f t="shared" ref="M9" si="17">L9-N9</f>
        <v>3016</v>
      </c>
      <c r="N9" s="15">
        <v>0</v>
      </c>
      <c r="O9" s="58">
        <f t="shared" ref="O9" si="18">IF(L9=0,"0",N9/L9)</f>
        <v>0</v>
      </c>
      <c r="P9" s="39">
        <f t="shared" ref="P9" si="19">IF(L9=0,"0",(24-Q9))</f>
        <v>15</v>
      </c>
      <c r="Q9" s="40">
        <f t="shared" ref="Q9" si="20">SUM(R9:AA9)</f>
        <v>9</v>
      </c>
      <c r="R9" s="7"/>
      <c r="S9" s="6"/>
      <c r="T9" s="16">
        <v>9</v>
      </c>
      <c r="U9" s="16"/>
      <c r="V9" s="17"/>
      <c r="W9" s="5"/>
      <c r="X9" s="16"/>
      <c r="Y9" s="16"/>
      <c r="Z9" s="16"/>
      <c r="AA9" s="18"/>
      <c r="AB9" s="8">
        <f t="shared" ref="AB9" si="21">IF(J9=0,"0",(L9/J9))</f>
        <v>1</v>
      </c>
      <c r="AC9" s="9">
        <f t="shared" ref="AC9" si="22">IF(P9=0,"0",(P9/24))</f>
        <v>0.625</v>
      </c>
      <c r="AD9" s="10">
        <f t="shared" ref="AD9" si="23">AC9*AB9*(1-O9)</f>
        <v>0.625</v>
      </c>
      <c r="AE9" s="36">
        <f t="shared" si="7"/>
        <v>0.43541666666666679</v>
      </c>
      <c r="AF9" s="84">
        <f t="shared" ref="AF9" si="24">A9</f>
        <v>2</v>
      </c>
    </row>
    <row r="10" spans="1:32" ht="27" customHeight="1">
      <c r="A10" s="96">
        <v>3</v>
      </c>
      <c r="B10" s="11" t="s">
        <v>57</v>
      </c>
      <c r="C10" s="34" t="s">
        <v>112</v>
      </c>
      <c r="D10" s="52" t="s">
        <v>130</v>
      </c>
      <c r="E10" s="53" t="s">
        <v>163</v>
      </c>
      <c r="F10" s="30" t="s">
        <v>131</v>
      </c>
      <c r="G10" s="33">
        <v>2</v>
      </c>
      <c r="H10" s="35">
        <v>24</v>
      </c>
      <c r="I10" s="7">
        <v>3300</v>
      </c>
      <c r="J10" s="5">
        <v>3592</v>
      </c>
      <c r="K10" s="15">
        <f>L10+3592</f>
        <v>3592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0.43541666666666679</v>
      </c>
      <c r="AF10" s="84">
        <f t="shared" si="8"/>
        <v>3</v>
      </c>
    </row>
    <row r="11" spans="1:32" ht="27" customHeight="1">
      <c r="A11" s="96">
        <v>4</v>
      </c>
      <c r="B11" s="11" t="s">
        <v>57</v>
      </c>
      <c r="C11" s="34" t="s">
        <v>118</v>
      </c>
      <c r="D11" s="52" t="s">
        <v>135</v>
      </c>
      <c r="E11" s="53" t="s">
        <v>134</v>
      </c>
      <c r="F11" s="30" t="s">
        <v>133</v>
      </c>
      <c r="G11" s="12">
        <v>1</v>
      </c>
      <c r="H11" s="13">
        <v>24</v>
      </c>
      <c r="I11" s="7">
        <v>50000</v>
      </c>
      <c r="J11" s="14">
        <v>5448</v>
      </c>
      <c r="K11" s="15">
        <f>L11+4441</f>
        <v>9889</v>
      </c>
      <c r="L11" s="15">
        <f>2703+2745</f>
        <v>5448</v>
      </c>
      <c r="M11" s="15">
        <f t="shared" si="0"/>
        <v>5448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0.43541666666666679</v>
      </c>
      <c r="AF11" s="84">
        <f t="shared" si="8"/>
        <v>4</v>
      </c>
    </row>
    <row r="12" spans="1:32" ht="27" customHeight="1">
      <c r="A12" s="96">
        <v>5</v>
      </c>
      <c r="B12" s="11" t="s">
        <v>57</v>
      </c>
      <c r="C12" s="11" t="s">
        <v>112</v>
      </c>
      <c r="D12" s="52" t="s">
        <v>135</v>
      </c>
      <c r="E12" s="53" t="s">
        <v>214</v>
      </c>
      <c r="F12" s="30" t="s">
        <v>244</v>
      </c>
      <c r="G12" s="33">
        <v>4</v>
      </c>
      <c r="H12" s="35">
        <v>24</v>
      </c>
      <c r="I12" s="7">
        <v>520</v>
      </c>
      <c r="J12" s="14">
        <v>644</v>
      </c>
      <c r="K12" s="15">
        <f>L12</f>
        <v>644</v>
      </c>
      <c r="L12" s="15">
        <f>161*4</f>
        <v>644</v>
      </c>
      <c r="M12" s="15">
        <f t="shared" si="0"/>
        <v>644</v>
      </c>
      <c r="N12" s="15">
        <v>0</v>
      </c>
      <c r="O12" s="58">
        <f t="shared" si="1"/>
        <v>0</v>
      </c>
      <c r="P12" s="39">
        <f t="shared" si="2"/>
        <v>2</v>
      </c>
      <c r="Q12" s="40">
        <f t="shared" si="3"/>
        <v>22</v>
      </c>
      <c r="R12" s="7"/>
      <c r="S12" s="6"/>
      <c r="T12" s="16"/>
      <c r="U12" s="16"/>
      <c r="V12" s="17"/>
      <c r="W12" s="5">
        <v>22</v>
      </c>
      <c r="X12" s="16"/>
      <c r="Y12" s="16"/>
      <c r="Z12" s="16"/>
      <c r="AA12" s="18"/>
      <c r="AB12" s="8">
        <f t="shared" si="4"/>
        <v>1</v>
      </c>
      <c r="AC12" s="9">
        <f t="shared" si="5"/>
        <v>8.3333333333333329E-2</v>
      </c>
      <c r="AD12" s="10">
        <f t="shared" si="6"/>
        <v>8.3333333333333329E-2</v>
      </c>
      <c r="AE12" s="36">
        <f t="shared" si="7"/>
        <v>0.43541666666666679</v>
      </c>
      <c r="AF12" s="84">
        <f t="shared" si="8"/>
        <v>5</v>
      </c>
    </row>
    <row r="13" spans="1:32" ht="27" customHeight="1">
      <c r="A13" s="96">
        <v>5</v>
      </c>
      <c r="B13" s="11" t="s">
        <v>57</v>
      </c>
      <c r="C13" s="11" t="s">
        <v>112</v>
      </c>
      <c r="D13" s="52" t="s">
        <v>115</v>
      </c>
      <c r="E13" s="53" t="s">
        <v>217</v>
      </c>
      <c r="F13" s="30" t="s">
        <v>244</v>
      </c>
      <c r="G13" s="33">
        <v>2</v>
      </c>
      <c r="H13" s="35">
        <v>24</v>
      </c>
      <c r="I13" s="7">
        <v>3300</v>
      </c>
      <c r="J13" s="14">
        <v>3786</v>
      </c>
      <c r="K13" s="15">
        <f>L13</f>
        <v>3786</v>
      </c>
      <c r="L13" s="15">
        <f>1893*2</f>
        <v>3786</v>
      </c>
      <c r="M13" s="15">
        <f t="shared" ref="M13" si="25">L13-N13</f>
        <v>3786</v>
      </c>
      <c r="N13" s="15">
        <v>0</v>
      </c>
      <c r="O13" s="58">
        <f t="shared" ref="O13" si="26">IF(L13=0,"0",N13/L13)</f>
        <v>0</v>
      </c>
      <c r="P13" s="39">
        <f t="shared" ref="P13" si="27">IF(L13=0,"0",(24-Q13))</f>
        <v>11</v>
      </c>
      <c r="Q13" s="40">
        <f t="shared" ref="Q13" si="28">SUM(R13:AA13)</f>
        <v>13</v>
      </c>
      <c r="R13" s="7"/>
      <c r="S13" s="6"/>
      <c r="T13" s="16">
        <v>13</v>
      </c>
      <c r="U13" s="16"/>
      <c r="V13" s="17"/>
      <c r="W13" s="5"/>
      <c r="X13" s="16"/>
      <c r="Y13" s="16"/>
      <c r="Z13" s="16"/>
      <c r="AA13" s="18"/>
      <c r="AB13" s="8">
        <f t="shared" ref="AB13" si="29">IF(J13=0,"0",(L13/J13))</f>
        <v>1</v>
      </c>
      <c r="AC13" s="9">
        <f t="shared" ref="AC13" si="30">IF(P13=0,"0",(P13/24))</f>
        <v>0.45833333333333331</v>
      </c>
      <c r="AD13" s="10">
        <f t="shared" ref="AD13" si="31">AC13*AB13*(1-O13)</f>
        <v>0.45833333333333331</v>
      </c>
      <c r="AE13" s="36">
        <f t="shared" si="7"/>
        <v>0.43541666666666679</v>
      </c>
      <c r="AF13" s="84">
        <f t="shared" ref="AF13" si="32">A13</f>
        <v>5</v>
      </c>
    </row>
    <row r="14" spans="1:32" ht="27" customHeight="1">
      <c r="A14" s="96">
        <v>6</v>
      </c>
      <c r="B14" s="11" t="s">
        <v>57</v>
      </c>
      <c r="C14" s="11" t="s">
        <v>120</v>
      </c>
      <c r="D14" s="52"/>
      <c r="E14" s="53" t="s">
        <v>152</v>
      </c>
      <c r="F14" s="30" t="s">
        <v>142</v>
      </c>
      <c r="G14" s="33">
        <v>1</v>
      </c>
      <c r="H14" s="35">
        <v>24</v>
      </c>
      <c r="I14" s="7">
        <v>500</v>
      </c>
      <c r="J14" s="14">
        <v>609</v>
      </c>
      <c r="K14" s="15">
        <f>L14+609</f>
        <v>609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0.43541666666666679</v>
      </c>
      <c r="AF14" s="84">
        <f t="shared" si="8"/>
        <v>6</v>
      </c>
    </row>
    <row r="15" spans="1:32" ht="27" customHeight="1">
      <c r="A15" s="96">
        <v>7</v>
      </c>
      <c r="B15" s="11" t="s">
        <v>57</v>
      </c>
      <c r="C15" s="34" t="s">
        <v>118</v>
      </c>
      <c r="D15" s="52" t="s">
        <v>115</v>
      </c>
      <c r="E15" s="53" t="s">
        <v>144</v>
      </c>
      <c r="F15" s="30" t="s">
        <v>145</v>
      </c>
      <c r="G15" s="12">
        <v>1</v>
      </c>
      <c r="H15" s="13">
        <v>22</v>
      </c>
      <c r="I15" s="31">
        <v>80000</v>
      </c>
      <c r="J15" s="5">
        <v>4497</v>
      </c>
      <c r="K15" s="15">
        <f>L15+4597+5041+5597+5567+5537+3364+5103+4208+3250+4473+4603+3900+3271+5266+5310+2806</f>
        <v>76390</v>
      </c>
      <c r="L15" s="15">
        <f>2730+1767</f>
        <v>4497</v>
      </c>
      <c r="M15" s="15">
        <f t="shared" si="0"/>
        <v>4497</v>
      </c>
      <c r="N15" s="15">
        <v>0</v>
      </c>
      <c r="O15" s="58">
        <f t="shared" si="1"/>
        <v>0</v>
      </c>
      <c r="P15" s="39">
        <f t="shared" si="2"/>
        <v>21</v>
      </c>
      <c r="Q15" s="40">
        <f t="shared" si="3"/>
        <v>3</v>
      </c>
      <c r="R15" s="7"/>
      <c r="S15" s="6">
        <v>3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0.875</v>
      </c>
      <c r="AD15" s="10">
        <f t="shared" si="6"/>
        <v>0.875</v>
      </c>
      <c r="AE15" s="36">
        <f t="shared" si="7"/>
        <v>0.43541666666666679</v>
      </c>
      <c r="AF15" s="84">
        <f t="shared" si="8"/>
        <v>7</v>
      </c>
    </row>
    <row r="16" spans="1:32" ht="27" customHeight="1">
      <c r="A16" s="96">
        <v>8</v>
      </c>
      <c r="B16" s="11" t="s">
        <v>57</v>
      </c>
      <c r="C16" s="11" t="s">
        <v>139</v>
      </c>
      <c r="D16" s="52" t="s">
        <v>166</v>
      </c>
      <c r="E16" s="53" t="s">
        <v>167</v>
      </c>
      <c r="F16" s="30" t="s">
        <v>168</v>
      </c>
      <c r="G16" s="33" t="s">
        <v>169</v>
      </c>
      <c r="H16" s="35">
        <v>24</v>
      </c>
      <c r="I16" s="7">
        <v>9000</v>
      </c>
      <c r="J16" s="14">
        <v>2556</v>
      </c>
      <c r="K16" s="15">
        <f>L16+1314</f>
        <v>3870</v>
      </c>
      <c r="L16" s="15">
        <f>392+1856+308</f>
        <v>2556</v>
      </c>
      <c r="M16" s="15">
        <f t="shared" si="0"/>
        <v>2556</v>
      </c>
      <c r="N16" s="15">
        <v>0</v>
      </c>
      <c r="O16" s="58">
        <f t="shared" si="1"/>
        <v>0</v>
      </c>
      <c r="P16" s="39">
        <f t="shared" si="2"/>
        <v>16</v>
      </c>
      <c r="Q16" s="40">
        <f t="shared" si="3"/>
        <v>8</v>
      </c>
      <c r="R16" s="7"/>
      <c r="S16" s="6">
        <v>8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0.66666666666666663</v>
      </c>
      <c r="AD16" s="10">
        <f t="shared" si="6"/>
        <v>0.66666666666666663</v>
      </c>
      <c r="AE16" s="36">
        <f t="shared" si="7"/>
        <v>0.43541666666666679</v>
      </c>
      <c r="AF16" s="84">
        <f t="shared" si="8"/>
        <v>8</v>
      </c>
    </row>
    <row r="17" spans="1:32" ht="27" customHeight="1">
      <c r="A17" s="105">
        <v>9</v>
      </c>
      <c r="B17" s="11" t="s">
        <v>57</v>
      </c>
      <c r="C17" s="34" t="s">
        <v>112</v>
      </c>
      <c r="D17" s="52" t="s">
        <v>115</v>
      </c>
      <c r="E17" s="53" t="s">
        <v>218</v>
      </c>
      <c r="F17" s="30" t="s">
        <v>245</v>
      </c>
      <c r="G17" s="33">
        <v>1</v>
      </c>
      <c r="H17" s="35">
        <v>50</v>
      </c>
      <c r="I17" s="7">
        <v>300</v>
      </c>
      <c r="J17" s="5">
        <v>572</v>
      </c>
      <c r="K17" s="15">
        <f>L17</f>
        <v>572</v>
      </c>
      <c r="L17" s="15">
        <f>572</f>
        <v>572</v>
      </c>
      <c r="M17" s="15">
        <f t="shared" si="0"/>
        <v>572</v>
      </c>
      <c r="N17" s="15">
        <v>0</v>
      </c>
      <c r="O17" s="58">
        <f t="shared" si="1"/>
        <v>0</v>
      </c>
      <c r="P17" s="39">
        <f t="shared" si="2"/>
        <v>9</v>
      </c>
      <c r="Q17" s="40">
        <f t="shared" si="3"/>
        <v>15</v>
      </c>
      <c r="R17" s="7"/>
      <c r="S17" s="6"/>
      <c r="T17" s="16"/>
      <c r="U17" s="16"/>
      <c r="V17" s="17"/>
      <c r="W17" s="5">
        <v>15</v>
      </c>
      <c r="X17" s="16"/>
      <c r="Y17" s="16"/>
      <c r="Z17" s="16"/>
      <c r="AA17" s="18"/>
      <c r="AB17" s="8">
        <f t="shared" si="4"/>
        <v>1</v>
      </c>
      <c r="AC17" s="9">
        <f t="shared" si="5"/>
        <v>0.375</v>
      </c>
      <c r="AD17" s="10">
        <f t="shared" si="6"/>
        <v>0.375</v>
      </c>
      <c r="AE17" s="36">
        <f t="shared" si="7"/>
        <v>0.43541666666666679</v>
      </c>
      <c r="AF17" s="84">
        <f t="shared" si="8"/>
        <v>9</v>
      </c>
    </row>
    <row r="18" spans="1:32" ht="27" customHeight="1">
      <c r="A18" s="95">
        <v>10</v>
      </c>
      <c r="B18" s="11" t="s">
        <v>57</v>
      </c>
      <c r="C18" s="34" t="s">
        <v>120</v>
      </c>
      <c r="D18" s="52"/>
      <c r="E18" s="53" t="s">
        <v>137</v>
      </c>
      <c r="F18" s="12" t="s">
        <v>128</v>
      </c>
      <c r="G18" s="12">
        <v>1</v>
      </c>
      <c r="H18" s="13">
        <v>24</v>
      </c>
      <c r="I18" s="31">
        <v>2000</v>
      </c>
      <c r="J18" s="14">
        <v>4493</v>
      </c>
      <c r="K18" s="15">
        <f>L18+3470+4493</f>
        <v>7963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0.43541666666666679</v>
      </c>
      <c r="AF18" s="84">
        <f t="shared" si="8"/>
        <v>10</v>
      </c>
    </row>
    <row r="19" spans="1:32" ht="30" customHeight="1">
      <c r="A19" s="112">
        <v>11</v>
      </c>
      <c r="B19" s="11" t="s">
        <v>57</v>
      </c>
      <c r="C19" s="34" t="s">
        <v>139</v>
      </c>
      <c r="D19" s="52" t="s">
        <v>115</v>
      </c>
      <c r="E19" s="53" t="s">
        <v>143</v>
      </c>
      <c r="F19" s="30" t="s">
        <v>129</v>
      </c>
      <c r="G19" s="12">
        <v>1</v>
      </c>
      <c r="H19" s="13">
        <v>24</v>
      </c>
      <c r="I19" s="7">
        <v>1000</v>
      </c>
      <c r="J19" s="14">
        <v>670</v>
      </c>
      <c r="K19" s="15">
        <f>L19+610+670</f>
        <v>1280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0.43541666666666679</v>
      </c>
      <c r="AF19" s="84">
        <f t="shared" si="8"/>
        <v>11</v>
      </c>
    </row>
    <row r="20" spans="1:32" ht="30" customHeight="1">
      <c r="A20" s="95">
        <v>12</v>
      </c>
      <c r="B20" s="11" t="s">
        <v>57</v>
      </c>
      <c r="C20" s="34" t="s">
        <v>159</v>
      </c>
      <c r="D20" s="52" t="s">
        <v>170</v>
      </c>
      <c r="E20" s="53" t="s">
        <v>171</v>
      </c>
      <c r="F20" s="30" t="s">
        <v>172</v>
      </c>
      <c r="G20" s="12">
        <v>2</v>
      </c>
      <c r="H20" s="13">
        <v>24</v>
      </c>
      <c r="I20" s="7">
        <v>60000</v>
      </c>
      <c r="J20" s="14">
        <v>12356</v>
      </c>
      <c r="K20" s="15">
        <f>L20+11416</f>
        <v>23772</v>
      </c>
      <c r="L20" s="15">
        <f>2544*2+3634*2</f>
        <v>12356</v>
      </c>
      <c r="M20" s="15">
        <f t="shared" si="0"/>
        <v>12356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/>
      <c r="T20" s="16"/>
      <c r="U20" s="16"/>
      <c r="V20" s="17">
        <v>3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0.43541666666666679</v>
      </c>
      <c r="AF20" s="84">
        <f t="shared" si="8"/>
        <v>12</v>
      </c>
    </row>
    <row r="21" spans="1:32" ht="27" customHeight="1">
      <c r="A21" s="96">
        <v>13</v>
      </c>
      <c r="B21" s="11" t="s">
        <v>57</v>
      </c>
      <c r="C21" s="11" t="s">
        <v>112</v>
      </c>
      <c r="D21" s="52" t="s">
        <v>115</v>
      </c>
      <c r="E21" s="53" t="s">
        <v>220</v>
      </c>
      <c r="F21" s="30" t="s">
        <v>244</v>
      </c>
      <c r="G21" s="33">
        <v>1</v>
      </c>
      <c r="H21" s="35">
        <v>24</v>
      </c>
      <c r="I21" s="7">
        <v>400</v>
      </c>
      <c r="J21" s="14">
        <v>500</v>
      </c>
      <c r="K21" s="15">
        <f>L21</f>
        <v>500</v>
      </c>
      <c r="L21" s="15">
        <v>500</v>
      </c>
      <c r="M21" s="15">
        <f t="shared" si="0"/>
        <v>500</v>
      </c>
      <c r="N21" s="15">
        <v>0</v>
      </c>
      <c r="O21" s="58">
        <f t="shared" si="1"/>
        <v>0</v>
      </c>
      <c r="P21" s="39">
        <f t="shared" si="2"/>
        <v>4</v>
      </c>
      <c r="Q21" s="40">
        <f t="shared" si="3"/>
        <v>20</v>
      </c>
      <c r="R21" s="7"/>
      <c r="S21" s="6">
        <v>8</v>
      </c>
      <c r="T21" s="16"/>
      <c r="U21" s="16"/>
      <c r="V21" s="17"/>
      <c r="W21" s="5">
        <v>12</v>
      </c>
      <c r="X21" s="16"/>
      <c r="Y21" s="16"/>
      <c r="Z21" s="16"/>
      <c r="AA21" s="18"/>
      <c r="AB21" s="8">
        <f t="shared" si="4"/>
        <v>1</v>
      </c>
      <c r="AC21" s="9">
        <f t="shared" si="5"/>
        <v>0.16666666666666666</v>
      </c>
      <c r="AD21" s="10">
        <f t="shared" si="6"/>
        <v>0.16666666666666666</v>
      </c>
      <c r="AE21" s="36">
        <f t="shared" si="7"/>
        <v>0.43541666666666679</v>
      </c>
      <c r="AF21" s="84">
        <f t="shared" si="8"/>
        <v>13</v>
      </c>
    </row>
    <row r="22" spans="1:32" ht="27" customHeight="1">
      <c r="A22" s="96">
        <v>13</v>
      </c>
      <c r="B22" s="11" t="s">
        <v>57</v>
      </c>
      <c r="C22" s="11" t="s">
        <v>112</v>
      </c>
      <c r="D22" s="52" t="s">
        <v>174</v>
      </c>
      <c r="E22" s="53" t="s">
        <v>246</v>
      </c>
      <c r="F22" s="30" t="s">
        <v>153</v>
      </c>
      <c r="G22" s="33">
        <v>1</v>
      </c>
      <c r="H22" s="35">
        <v>24</v>
      </c>
      <c r="I22" s="7">
        <v>3500</v>
      </c>
      <c r="J22" s="14">
        <v>3878</v>
      </c>
      <c r="K22" s="15">
        <f>L22</f>
        <v>3878</v>
      </c>
      <c r="L22" s="15">
        <f>1939*2</f>
        <v>3878</v>
      </c>
      <c r="M22" s="15">
        <f t="shared" ref="M22" si="33">L22-N22</f>
        <v>3878</v>
      </c>
      <c r="N22" s="15">
        <v>0</v>
      </c>
      <c r="O22" s="58">
        <f t="shared" ref="O22" si="34">IF(L22=0,"0",N22/L22)</f>
        <v>0</v>
      </c>
      <c r="P22" s="39">
        <f t="shared" ref="P22" si="35">IF(L22=0,"0",(24-Q22))</f>
        <v>10</v>
      </c>
      <c r="Q22" s="40">
        <f t="shared" ref="Q22" si="36">SUM(R22:AA22)</f>
        <v>14</v>
      </c>
      <c r="R22" s="7"/>
      <c r="S22" s="6"/>
      <c r="T22" s="16">
        <v>14</v>
      </c>
      <c r="U22" s="16"/>
      <c r="V22" s="17"/>
      <c r="W22" s="5"/>
      <c r="X22" s="16"/>
      <c r="Y22" s="16"/>
      <c r="Z22" s="16"/>
      <c r="AA22" s="18"/>
      <c r="AB22" s="8">
        <f t="shared" ref="AB22" si="37">IF(J22=0,"0",(L22/J22))</f>
        <v>1</v>
      </c>
      <c r="AC22" s="9">
        <f t="shared" ref="AC22" si="38">IF(P22=0,"0",(P22/24))</f>
        <v>0.41666666666666669</v>
      </c>
      <c r="AD22" s="10">
        <f t="shared" ref="AD22" si="39">AC22*AB22*(1-O22)</f>
        <v>0.41666666666666669</v>
      </c>
      <c r="AE22" s="36">
        <f t="shared" si="7"/>
        <v>0.43541666666666679</v>
      </c>
      <c r="AF22" s="84">
        <f t="shared" ref="AF22" si="40">A22</f>
        <v>13</v>
      </c>
    </row>
    <row r="23" spans="1:32" ht="27" customHeight="1">
      <c r="A23" s="96">
        <v>14</v>
      </c>
      <c r="B23" s="11" t="s">
        <v>57</v>
      </c>
      <c r="C23" s="11" t="s">
        <v>112</v>
      </c>
      <c r="D23" s="52" t="s">
        <v>174</v>
      </c>
      <c r="E23" s="53" t="s">
        <v>175</v>
      </c>
      <c r="F23" s="30" t="s">
        <v>153</v>
      </c>
      <c r="G23" s="33">
        <v>1</v>
      </c>
      <c r="H23" s="35">
        <v>24</v>
      </c>
      <c r="I23" s="7">
        <v>10000</v>
      </c>
      <c r="J23" s="14">
        <v>4782</v>
      </c>
      <c r="K23" s="15">
        <f>L23+5105</f>
        <v>9887</v>
      </c>
      <c r="L23" s="15">
        <f>2074+2708</f>
        <v>4782</v>
      </c>
      <c r="M23" s="15">
        <f t="shared" si="0"/>
        <v>4782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6"/>
        <v>1</v>
      </c>
      <c r="AE23" s="36">
        <f t="shared" si="7"/>
        <v>0.43541666666666679</v>
      </c>
      <c r="AF23" s="84">
        <f t="shared" si="8"/>
        <v>14</v>
      </c>
    </row>
    <row r="24" spans="1:32" ht="30" customHeight="1">
      <c r="A24" s="112">
        <v>15</v>
      </c>
      <c r="B24" s="11" t="s">
        <v>57</v>
      </c>
      <c r="C24" s="34" t="s">
        <v>112</v>
      </c>
      <c r="D24" s="52" t="s">
        <v>211</v>
      </c>
      <c r="E24" s="53" t="s">
        <v>221</v>
      </c>
      <c r="F24" s="30" t="s">
        <v>131</v>
      </c>
      <c r="G24" s="12">
        <v>2</v>
      </c>
      <c r="H24" s="13">
        <v>24</v>
      </c>
      <c r="I24" s="7">
        <v>1000</v>
      </c>
      <c r="J24" s="14">
        <v>1166</v>
      </c>
      <c r="K24" s="15">
        <f>L24</f>
        <v>1166</v>
      </c>
      <c r="L24" s="15">
        <f>583*2</f>
        <v>1166</v>
      </c>
      <c r="M24" s="15">
        <f t="shared" si="0"/>
        <v>1166</v>
      </c>
      <c r="N24" s="15">
        <v>0</v>
      </c>
      <c r="O24" s="58">
        <f t="shared" si="1"/>
        <v>0</v>
      </c>
      <c r="P24" s="39">
        <f t="shared" si="2"/>
        <v>4</v>
      </c>
      <c r="Q24" s="40">
        <f t="shared" si="3"/>
        <v>20</v>
      </c>
      <c r="R24" s="7"/>
      <c r="S24" s="6"/>
      <c r="T24" s="16"/>
      <c r="U24" s="16"/>
      <c r="V24" s="17"/>
      <c r="W24" s="5">
        <v>20</v>
      </c>
      <c r="X24" s="16"/>
      <c r="Y24" s="16"/>
      <c r="Z24" s="16"/>
      <c r="AA24" s="18"/>
      <c r="AB24" s="8">
        <f t="shared" si="4"/>
        <v>1</v>
      </c>
      <c r="AC24" s="9">
        <f t="shared" si="5"/>
        <v>0.16666666666666666</v>
      </c>
      <c r="AD24" s="10">
        <f t="shared" si="6"/>
        <v>0.16666666666666666</v>
      </c>
      <c r="AE24" s="36">
        <f t="shared" si="7"/>
        <v>0.43541666666666679</v>
      </c>
      <c r="AF24" s="84">
        <f t="shared" si="8"/>
        <v>15</v>
      </c>
    </row>
    <row r="25" spans="1:32" ht="27" customHeight="1" thickBot="1">
      <c r="A25" s="96">
        <v>16</v>
      </c>
      <c r="B25" s="11" t="s">
        <v>57</v>
      </c>
      <c r="C25" s="11" t="s">
        <v>113</v>
      </c>
      <c r="D25" s="52"/>
      <c r="E25" s="53" t="s">
        <v>180</v>
      </c>
      <c r="F25" s="12" t="s">
        <v>114</v>
      </c>
      <c r="G25" s="12">
        <v>3</v>
      </c>
      <c r="H25" s="35">
        <v>20</v>
      </c>
      <c r="I25" s="7">
        <v>200000</v>
      </c>
      <c r="J25" s="14">
        <v>45588</v>
      </c>
      <c r="K25" s="15">
        <f>L25+39891</f>
        <v>85479</v>
      </c>
      <c r="L25" s="15">
        <f>7557*3+7639*3</f>
        <v>45588</v>
      </c>
      <c r="M25" s="15">
        <f t="shared" si="0"/>
        <v>45588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17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6"/>
        <v>1</v>
      </c>
      <c r="AE25" s="36">
        <f t="shared" si="7"/>
        <v>0.43541666666666679</v>
      </c>
      <c r="AF25" s="84">
        <f t="shared" si="8"/>
        <v>16</v>
      </c>
    </row>
    <row r="26" spans="1:32" ht="31.5" customHeight="1" thickBot="1">
      <c r="A26" s="408" t="s">
        <v>34</v>
      </c>
      <c r="B26" s="409"/>
      <c r="C26" s="409"/>
      <c r="D26" s="409"/>
      <c r="E26" s="409"/>
      <c r="F26" s="409"/>
      <c r="G26" s="409"/>
      <c r="H26" s="410"/>
      <c r="I26" s="22">
        <f t="shared" ref="I26:N26" si="41">SUM(I6:I25)</f>
        <v>439640</v>
      </c>
      <c r="J26" s="19">
        <f t="shared" si="41"/>
        <v>103994</v>
      </c>
      <c r="K26" s="20">
        <f t="shared" si="41"/>
        <v>242134</v>
      </c>
      <c r="L26" s="21">
        <f t="shared" si="41"/>
        <v>94630</v>
      </c>
      <c r="M26" s="20">
        <f t="shared" si="41"/>
        <v>94630</v>
      </c>
      <c r="N26" s="21">
        <f t="shared" si="41"/>
        <v>0</v>
      </c>
      <c r="O26" s="41">
        <f t="shared" si="1"/>
        <v>0</v>
      </c>
      <c r="P26" s="42">
        <f t="shared" ref="P26:AA26" si="42">SUM(P6:P25)</f>
        <v>209</v>
      </c>
      <c r="Q26" s="43">
        <f t="shared" si="42"/>
        <v>271</v>
      </c>
      <c r="R26" s="23">
        <f t="shared" si="42"/>
        <v>0</v>
      </c>
      <c r="S26" s="24">
        <f t="shared" si="42"/>
        <v>43</v>
      </c>
      <c r="T26" s="24">
        <f t="shared" si="42"/>
        <v>36</v>
      </c>
      <c r="U26" s="24">
        <f t="shared" si="42"/>
        <v>0</v>
      </c>
      <c r="V26" s="25">
        <f t="shared" si="42"/>
        <v>3</v>
      </c>
      <c r="W26" s="26">
        <f t="shared" si="42"/>
        <v>135</v>
      </c>
      <c r="X26" s="27">
        <f t="shared" si="42"/>
        <v>0</v>
      </c>
      <c r="Y26" s="27">
        <f t="shared" si="42"/>
        <v>0</v>
      </c>
      <c r="Z26" s="27">
        <f t="shared" si="42"/>
        <v>0</v>
      </c>
      <c r="AA26" s="27">
        <f t="shared" si="42"/>
        <v>54</v>
      </c>
      <c r="AB26" s="28">
        <f>AVERAGE(AB6:AB25)</f>
        <v>0.8</v>
      </c>
      <c r="AC26" s="4">
        <f>AVERAGE(AC6:AC25)</f>
        <v>0.43541666666666679</v>
      </c>
      <c r="AD26" s="4">
        <f>AVERAGE(AD6:AD25)</f>
        <v>0.43541666666666679</v>
      </c>
      <c r="AE26" s="29"/>
    </row>
    <row r="28" spans="1:32" ht="18.75">
      <c r="A28" s="2"/>
      <c r="B28" s="2" t="s">
        <v>35</v>
      </c>
      <c r="C28" s="2"/>
      <c r="D28" s="2"/>
      <c r="E28" s="2"/>
      <c r="F28" s="2"/>
      <c r="G28" s="2"/>
      <c r="H28" s="3"/>
      <c r="I28" s="3"/>
      <c r="J28" s="2"/>
      <c r="K28" s="2"/>
      <c r="L28" s="2"/>
      <c r="M28" s="2"/>
      <c r="N28" s="2" t="s">
        <v>36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1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85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27">
      <c r="A43" s="59"/>
      <c r="B43" s="59"/>
      <c r="C43" s="59"/>
      <c r="D43" s="59"/>
      <c r="E43" s="59"/>
      <c r="F43" s="37"/>
      <c r="G43" s="37"/>
      <c r="H43" s="38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F43" s="50"/>
    </row>
    <row r="44" spans="1:32" ht="29.25" customHeight="1">
      <c r="A44" s="60"/>
      <c r="B44" s="60"/>
      <c r="C44" s="61"/>
      <c r="D44" s="61"/>
      <c r="E44" s="61"/>
      <c r="F44" s="60"/>
      <c r="G44" s="60"/>
      <c r="H44" s="60"/>
      <c r="I44" s="60"/>
      <c r="J44" s="60"/>
      <c r="K44" s="60"/>
      <c r="L44" s="60"/>
      <c r="M44" s="61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36" thickBot="1">
      <c r="A53" s="411" t="s">
        <v>45</v>
      </c>
      <c r="B53" s="411"/>
      <c r="C53" s="411"/>
      <c r="D53" s="411"/>
      <c r="E53" s="411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F53" s="50"/>
    </row>
    <row r="54" spans="1:32" ht="26.25" thickBot="1">
      <c r="A54" s="412" t="s">
        <v>247</v>
      </c>
      <c r="B54" s="413"/>
      <c r="C54" s="413"/>
      <c r="D54" s="413"/>
      <c r="E54" s="413"/>
      <c r="F54" s="413"/>
      <c r="G54" s="413"/>
      <c r="H54" s="413"/>
      <c r="I54" s="413"/>
      <c r="J54" s="413"/>
      <c r="K54" s="413"/>
      <c r="L54" s="413"/>
      <c r="M54" s="414"/>
      <c r="N54" s="415" t="s">
        <v>254</v>
      </c>
      <c r="O54" s="416"/>
      <c r="P54" s="416"/>
      <c r="Q54" s="416"/>
      <c r="R54" s="416"/>
      <c r="S54" s="416"/>
      <c r="T54" s="416"/>
      <c r="U54" s="416"/>
      <c r="V54" s="416"/>
      <c r="W54" s="416"/>
      <c r="X54" s="416"/>
      <c r="Y54" s="416"/>
      <c r="Z54" s="416"/>
      <c r="AA54" s="416"/>
      <c r="AB54" s="416"/>
      <c r="AC54" s="416"/>
      <c r="AD54" s="417"/>
    </row>
    <row r="55" spans="1:32" ht="27" customHeight="1">
      <c r="A55" s="418" t="s">
        <v>2</v>
      </c>
      <c r="B55" s="419"/>
      <c r="C55" s="135" t="s">
        <v>46</v>
      </c>
      <c r="D55" s="135" t="s">
        <v>47</v>
      </c>
      <c r="E55" s="135" t="s">
        <v>107</v>
      </c>
      <c r="F55" s="420" t="s">
        <v>106</v>
      </c>
      <c r="G55" s="421"/>
      <c r="H55" s="421"/>
      <c r="I55" s="421"/>
      <c r="J55" s="421"/>
      <c r="K55" s="421"/>
      <c r="L55" s="421"/>
      <c r="M55" s="422"/>
      <c r="N55" s="67" t="s">
        <v>110</v>
      </c>
      <c r="O55" s="135" t="s">
        <v>46</v>
      </c>
      <c r="P55" s="420" t="s">
        <v>47</v>
      </c>
      <c r="Q55" s="423"/>
      <c r="R55" s="420" t="s">
        <v>38</v>
      </c>
      <c r="S55" s="421"/>
      <c r="T55" s="421"/>
      <c r="U55" s="423"/>
      <c r="V55" s="420" t="s">
        <v>48</v>
      </c>
      <c r="W55" s="421"/>
      <c r="X55" s="421"/>
      <c r="Y55" s="421"/>
      <c r="Z55" s="421"/>
      <c r="AA55" s="421"/>
      <c r="AB55" s="421"/>
      <c r="AC55" s="421"/>
      <c r="AD55" s="422"/>
    </row>
    <row r="56" spans="1:32" ht="27" customHeight="1">
      <c r="A56" s="434" t="s">
        <v>118</v>
      </c>
      <c r="B56" s="435"/>
      <c r="C56" s="137" t="s">
        <v>136</v>
      </c>
      <c r="D56" s="137" t="s">
        <v>115</v>
      </c>
      <c r="E56" s="137" t="s">
        <v>144</v>
      </c>
      <c r="F56" s="436" t="s">
        <v>248</v>
      </c>
      <c r="G56" s="437"/>
      <c r="H56" s="437"/>
      <c r="I56" s="437"/>
      <c r="J56" s="437"/>
      <c r="K56" s="437"/>
      <c r="L56" s="437"/>
      <c r="M56" s="438"/>
      <c r="N56" s="136" t="s">
        <v>139</v>
      </c>
      <c r="O56" s="143" t="s">
        <v>127</v>
      </c>
      <c r="P56" s="439" t="s">
        <v>162</v>
      </c>
      <c r="Q56" s="440"/>
      <c r="R56" s="439" t="s">
        <v>183</v>
      </c>
      <c r="S56" s="441"/>
      <c r="T56" s="441"/>
      <c r="U56" s="440"/>
      <c r="V56" s="442" t="s">
        <v>124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139</v>
      </c>
      <c r="B57" s="435"/>
      <c r="C57" s="137" t="s">
        <v>127</v>
      </c>
      <c r="D57" s="137" t="s">
        <v>170</v>
      </c>
      <c r="E57" s="137" t="s">
        <v>183</v>
      </c>
      <c r="F57" s="436" t="s">
        <v>249</v>
      </c>
      <c r="G57" s="437"/>
      <c r="H57" s="437"/>
      <c r="I57" s="437"/>
      <c r="J57" s="437"/>
      <c r="K57" s="437"/>
      <c r="L57" s="437"/>
      <c r="M57" s="438"/>
      <c r="N57" s="136" t="s">
        <v>112</v>
      </c>
      <c r="O57" s="143" t="s">
        <v>140</v>
      </c>
      <c r="P57" s="439" t="s">
        <v>251</v>
      </c>
      <c r="Q57" s="440"/>
      <c r="R57" s="439" t="s">
        <v>255</v>
      </c>
      <c r="S57" s="441"/>
      <c r="T57" s="441"/>
      <c r="U57" s="440"/>
      <c r="V57" s="442" t="s">
        <v>138</v>
      </c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112</v>
      </c>
      <c r="B58" s="435"/>
      <c r="C58" s="137" t="s">
        <v>250</v>
      </c>
      <c r="D58" s="137" t="s">
        <v>251</v>
      </c>
      <c r="E58" s="137" t="s">
        <v>241</v>
      </c>
      <c r="F58" s="436" t="s">
        <v>138</v>
      </c>
      <c r="G58" s="437"/>
      <c r="H58" s="437"/>
      <c r="I58" s="437"/>
      <c r="J58" s="437"/>
      <c r="K58" s="437"/>
      <c r="L58" s="437"/>
      <c r="M58" s="438"/>
      <c r="N58" s="136" t="s">
        <v>118</v>
      </c>
      <c r="O58" s="143" t="s">
        <v>140</v>
      </c>
      <c r="P58" s="439" t="s">
        <v>212</v>
      </c>
      <c r="Q58" s="440"/>
      <c r="R58" s="439" t="s">
        <v>256</v>
      </c>
      <c r="S58" s="441"/>
      <c r="T58" s="441"/>
      <c r="U58" s="440"/>
      <c r="V58" s="442" t="s">
        <v>138</v>
      </c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 t="s">
        <v>112</v>
      </c>
      <c r="B59" s="435"/>
      <c r="C59" s="137" t="s">
        <v>140</v>
      </c>
      <c r="D59" s="137" t="s">
        <v>211</v>
      </c>
      <c r="E59" s="137" t="s">
        <v>210</v>
      </c>
      <c r="F59" s="436" t="s">
        <v>138</v>
      </c>
      <c r="G59" s="437"/>
      <c r="H59" s="437"/>
      <c r="I59" s="437"/>
      <c r="J59" s="437"/>
      <c r="K59" s="437"/>
      <c r="L59" s="437"/>
      <c r="M59" s="438"/>
      <c r="N59" s="136" t="s">
        <v>118</v>
      </c>
      <c r="O59" s="143" t="s">
        <v>200</v>
      </c>
      <c r="P59" s="439" t="s">
        <v>115</v>
      </c>
      <c r="Q59" s="440"/>
      <c r="R59" s="439" t="s">
        <v>257</v>
      </c>
      <c r="S59" s="441"/>
      <c r="T59" s="441"/>
      <c r="U59" s="440"/>
      <c r="V59" s="442" t="s">
        <v>138</v>
      </c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34" t="s">
        <v>112</v>
      </c>
      <c r="B60" s="435"/>
      <c r="C60" s="137" t="s">
        <v>140</v>
      </c>
      <c r="D60" s="137" t="s">
        <v>212</v>
      </c>
      <c r="E60" s="137" t="s">
        <v>213</v>
      </c>
      <c r="F60" s="436" t="s">
        <v>138</v>
      </c>
      <c r="G60" s="437"/>
      <c r="H60" s="437"/>
      <c r="I60" s="437"/>
      <c r="J60" s="437"/>
      <c r="K60" s="437"/>
      <c r="L60" s="437"/>
      <c r="M60" s="438"/>
      <c r="N60" s="136" t="s">
        <v>112</v>
      </c>
      <c r="O60" s="143" t="s">
        <v>201</v>
      </c>
      <c r="P60" s="439" t="s">
        <v>174</v>
      </c>
      <c r="Q60" s="440"/>
      <c r="R60" s="439" t="s">
        <v>175</v>
      </c>
      <c r="S60" s="441"/>
      <c r="T60" s="441"/>
      <c r="U60" s="440"/>
      <c r="V60" s="442" t="s">
        <v>258</v>
      </c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34" t="s">
        <v>120</v>
      </c>
      <c r="B61" s="435"/>
      <c r="C61" s="137" t="s">
        <v>140</v>
      </c>
      <c r="D61" s="137"/>
      <c r="E61" s="137" t="s">
        <v>243</v>
      </c>
      <c r="F61" s="436" t="s">
        <v>138</v>
      </c>
      <c r="G61" s="437"/>
      <c r="H61" s="437"/>
      <c r="I61" s="437"/>
      <c r="J61" s="437"/>
      <c r="K61" s="437"/>
      <c r="L61" s="437"/>
      <c r="M61" s="438"/>
      <c r="N61" s="136"/>
      <c r="O61" s="143"/>
      <c r="P61" s="439"/>
      <c r="Q61" s="440"/>
      <c r="R61" s="439"/>
      <c r="S61" s="441"/>
      <c r="T61" s="441"/>
      <c r="U61" s="440"/>
      <c r="V61" s="442"/>
      <c r="W61" s="442"/>
      <c r="X61" s="442"/>
      <c r="Y61" s="442"/>
      <c r="Z61" s="442"/>
      <c r="AA61" s="442"/>
      <c r="AB61" s="442"/>
      <c r="AC61" s="442"/>
      <c r="AD61" s="443"/>
    </row>
    <row r="62" spans="1:32" ht="27" customHeight="1">
      <c r="A62" s="434" t="s">
        <v>112</v>
      </c>
      <c r="B62" s="435"/>
      <c r="C62" s="137" t="s">
        <v>204</v>
      </c>
      <c r="D62" s="137" t="s">
        <v>216</v>
      </c>
      <c r="E62" s="137" t="s">
        <v>214</v>
      </c>
      <c r="F62" s="436" t="s">
        <v>138</v>
      </c>
      <c r="G62" s="437"/>
      <c r="H62" s="437"/>
      <c r="I62" s="437"/>
      <c r="J62" s="437"/>
      <c r="K62" s="437"/>
      <c r="L62" s="437"/>
      <c r="M62" s="438"/>
      <c r="N62" s="136"/>
      <c r="O62" s="143"/>
      <c r="P62" s="439"/>
      <c r="Q62" s="440"/>
      <c r="R62" s="439"/>
      <c r="S62" s="441"/>
      <c r="T62" s="441"/>
      <c r="U62" s="440"/>
      <c r="V62" s="442"/>
      <c r="W62" s="442"/>
      <c r="X62" s="442"/>
      <c r="Y62" s="442"/>
      <c r="Z62" s="442"/>
      <c r="AA62" s="442"/>
      <c r="AB62" s="442"/>
      <c r="AC62" s="442"/>
      <c r="AD62" s="443"/>
    </row>
    <row r="63" spans="1:32" ht="27" customHeight="1">
      <c r="A63" s="434" t="s">
        <v>112</v>
      </c>
      <c r="B63" s="435"/>
      <c r="C63" s="137" t="s">
        <v>204</v>
      </c>
      <c r="D63" s="137" t="s">
        <v>115</v>
      </c>
      <c r="E63" s="137" t="s">
        <v>217</v>
      </c>
      <c r="F63" s="436" t="s">
        <v>138</v>
      </c>
      <c r="G63" s="437"/>
      <c r="H63" s="437"/>
      <c r="I63" s="437"/>
      <c r="J63" s="437"/>
      <c r="K63" s="437"/>
      <c r="L63" s="437"/>
      <c r="M63" s="438"/>
      <c r="N63" s="136"/>
      <c r="O63" s="143"/>
      <c r="P63" s="439"/>
      <c r="Q63" s="440"/>
      <c r="R63" s="435"/>
      <c r="S63" s="435"/>
      <c r="T63" s="435"/>
      <c r="U63" s="435"/>
      <c r="V63" s="442"/>
      <c r="W63" s="442"/>
      <c r="X63" s="442"/>
      <c r="Y63" s="442"/>
      <c r="Z63" s="442"/>
      <c r="AA63" s="442"/>
      <c r="AB63" s="442"/>
      <c r="AC63" s="442"/>
      <c r="AD63" s="443"/>
    </row>
    <row r="64" spans="1:32" ht="27" customHeight="1">
      <c r="A64" s="457" t="s">
        <v>112</v>
      </c>
      <c r="B64" s="458"/>
      <c r="C64" s="141" t="s">
        <v>219</v>
      </c>
      <c r="D64" s="141" t="s">
        <v>115</v>
      </c>
      <c r="E64" s="137" t="s">
        <v>218</v>
      </c>
      <c r="F64" s="436" t="s">
        <v>252</v>
      </c>
      <c r="G64" s="437"/>
      <c r="H64" s="437"/>
      <c r="I64" s="437"/>
      <c r="J64" s="437"/>
      <c r="K64" s="437"/>
      <c r="L64" s="437"/>
      <c r="M64" s="438"/>
      <c r="N64" s="136"/>
      <c r="O64" s="143"/>
      <c r="P64" s="435"/>
      <c r="Q64" s="435"/>
      <c r="R64" s="435"/>
      <c r="S64" s="435"/>
      <c r="T64" s="435"/>
      <c r="U64" s="435"/>
      <c r="V64" s="442"/>
      <c r="W64" s="442"/>
      <c r="X64" s="442"/>
      <c r="Y64" s="442"/>
      <c r="Z64" s="442"/>
      <c r="AA64" s="442"/>
      <c r="AB64" s="442"/>
      <c r="AC64" s="442"/>
      <c r="AD64" s="443"/>
      <c r="AF64" s="84">
        <f>8*3000</f>
        <v>24000</v>
      </c>
    </row>
    <row r="65" spans="1:32" ht="27" customHeight="1" thickBot="1">
      <c r="A65" s="444" t="s">
        <v>112</v>
      </c>
      <c r="B65" s="445"/>
      <c r="C65" s="138" t="s">
        <v>200</v>
      </c>
      <c r="D65" s="139" t="s">
        <v>115</v>
      </c>
      <c r="E65" s="138" t="s">
        <v>220</v>
      </c>
      <c r="F65" s="446" t="s">
        <v>253</v>
      </c>
      <c r="G65" s="447"/>
      <c r="H65" s="447"/>
      <c r="I65" s="447"/>
      <c r="J65" s="447"/>
      <c r="K65" s="447"/>
      <c r="L65" s="447"/>
      <c r="M65" s="448"/>
      <c r="N65" s="111"/>
      <c r="O65" s="103"/>
      <c r="P65" s="449"/>
      <c r="Q65" s="449"/>
      <c r="R65" s="449"/>
      <c r="S65" s="449"/>
      <c r="T65" s="449"/>
      <c r="U65" s="449"/>
      <c r="V65" s="450"/>
      <c r="W65" s="450"/>
      <c r="X65" s="450"/>
      <c r="Y65" s="450"/>
      <c r="Z65" s="450"/>
      <c r="AA65" s="450"/>
      <c r="AB65" s="450"/>
      <c r="AC65" s="450"/>
      <c r="AD65" s="451"/>
      <c r="AF65" s="84">
        <f>16*3000</f>
        <v>48000</v>
      </c>
    </row>
    <row r="66" spans="1:32" ht="27.75" thickBot="1">
      <c r="A66" s="452" t="s">
        <v>259</v>
      </c>
      <c r="B66" s="452"/>
      <c r="C66" s="452"/>
      <c r="D66" s="452"/>
      <c r="E66" s="452"/>
      <c r="F66" s="37"/>
      <c r="G66" s="37"/>
      <c r="H66" s="38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F66" s="84">
        <v>24000</v>
      </c>
    </row>
    <row r="67" spans="1:32" ht="29.25" customHeight="1" thickBot="1">
      <c r="A67" s="453" t="s">
        <v>111</v>
      </c>
      <c r="B67" s="454"/>
      <c r="C67" s="140" t="s">
        <v>2</v>
      </c>
      <c r="D67" s="140" t="s">
        <v>37</v>
      </c>
      <c r="E67" s="140" t="s">
        <v>3</v>
      </c>
      <c r="F67" s="454" t="s">
        <v>109</v>
      </c>
      <c r="G67" s="454"/>
      <c r="H67" s="454"/>
      <c r="I67" s="454"/>
      <c r="J67" s="454"/>
      <c r="K67" s="454" t="s">
        <v>39</v>
      </c>
      <c r="L67" s="454"/>
      <c r="M67" s="140" t="s">
        <v>40</v>
      </c>
      <c r="N67" s="454" t="s">
        <v>41</v>
      </c>
      <c r="O67" s="454"/>
      <c r="P67" s="455" t="s">
        <v>42</v>
      </c>
      <c r="Q67" s="456"/>
      <c r="R67" s="455" t="s">
        <v>43</v>
      </c>
      <c r="S67" s="459"/>
      <c r="T67" s="459"/>
      <c r="U67" s="459"/>
      <c r="V67" s="459"/>
      <c r="W67" s="459"/>
      <c r="X67" s="459"/>
      <c r="Y67" s="459"/>
      <c r="Z67" s="459"/>
      <c r="AA67" s="456"/>
      <c r="AB67" s="454" t="s">
        <v>44</v>
      </c>
      <c r="AC67" s="454"/>
      <c r="AD67" s="460"/>
      <c r="AF67" s="84">
        <f>SUM(AF64:AF66)</f>
        <v>96000</v>
      </c>
    </row>
    <row r="68" spans="1:32" ht="25.5" customHeight="1">
      <c r="A68" s="461">
        <v>1</v>
      </c>
      <c r="B68" s="462"/>
      <c r="C68" s="104" t="s">
        <v>112</v>
      </c>
      <c r="D68" s="145"/>
      <c r="E68" s="142" t="s">
        <v>251</v>
      </c>
      <c r="F68" s="463" t="s">
        <v>241</v>
      </c>
      <c r="G68" s="464"/>
      <c r="H68" s="464"/>
      <c r="I68" s="464"/>
      <c r="J68" s="465"/>
      <c r="K68" s="466" t="s">
        <v>132</v>
      </c>
      <c r="L68" s="466"/>
      <c r="M68" s="51" t="s">
        <v>230</v>
      </c>
      <c r="N68" s="467" t="s">
        <v>250</v>
      </c>
      <c r="O68" s="467"/>
      <c r="P68" s="468">
        <v>200</v>
      </c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2</v>
      </c>
      <c r="B69" s="462"/>
      <c r="C69" s="104" t="s">
        <v>118</v>
      </c>
      <c r="D69" s="145"/>
      <c r="E69" s="142" t="s">
        <v>115</v>
      </c>
      <c r="F69" s="463" t="s">
        <v>260</v>
      </c>
      <c r="G69" s="464"/>
      <c r="H69" s="464"/>
      <c r="I69" s="464"/>
      <c r="J69" s="465"/>
      <c r="K69" s="466" t="s">
        <v>145</v>
      </c>
      <c r="L69" s="466"/>
      <c r="M69" s="51" t="s">
        <v>230</v>
      </c>
      <c r="N69" s="467" t="s">
        <v>190</v>
      </c>
      <c r="O69" s="467"/>
      <c r="P69" s="468">
        <v>100</v>
      </c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3</v>
      </c>
      <c r="B70" s="462"/>
      <c r="C70" s="104" t="s">
        <v>139</v>
      </c>
      <c r="D70" s="145"/>
      <c r="E70" s="142" t="s">
        <v>115</v>
      </c>
      <c r="F70" s="463" t="s">
        <v>261</v>
      </c>
      <c r="G70" s="464"/>
      <c r="H70" s="464"/>
      <c r="I70" s="464"/>
      <c r="J70" s="465"/>
      <c r="K70" s="466" t="s">
        <v>165</v>
      </c>
      <c r="L70" s="466"/>
      <c r="M70" s="51" t="s">
        <v>230</v>
      </c>
      <c r="N70" s="467" t="s">
        <v>141</v>
      </c>
      <c r="O70" s="467"/>
      <c r="P70" s="468">
        <v>50</v>
      </c>
      <c r="Q70" s="468"/>
      <c r="R70" s="442" t="s">
        <v>262</v>
      </c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4</v>
      </c>
      <c r="B71" s="462"/>
      <c r="C71" s="104" t="s">
        <v>118</v>
      </c>
      <c r="D71" s="145"/>
      <c r="E71" s="142" t="s">
        <v>228</v>
      </c>
      <c r="F71" s="463" t="s">
        <v>225</v>
      </c>
      <c r="G71" s="464"/>
      <c r="H71" s="464"/>
      <c r="I71" s="464"/>
      <c r="J71" s="465"/>
      <c r="K71" s="466" t="s">
        <v>233</v>
      </c>
      <c r="L71" s="466"/>
      <c r="M71" s="51" t="s">
        <v>230</v>
      </c>
      <c r="N71" s="467" t="s">
        <v>141</v>
      </c>
      <c r="O71" s="467"/>
      <c r="P71" s="468">
        <v>100</v>
      </c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5</v>
      </c>
      <c r="B72" s="462"/>
      <c r="C72" s="104"/>
      <c r="D72" s="145"/>
      <c r="E72" s="142"/>
      <c r="F72" s="463"/>
      <c r="G72" s="464"/>
      <c r="H72" s="464"/>
      <c r="I72" s="464"/>
      <c r="J72" s="465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6</v>
      </c>
      <c r="B73" s="462"/>
      <c r="C73" s="104"/>
      <c r="D73" s="145"/>
      <c r="E73" s="142"/>
      <c r="F73" s="463"/>
      <c r="G73" s="464"/>
      <c r="H73" s="464"/>
      <c r="I73" s="464"/>
      <c r="J73" s="465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7</v>
      </c>
      <c r="B74" s="462"/>
      <c r="C74" s="104"/>
      <c r="D74" s="145"/>
      <c r="E74" s="142"/>
      <c r="F74" s="463"/>
      <c r="G74" s="464"/>
      <c r="H74" s="464"/>
      <c r="I74" s="464"/>
      <c r="J74" s="465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5.5" customHeight="1">
      <c r="A75" s="461">
        <v>8</v>
      </c>
      <c r="B75" s="462"/>
      <c r="C75" s="104"/>
      <c r="D75" s="145"/>
      <c r="E75" s="142"/>
      <c r="F75" s="470"/>
      <c r="G75" s="466"/>
      <c r="H75" s="466"/>
      <c r="I75" s="466"/>
      <c r="J75" s="466"/>
      <c r="K75" s="466"/>
      <c r="L75" s="466"/>
      <c r="M75" s="51"/>
      <c r="N75" s="467"/>
      <c r="O75" s="467"/>
      <c r="P75" s="468"/>
      <c r="Q75" s="468"/>
      <c r="R75" s="442"/>
      <c r="S75" s="442"/>
      <c r="T75" s="442"/>
      <c r="U75" s="442"/>
      <c r="V75" s="442"/>
      <c r="W75" s="442"/>
      <c r="X75" s="442"/>
      <c r="Y75" s="442"/>
      <c r="Z75" s="442"/>
      <c r="AA75" s="442"/>
      <c r="AB75" s="466"/>
      <c r="AC75" s="466"/>
      <c r="AD75" s="469"/>
      <c r="AF75" s="50"/>
    </row>
    <row r="76" spans="1:32" ht="25.5" customHeight="1">
      <c r="A76" s="461">
        <v>9</v>
      </c>
      <c r="B76" s="462"/>
      <c r="C76" s="104"/>
      <c r="D76" s="145"/>
      <c r="E76" s="142"/>
      <c r="F76" s="470"/>
      <c r="G76" s="466"/>
      <c r="H76" s="466"/>
      <c r="I76" s="466"/>
      <c r="J76" s="466"/>
      <c r="K76" s="466"/>
      <c r="L76" s="466"/>
      <c r="M76" s="51"/>
      <c r="N76" s="467"/>
      <c r="O76" s="467"/>
      <c r="P76" s="468"/>
      <c r="Q76" s="468"/>
      <c r="R76" s="442"/>
      <c r="S76" s="442"/>
      <c r="T76" s="442"/>
      <c r="U76" s="442"/>
      <c r="V76" s="442"/>
      <c r="W76" s="442"/>
      <c r="X76" s="442"/>
      <c r="Y76" s="442"/>
      <c r="Z76" s="442"/>
      <c r="AA76" s="442"/>
      <c r="AB76" s="466"/>
      <c r="AC76" s="466"/>
      <c r="AD76" s="469"/>
      <c r="AF76" s="50"/>
    </row>
    <row r="77" spans="1:32" ht="25.5" customHeight="1">
      <c r="A77" s="461">
        <v>10</v>
      </c>
      <c r="B77" s="462"/>
      <c r="C77" s="104"/>
      <c r="D77" s="145"/>
      <c r="E77" s="142"/>
      <c r="F77" s="470"/>
      <c r="G77" s="466"/>
      <c r="H77" s="466"/>
      <c r="I77" s="466"/>
      <c r="J77" s="466"/>
      <c r="K77" s="466"/>
      <c r="L77" s="466"/>
      <c r="M77" s="51"/>
      <c r="N77" s="467"/>
      <c r="O77" s="467"/>
      <c r="P77" s="468"/>
      <c r="Q77" s="468"/>
      <c r="R77" s="442"/>
      <c r="S77" s="442"/>
      <c r="T77" s="442"/>
      <c r="U77" s="442"/>
      <c r="V77" s="442"/>
      <c r="W77" s="442"/>
      <c r="X77" s="442"/>
      <c r="Y77" s="442"/>
      <c r="Z77" s="442"/>
      <c r="AA77" s="442"/>
      <c r="AB77" s="466"/>
      <c r="AC77" s="466"/>
      <c r="AD77" s="469"/>
      <c r="AF77" s="50"/>
    </row>
    <row r="78" spans="1:32" ht="26.25" customHeight="1" thickBot="1">
      <c r="A78" s="471" t="s">
        <v>263</v>
      </c>
      <c r="B78" s="471"/>
      <c r="C78" s="471"/>
      <c r="D78" s="471"/>
      <c r="E78" s="471"/>
      <c r="F78" s="37"/>
      <c r="G78" s="37"/>
      <c r="H78" s="38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F78" s="50"/>
    </row>
    <row r="79" spans="1:32" ht="23.25" thickBot="1">
      <c r="A79" s="472" t="s">
        <v>126</v>
      </c>
      <c r="B79" s="473"/>
      <c r="C79" s="144" t="s">
        <v>2</v>
      </c>
      <c r="D79" s="144" t="s">
        <v>37</v>
      </c>
      <c r="E79" s="144" t="s">
        <v>125</v>
      </c>
      <c r="F79" s="473" t="s">
        <v>38</v>
      </c>
      <c r="G79" s="473"/>
      <c r="H79" s="473"/>
      <c r="I79" s="473"/>
      <c r="J79" s="473"/>
      <c r="K79" s="474" t="s">
        <v>58</v>
      </c>
      <c r="L79" s="475"/>
      <c r="M79" s="475"/>
      <c r="N79" s="475"/>
      <c r="O79" s="475"/>
      <c r="P79" s="475"/>
      <c r="Q79" s="475"/>
      <c r="R79" s="475"/>
      <c r="S79" s="476"/>
      <c r="T79" s="473" t="s">
        <v>49</v>
      </c>
      <c r="U79" s="473"/>
      <c r="V79" s="474" t="s">
        <v>50</v>
      </c>
      <c r="W79" s="476"/>
      <c r="X79" s="475" t="s">
        <v>51</v>
      </c>
      <c r="Y79" s="475"/>
      <c r="Z79" s="475"/>
      <c r="AA79" s="475"/>
      <c r="AB79" s="475"/>
      <c r="AC79" s="475"/>
      <c r="AD79" s="477"/>
      <c r="AF79" s="50"/>
    </row>
    <row r="80" spans="1:32" ht="33.75" customHeight="1">
      <c r="A80" s="486">
        <v>1</v>
      </c>
      <c r="B80" s="487"/>
      <c r="C80" s="146" t="s">
        <v>112</v>
      </c>
      <c r="D80" s="146"/>
      <c r="E80" s="65" t="s">
        <v>117</v>
      </c>
      <c r="F80" s="488" t="s">
        <v>116</v>
      </c>
      <c r="G80" s="489"/>
      <c r="H80" s="489"/>
      <c r="I80" s="489"/>
      <c r="J80" s="490"/>
      <c r="K80" s="491" t="s">
        <v>119</v>
      </c>
      <c r="L80" s="492"/>
      <c r="M80" s="492"/>
      <c r="N80" s="492"/>
      <c r="O80" s="492"/>
      <c r="P80" s="492"/>
      <c r="Q80" s="492"/>
      <c r="R80" s="492"/>
      <c r="S80" s="493"/>
      <c r="T80" s="494">
        <v>44118</v>
      </c>
      <c r="U80" s="495"/>
      <c r="V80" s="496"/>
      <c r="W80" s="496"/>
      <c r="X80" s="497"/>
      <c r="Y80" s="497"/>
      <c r="Z80" s="497"/>
      <c r="AA80" s="497"/>
      <c r="AB80" s="497"/>
      <c r="AC80" s="497"/>
      <c r="AD80" s="498"/>
      <c r="AF80" s="50"/>
    </row>
    <row r="81" spans="1:32" ht="30" customHeight="1">
      <c r="A81" s="478">
        <f>A80+1</f>
        <v>2</v>
      </c>
      <c r="B81" s="479"/>
      <c r="C81" s="145"/>
      <c r="D81" s="145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ref="A82:A86" si="43">A81+1</f>
        <v>3</v>
      </c>
      <c r="B82" s="479"/>
      <c r="C82" s="145"/>
      <c r="D82" s="145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43"/>
        <v>4</v>
      </c>
      <c r="B83" s="479"/>
      <c r="C83" s="145"/>
      <c r="D83" s="145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78">
        <f t="shared" si="43"/>
        <v>5</v>
      </c>
      <c r="B84" s="479"/>
      <c r="C84" s="145"/>
      <c r="D84" s="145"/>
      <c r="E84" s="32"/>
      <c r="F84" s="479"/>
      <c r="G84" s="479"/>
      <c r="H84" s="479"/>
      <c r="I84" s="479"/>
      <c r="J84" s="479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0" customHeight="1">
      <c r="A85" s="478">
        <f t="shared" si="43"/>
        <v>6</v>
      </c>
      <c r="B85" s="479"/>
      <c r="C85" s="145"/>
      <c r="D85" s="145"/>
      <c r="E85" s="32"/>
      <c r="F85" s="479"/>
      <c r="G85" s="479"/>
      <c r="H85" s="479"/>
      <c r="I85" s="479"/>
      <c r="J85" s="479"/>
      <c r="K85" s="480"/>
      <c r="L85" s="481"/>
      <c r="M85" s="481"/>
      <c r="N85" s="481"/>
      <c r="O85" s="481"/>
      <c r="P85" s="481"/>
      <c r="Q85" s="481"/>
      <c r="R85" s="481"/>
      <c r="S85" s="482"/>
      <c r="T85" s="483"/>
      <c r="U85" s="483"/>
      <c r="V85" s="483"/>
      <c r="W85" s="483"/>
      <c r="X85" s="484"/>
      <c r="Y85" s="484"/>
      <c r="Z85" s="484"/>
      <c r="AA85" s="484"/>
      <c r="AB85" s="484"/>
      <c r="AC85" s="484"/>
      <c r="AD85" s="485"/>
      <c r="AF85" s="50"/>
    </row>
    <row r="86" spans="1:32" ht="30" customHeight="1">
      <c r="A86" s="478">
        <f t="shared" si="43"/>
        <v>7</v>
      </c>
      <c r="B86" s="479"/>
      <c r="C86" s="145"/>
      <c r="D86" s="145"/>
      <c r="E86" s="32"/>
      <c r="F86" s="479"/>
      <c r="G86" s="479"/>
      <c r="H86" s="479"/>
      <c r="I86" s="479"/>
      <c r="J86" s="479"/>
      <c r="K86" s="480"/>
      <c r="L86" s="481"/>
      <c r="M86" s="481"/>
      <c r="N86" s="481"/>
      <c r="O86" s="481"/>
      <c r="P86" s="481"/>
      <c r="Q86" s="481"/>
      <c r="R86" s="481"/>
      <c r="S86" s="482"/>
      <c r="T86" s="483"/>
      <c r="U86" s="483"/>
      <c r="V86" s="483"/>
      <c r="W86" s="483"/>
      <c r="X86" s="484"/>
      <c r="Y86" s="484"/>
      <c r="Z86" s="484"/>
      <c r="AA86" s="484"/>
      <c r="AB86" s="484"/>
      <c r="AC86" s="484"/>
      <c r="AD86" s="485"/>
      <c r="AF86" s="50"/>
    </row>
    <row r="87" spans="1:32" ht="36" thickBot="1">
      <c r="A87" s="471" t="s">
        <v>264</v>
      </c>
      <c r="B87" s="471"/>
      <c r="C87" s="471"/>
      <c r="D87" s="471"/>
      <c r="E87" s="471"/>
      <c r="F87" s="37"/>
      <c r="G87" s="37"/>
      <c r="H87" s="38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F87" s="50"/>
    </row>
    <row r="88" spans="1:32" ht="30.75" customHeight="1" thickBot="1">
      <c r="A88" s="472" t="s">
        <v>111</v>
      </c>
      <c r="B88" s="473"/>
      <c r="C88" s="499" t="s">
        <v>52</v>
      </c>
      <c r="D88" s="499"/>
      <c r="E88" s="499" t="s">
        <v>53</v>
      </c>
      <c r="F88" s="499"/>
      <c r="G88" s="499"/>
      <c r="H88" s="499"/>
      <c r="I88" s="499"/>
      <c r="J88" s="499"/>
      <c r="K88" s="499" t="s">
        <v>54</v>
      </c>
      <c r="L88" s="499"/>
      <c r="M88" s="499"/>
      <c r="N88" s="499"/>
      <c r="O88" s="499"/>
      <c r="P88" s="499"/>
      <c r="Q88" s="499"/>
      <c r="R88" s="499"/>
      <c r="S88" s="499"/>
      <c r="T88" s="499" t="s">
        <v>55</v>
      </c>
      <c r="U88" s="499"/>
      <c r="V88" s="499" t="s">
        <v>56</v>
      </c>
      <c r="W88" s="499"/>
      <c r="X88" s="499"/>
      <c r="Y88" s="499" t="s">
        <v>51</v>
      </c>
      <c r="Z88" s="499"/>
      <c r="AA88" s="499"/>
      <c r="AB88" s="499"/>
      <c r="AC88" s="499"/>
      <c r="AD88" s="500"/>
      <c r="AF88" s="50"/>
    </row>
    <row r="89" spans="1:32" ht="30.75" customHeight="1">
      <c r="A89" s="486">
        <v>1</v>
      </c>
      <c r="B89" s="487"/>
      <c r="C89" s="501">
        <v>9</v>
      </c>
      <c r="D89" s="501"/>
      <c r="E89" s="501" t="s">
        <v>149</v>
      </c>
      <c r="F89" s="501"/>
      <c r="G89" s="501"/>
      <c r="H89" s="501"/>
      <c r="I89" s="501"/>
      <c r="J89" s="501"/>
      <c r="K89" s="501" t="s">
        <v>150</v>
      </c>
      <c r="L89" s="501"/>
      <c r="M89" s="501"/>
      <c r="N89" s="501"/>
      <c r="O89" s="501"/>
      <c r="P89" s="501"/>
      <c r="Q89" s="501"/>
      <c r="R89" s="501"/>
      <c r="S89" s="501"/>
      <c r="T89" s="501" t="s">
        <v>151</v>
      </c>
      <c r="U89" s="501"/>
      <c r="V89" s="502" t="s">
        <v>265</v>
      </c>
      <c r="W89" s="502"/>
      <c r="X89" s="502"/>
      <c r="Y89" s="503" t="s">
        <v>239</v>
      </c>
      <c r="Z89" s="503"/>
      <c r="AA89" s="503"/>
      <c r="AB89" s="503"/>
      <c r="AC89" s="503"/>
      <c r="AD89" s="504"/>
      <c r="AF89" s="50"/>
    </row>
    <row r="90" spans="1:32" ht="30.75" customHeight="1">
      <c r="A90" s="478">
        <v>2</v>
      </c>
      <c r="B90" s="479"/>
      <c r="C90" s="512"/>
      <c r="D90" s="512"/>
      <c r="E90" s="512"/>
      <c r="F90" s="512"/>
      <c r="G90" s="512"/>
      <c r="H90" s="512"/>
      <c r="I90" s="512"/>
      <c r="J90" s="512"/>
      <c r="K90" s="512"/>
      <c r="L90" s="512"/>
      <c r="M90" s="512"/>
      <c r="N90" s="512"/>
      <c r="O90" s="512"/>
      <c r="P90" s="512"/>
      <c r="Q90" s="512"/>
      <c r="R90" s="512"/>
      <c r="S90" s="512"/>
      <c r="T90" s="513"/>
      <c r="U90" s="513"/>
      <c r="V90" s="514"/>
      <c r="W90" s="514"/>
      <c r="X90" s="514"/>
      <c r="Y90" s="505"/>
      <c r="Z90" s="505"/>
      <c r="AA90" s="505"/>
      <c r="AB90" s="505"/>
      <c r="AC90" s="505"/>
      <c r="AD90" s="506"/>
      <c r="AF90" s="50"/>
    </row>
    <row r="91" spans="1:32" ht="30.75" customHeight="1" thickBot="1">
      <c r="A91" s="507">
        <v>3</v>
      </c>
      <c r="B91" s="508"/>
      <c r="C91" s="509"/>
      <c r="D91" s="509"/>
      <c r="E91" s="509"/>
      <c r="F91" s="509"/>
      <c r="G91" s="509"/>
      <c r="H91" s="509"/>
      <c r="I91" s="509"/>
      <c r="J91" s="509"/>
      <c r="K91" s="509"/>
      <c r="L91" s="509"/>
      <c r="M91" s="509"/>
      <c r="N91" s="509"/>
      <c r="O91" s="509"/>
      <c r="P91" s="509"/>
      <c r="Q91" s="509"/>
      <c r="R91" s="509"/>
      <c r="S91" s="509"/>
      <c r="T91" s="509"/>
      <c r="U91" s="509"/>
      <c r="V91" s="509"/>
      <c r="W91" s="509"/>
      <c r="X91" s="509"/>
      <c r="Y91" s="510"/>
      <c r="Z91" s="510"/>
      <c r="AA91" s="510"/>
      <c r="AB91" s="510"/>
      <c r="AC91" s="510"/>
      <c r="AD91" s="511"/>
      <c r="AF91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6:H26"/>
    <mergeCell ref="A53:E53"/>
    <mergeCell ref="A54:M54"/>
    <mergeCell ref="N54:AD54"/>
    <mergeCell ref="A55:B55"/>
    <mergeCell ref="F55:M55"/>
    <mergeCell ref="P55:Q55"/>
    <mergeCell ref="R55:U55"/>
    <mergeCell ref="V55:AD55"/>
    <mergeCell ref="I4:O4"/>
    <mergeCell ref="P4:Q4"/>
    <mergeCell ref="R4:V4"/>
    <mergeCell ref="W4:AA4"/>
    <mergeCell ref="AB4:AB5"/>
    <mergeCell ref="AC4:AC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6:E66"/>
    <mergeCell ref="A67:B67"/>
    <mergeCell ref="F67:J67"/>
    <mergeCell ref="K67:L67"/>
    <mergeCell ref="N67:O67"/>
    <mergeCell ref="P67:Q67"/>
    <mergeCell ref="A64:B64"/>
    <mergeCell ref="F64:M64"/>
    <mergeCell ref="P64:Q64"/>
    <mergeCell ref="R67:AA67"/>
    <mergeCell ref="AB67:AD67"/>
    <mergeCell ref="A68:B68"/>
    <mergeCell ref="F68:J68"/>
    <mergeCell ref="K68:L68"/>
    <mergeCell ref="N68:O68"/>
    <mergeCell ref="P68:Q68"/>
    <mergeCell ref="R68:AA68"/>
    <mergeCell ref="AB68:AD68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E78"/>
    <mergeCell ref="A79:B79"/>
    <mergeCell ref="F79:J79"/>
    <mergeCell ref="K79:S79"/>
    <mergeCell ref="T79:U79"/>
    <mergeCell ref="V79:W79"/>
    <mergeCell ref="X79:AD79"/>
    <mergeCell ref="A77:B77"/>
    <mergeCell ref="F77:J77"/>
    <mergeCell ref="K77:L77"/>
    <mergeCell ref="N77:O77"/>
    <mergeCell ref="P77:Q77"/>
    <mergeCell ref="R77:AA77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E87"/>
    <mergeCell ref="A88:B88"/>
    <mergeCell ref="C88:D88"/>
    <mergeCell ref="E88:J88"/>
    <mergeCell ref="K88:S88"/>
    <mergeCell ref="T88:U88"/>
    <mergeCell ref="A86:B86"/>
    <mergeCell ref="F86:J86"/>
    <mergeCell ref="K86:S86"/>
    <mergeCell ref="T86:U86"/>
    <mergeCell ref="V88:X88"/>
    <mergeCell ref="Y88:AD88"/>
    <mergeCell ref="A89:B89"/>
    <mergeCell ref="C89:D89"/>
    <mergeCell ref="E89:J89"/>
    <mergeCell ref="K89:S89"/>
    <mergeCell ref="T89:U89"/>
    <mergeCell ref="V89:X89"/>
    <mergeCell ref="Y89:AD89"/>
    <mergeCell ref="Y90:AD90"/>
    <mergeCell ref="A91:B91"/>
    <mergeCell ref="C91:D91"/>
    <mergeCell ref="E91:J91"/>
    <mergeCell ref="K91:S91"/>
    <mergeCell ref="T91:U91"/>
    <mergeCell ref="V91:X91"/>
    <mergeCell ref="Y91:AD91"/>
    <mergeCell ref="A90:B90"/>
    <mergeCell ref="C90:D90"/>
    <mergeCell ref="E90:J90"/>
    <mergeCell ref="K90:S90"/>
    <mergeCell ref="T90:U90"/>
    <mergeCell ref="V90:X90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1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DCAB-356B-45A0-8E00-BBEBE6D59C05}">
  <dimension ref="A1:AF89"/>
  <sheetViews>
    <sheetView view="pageBreakPreview" zoomScale="70" zoomScaleNormal="72" zoomScaleSheetLayoutView="70" workbookViewId="0">
      <selection activeCell="A86" sqref="A86:B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266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159" t="s">
        <v>17</v>
      </c>
      <c r="L5" s="159" t="s">
        <v>18</v>
      </c>
      <c r="M5" s="159" t="s">
        <v>19</v>
      </c>
      <c r="N5" s="15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155</v>
      </c>
      <c r="E6" s="53" t="s">
        <v>241</v>
      </c>
      <c r="F6" s="30" t="s">
        <v>132</v>
      </c>
      <c r="G6" s="12">
        <v>1</v>
      </c>
      <c r="H6" s="13">
        <v>24</v>
      </c>
      <c r="I6" s="7">
        <v>12800</v>
      </c>
      <c r="J6" s="14">
        <v>6284</v>
      </c>
      <c r="K6" s="15">
        <f>L6+3841</f>
        <v>10125</v>
      </c>
      <c r="L6" s="15">
        <f>3149+3135</f>
        <v>6284</v>
      </c>
      <c r="M6" s="15">
        <f t="shared" ref="M6:M23" si="0">L6-N6</f>
        <v>6284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24</v>
      </c>
      <c r="Q6" s="40">
        <f t="shared" ref="Q6:Q23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1</v>
      </c>
      <c r="AD6" s="10">
        <f t="shared" ref="AD6:AD23" si="6">AC6*AB6*(1-O6)</f>
        <v>1</v>
      </c>
      <c r="AE6" s="36">
        <f t="shared" ref="AE6:AE23" si="7">$AD$24</f>
        <v>0.56018518518518512</v>
      </c>
      <c r="AF6" s="84">
        <f t="shared" ref="AF6:AF23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212</v>
      </c>
      <c r="E7" s="53" t="s">
        <v>255</v>
      </c>
      <c r="F7" s="30" t="s">
        <v>132</v>
      </c>
      <c r="G7" s="12">
        <v>1</v>
      </c>
      <c r="H7" s="13">
        <v>24</v>
      </c>
      <c r="I7" s="31">
        <v>800</v>
      </c>
      <c r="J7" s="14">
        <v>810</v>
      </c>
      <c r="K7" s="15">
        <f>L7</f>
        <v>810</v>
      </c>
      <c r="L7" s="15">
        <v>810</v>
      </c>
      <c r="M7" s="15">
        <f t="shared" si="0"/>
        <v>810</v>
      </c>
      <c r="N7" s="15">
        <v>0</v>
      </c>
      <c r="O7" s="58">
        <f t="shared" si="1"/>
        <v>0</v>
      </c>
      <c r="P7" s="39">
        <f t="shared" si="2"/>
        <v>6</v>
      </c>
      <c r="Q7" s="40">
        <f t="shared" si="3"/>
        <v>18</v>
      </c>
      <c r="R7" s="7"/>
      <c r="S7" s="6"/>
      <c r="T7" s="16"/>
      <c r="U7" s="16"/>
      <c r="V7" s="17"/>
      <c r="W7" s="5">
        <v>18</v>
      </c>
      <c r="X7" s="16"/>
      <c r="Y7" s="16"/>
      <c r="Z7" s="16"/>
      <c r="AA7" s="18"/>
      <c r="AB7" s="8">
        <f t="shared" si="4"/>
        <v>1</v>
      </c>
      <c r="AC7" s="9">
        <f t="shared" si="5"/>
        <v>0.25</v>
      </c>
      <c r="AD7" s="10">
        <f t="shared" si="6"/>
        <v>0.25</v>
      </c>
      <c r="AE7" s="36">
        <f t="shared" si="7"/>
        <v>0.56018518518518512</v>
      </c>
      <c r="AF7" s="84">
        <f t="shared" si="8"/>
        <v>2</v>
      </c>
    </row>
    <row r="8" spans="1:32" ht="27" customHeight="1">
      <c r="A8" s="112">
        <v>2</v>
      </c>
      <c r="B8" s="11" t="s">
        <v>57</v>
      </c>
      <c r="C8" s="34" t="s">
        <v>118</v>
      </c>
      <c r="D8" s="52" t="s">
        <v>212</v>
      </c>
      <c r="E8" s="53" t="s">
        <v>256</v>
      </c>
      <c r="F8" s="30" t="s">
        <v>267</v>
      </c>
      <c r="G8" s="12">
        <v>1</v>
      </c>
      <c r="H8" s="13">
        <v>24</v>
      </c>
      <c r="I8" s="31">
        <v>2000</v>
      </c>
      <c r="J8" s="14">
        <v>3960</v>
      </c>
      <c r="K8" s="15">
        <f>L8</f>
        <v>3960</v>
      </c>
      <c r="L8" s="15">
        <f>2650+1310</f>
        <v>3960</v>
      </c>
      <c r="M8" s="15">
        <f t="shared" si="0"/>
        <v>3960</v>
      </c>
      <c r="N8" s="15">
        <v>0</v>
      </c>
      <c r="O8" s="58">
        <f t="shared" si="1"/>
        <v>0</v>
      </c>
      <c r="P8" s="39">
        <f t="shared" si="2"/>
        <v>16</v>
      </c>
      <c r="Q8" s="40">
        <f t="shared" si="3"/>
        <v>8</v>
      </c>
      <c r="R8" s="7"/>
      <c r="S8" s="6"/>
      <c r="T8" s="16">
        <v>8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0.66666666666666663</v>
      </c>
      <c r="AD8" s="10">
        <f t="shared" si="6"/>
        <v>0.66666666666666663</v>
      </c>
      <c r="AE8" s="36">
        <f t="shared" si="7"/>
        <v>0.56018518518518512</v>
      </c>
      <c r="AF8" s="84">
        <f t="shared" si="8"/>
        <v>2</v>
      </c>
    </row>
    <row r="9" spans="1:32" ht="27" customHeight="1">
      <c r="A9" s="96">
        <v>3</v>
      </c>
      <c r="B9" s="11" t="s">
        <v>57</v>
      </c>
      <c r="C9" s="34" t="s">
        <v>118</v>
      </c>
      <c r="D9" s="52" t="s">
        <v>115</v>
      </c>
      <c r="E9" s="53" t="s">
        <v>260</v>
      </c>
      <c r="F9" s="30" t="s">
        <v>145</v>
      </c>
      <c r="G9" s="33">
        <v>2</v>
      </c>
      <c r="H9" s="35">
        <v>24</v>
      </c>
      <c r="I9" s="7">
        <v>3500</v>
      </c>
      <c r="J9" s="5">
        <v>3706</v>
      </c>
      <c r="K9" s="15">
        <f>L9</f>
        <v>3706</v>
      </c>
      <c r="L9" s="15">
        <f>1031*2+822*2</f>
        <v>3706</v>
      </c>
      <c r="M9" s="15">
        <f t="shared" si="0"/>
        <v>3706</v>
      </c>
      <c r="N9" s="15">
        <v>0</v>
      </c>
      <c r="O9" s="58">
        <f t="shared" si="1"/>
        <v>0</v>
      </c>
      <c r="P9" s="39">
        <f t="shared" si="2"/>
        <v>10</v>
      </c>
      <c r="Q9" s="40">
        <f t="shared" si="3"/>
        <v>14</v>
      </c>
      <c r="R9" s="7"/>
      <c r="S9" s="6"/>
      <c r="T9" s="16"/>
      <c r="U9" s="16"/>
      <c r="V9" s="17"/>
      <c r="W9" s="5">
        <v>14</v>
      </c>
      <c r="X9" s="16"/>
      <c r="Y9" s="16"/>
      <c r="Z9" s="16"/>
      <c r="AA9" s="18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6">
        <f t="shared" si="7"/>
        <v>0.56018518518518512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135</v>
      </c>
      <c r="E10" s="53" t="s">
        <v>134</v>
      </c>
      <c r="F10" s="30" t="s">
        <v>133</v>
      </c>
      <c r="G10" s="12">
        <v>1</v>
      </c>
      <c r="H10" s="13">
        <v>24</v>
      </c>
      <c r="I10" s="7">
        <v>50000</v>
      </c>
      <c r="J10" s="14">
        <v>5546</v>
      </c>
      <c r="K10" s="15">
        <f>L10+4441+5448</f>
        <v>15435</v>
      </c>
      <c r="L10" s="15">
        <f>2774+2772</f>
        <v>5546</v>
      </c>
      <c r="M10" s="15">
        <f t="shared" si="0"/>
        <v>5546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0.56018518518518512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112</v>
      </c>
      <c r="D11" s="52" t="s">
        <v>135</v>
      </c>
      <c r="E11" s="53" t="s">
        <v>268</v>
      </c>
      <c r="F11" s="30" t="s">
        <v>244</v>
      </c>
      <c r="G11" s="33">
        <v>1</v>
      </c>
      <c r="H11" s="35">
        <v>24</v>
      </c>
      <c r="I11" s="7">
        <v>2000</v>
      </c>
      <c r="J11" s="14">
        <v>2070</v>
      </c>
      <c r="K11" s="15">
        <f>L11</f>
        <v>2070</v>
      </c>
      <c r="L11" s="15">
        <f>2070</f>
        <v>2070</v>
      </c>
      <c r="M11" s="15">
        <f t="shared" si="0"/>
        <v>2070</v>
      </c>
      <c r="N11" s="15">
        <v>0</v>
      </c>
      <c r="O11" s="58">
        <f t="shared" si="1"/>
        <v>0</v>
      </c>
      <c r="P11" s="39">
        <f t="shared" si="2"/>
        <v>10</v>
      </c>
      <c r="Q11" s="40">
        <f t="shared" si="3"/>
        <v>14</v>
      </c>
      <c r="R11" s="7"/>
      <c r="S11" s="6"/>
      <c r="T11" s="16"/>
      <c r="U11" s="16"/>
      <c r="V11" s="17"/>
      <c r="W11" s="5">
        <v>14</v>
      </c>
      <c r="X11" s="16"/>
      <c r="Y11" s="16"/>
      <c r="Z11" s="16"/>
      <c r="AA11" s="18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6">
        <f t="shared" si="7"/>
        <v>0.56018518518518512</v>
      </c>
      <c r="AF11" s="84">
        <f t="shared" si="8"/>
        <v>5</v>
      </c>
    </row>
    <row r="12" spans="1:32" ht="27" customHeight="1">
      <c r="A12" s="96">
        <v>5</v>
      </c>
      <c r="B12" s="11" t="s">
        <v>57</v>
      </c>
      <c r="C12" s="11" t="s">
        <v>118</v>
      </c>
      <c r="D12" s="52" t="s">
        <v>130</v>
      </c>
      <c r="E12" s="53" t="s">
        <v>269</v>
      </c>
      <c r="F12" s="30" t="s">
        <v>131</v>
      </c>
      <c r="G12" s="33">
        <v>2</v>
      </c>
      <c r="H12" s="35">
        <v>24</v>
      </c>
      <c r="I12" s="7">
        <v>3500</v>
      </c>
      <c r="J12" s="14">
        <v>3914</v>
      </c>
      <c r="K12" s="15">
        <f>L12</f>
        <v>3914</v>
      </c>
      <c r="L12" s="15">
        <f>1957*2</f>
        <v>3914</v>
      </c>
      <c r="M12" s="15">
        <f t="shared" si="0"/>
        <v>3914</v>
      </c>
      <c r="N12" s="15">
        <v>0</v>
      </c>
      <c r="O12" s="58">
        <f t="shared" si="1"/>
        <v>0</v>
      </c>
      <c r="P12" s="39">
        <f t="shared" si="2"/>
        <v>10</v>
      </c>
      <c r="Q12" s="40">
        <f t="shared" si="3"/>
        <v>14</v>
      </c>
      <c r="R12" s="7"/>
      <c r="S12" s="6"/>
      <c r="T12" s="16"/>
      <c r="U12" s="16"/>
      <c r="V12" s="17"/>
      <c r="W12" s="5">
        <v>14</v>
      </c>
      <c r="X12" s="16"/>
      <c r="Y12" s="16"/>
      <c r="Z12" s="16"/>
      <c r="AA12" s="18"/>
      <c r="AB12" s="8">
        <f t="shared" si="4"/>
        <v>1</v>
      </c>
      <c r="AC12" s="9">
        <f t="shared" si="5"/>
        <v>0.41666666666666669</v>
      </c>
      <c r="AD12" s="10">
        <f t="shared" si="6"/>
        <v>0.41666666666666669</v>
      </c>
      <c r="AE12" s="36">
        <f t="shared" si="7"/>
        <v>0.56018518518518512</v>
      </c>
      <c r="AF12" s="84">
        <f t="shared" si="8"/>
        <v>5</v>
      </c>
    </row>
    <row r="13" spans="1:32" ht="27" customHeight="1">
      <c r="A13" s="96">
        <v>6</v>
      </c>
      <c r="B13" s="11" t="s">
        <v>57</v>
      </c>
      <c r="C13" s="11" t="s">
        <v>118</v>
      </c>
      <c r="D13" s="52" t="s">
        <v>135</v>
      </c>
      <c r="E13" s="53" t="s">
        <v>270</v>
      </c>
      <c r="F13" s="30" t="s">
        <v>231</v>
      </c>
      <c r="G13" s="33">
        <v>2</v>
      </c>
      <c r="H13" s="35">
        <v>24</v>
      </c>
      <c r="I13" s="7">
        <v>3500</v>
      </c>
      <c r="J13" s="14">
        <v>4760</v>
      </c>
      <c r="K13" s="15">
        <f>L13</f>
        <v>4760</v>
      </c>
      <c r="L13" s="15">
        <f>2380*2</f>
        <v>4760</v>
      </c>
      <c r="M13" s="15">
        <f t="shared" si="0"/>
        <v>4760</v>
      </c>
      <c r="N13" s="15">
        <v>0</v>
      </c>
      <c r="O13" s="58">
        <f t="shared" si="1"/>
        <v>0</v>
      </c>
      <c r="P13" s="39">
        <f t="shared" si="2"/>
        <v>10</v>
      </c>
      <c r="Q13" s="40">
        <f t="shared" si="3"/>
        <v>14</v>
      </c>
      <c r="R13" s="7"/>
      <c r="S13" s="6"/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4"/>
        <v>1</v>
      </c>
      <c r="AC13" s="9">
        <f t="shared" si="5"/>
        <v>0.41666666666666669</v>
      </c>
      <c r="AD13" s="10">
        <f t="shared" si="6"/>
        <v>0.41666666666666669</v>
      </c>
      <c r="AE13" s="36">
        <f t="shared" si="7"/>
        <v>0.56018518518518512</v>
      </c>
      <c r="AF13" s="84">
        <f t="shared" si="8"/>
        <v>6</v>
      </c>
    </row>
    <row r="14" spans="1:32" ht="27" customHeight="1">
      <c r="A14" s="96">
        <v>7</v>
      </c>
      <c r="B14" s="11" t="s">
        <v>57</v>
      </c>
      <c r="C14" s="34" t="s">
        <v>118</v>
      </c>
      <c r="D14" s="52" t="s">
        <v>115</v>
      </c>
      <c r="E14" s="53" t="s">
        <v>144</v>
      </c>
      <c r="F14" s="30" t="s">
        <v>145</v>
      </c>
      <c r="G14" s="12">
        <v>1</v>
      </c>
      <c r="H14" s="13">
        <v>22</v>
      </c>
      <c r="I14" s="31">
        <v>80000</v>
      </c>
      <c r="J14" s="5">
        <v>4981</v>
      </c>
      <c r="K14" s="15">
        <f>L14+4597+5041+5597+5567+5537+3364+5103+4208+3250+4473+4603+3900+3271+5266+5310+2806+4497</f>
        <v>81371</v>
      </c>
      <c r="L14" s="15">
        <f>2192+2789</f>
        <v>4981</v>
      </c>
      <c r="M14" s="15">
        <f t="shared" si="0"/>
        <v>4981</v>
      </c>
      <c r="N14" s="15">
        <v>0</v>
      </c>
      <c r="O14" s="58">
        <f t="shared" si="1"/>
        <v>0</v>
      </c>
      <c r="P14" s="39">
        <f t="shared" si="2"/>
        <v>21</v>
      </c>
      <c r="Q14" s="40">
        <f t="shared" si="3"/>
        <v>3</v>
      </c>
      <c r="R14" s="7"/>
      <c r="S14" s="6">
        <v>3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0.875</v>
      </c>
      <c r="AD14" s="10">
        <f t="shared" si="6"/>
        <v>0.875</v>
      </c>
      <c r="AE14" s="36">
        <f t="shared" si="7"/>
        <v>0.56018518518518512</v>
      </c>
      <c r="AF14" s="84">
        <f t="shared" si="8"/>
        <v>7</v>
      </c>
    </row>
    <row r="15" spans="1:32" ht="27" customHeight="1">
      <c r="A15" s="96">
        <v>8</v>
      </c>
      <c r="B15" s="11" t="s">
        <v>57</v>
      </c>
      <c r="C15" s="11" t="s">
        <v>139</v>
      </c>
      <c r="D15" s="52" t="s">
        <v>166</v>
      </c>
      <c r="E15" s="53" t="s">
        <v>167</v>
      </c>
      <c r="F15" s="30" t="s">
        <v>168</v>
      </c>
      <c r="G15" s="33" t="s">
        <v>169</v>
      </c>
      <c r="H15" s="35">
        <v>24</v>
      </c>
      <c r="I15" s="7">
        <v>9000</v>
      </c>
      <c r="J15" s="14">
        <v>2750</v>
      </c>
      <c r="K15" s="15">
        <f>L15+1314+2556</f>
        <v>6620</v>
      </c>
      <c r="L15" s="15">
        <f>2302+448</f>
        <v>2750</v>
      </c>
      <c r="M15" s="15">
        <f t="shared" si="0"/>
        <v>2750</v>
      </c>
      <c r="N15" s="15">
        <v>0</v>
      </c>
      <c r="O15" s="58">
        <f t="shared" si="1"/>
        <v>0</v>
      </c>
      <c r="P15" s="39">
        <f t="shared" si="2"/>
        <v>17</v>
      </c>
      <c r="Q15" s="40">
        <f t="shared" si="3"/>
        <v>7</v>
      </c>
      <c r="R15" s="7"/>
      <c r="S15" s="6">
        <v>7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0.70833333333333337</v>
      </c>
      <c r="AD15" s="10">
        <f t="shared" si="6"/>
        <v>0.70833333333333337</v>
      </c>
      <c r="AE15" s="36">
        <f t="shared" si="7"/>
        <v>0.56018518518518512</v>
      </c>
      <c r="AF15" s="84">
        <f t="shared" si="8"/>
        <v>8</v>
      </c>
    </row>
    <row r="16" spans="1:32" ht="27" customHeight="1">
      <c r="A16" s="105">
        <v>9</v>
      </c>
      <c r="B16" s="11" t="s">
        <v>57</v>
      </c>
      <c r="C16" s="34" t="s">
        <v>112</v>
      </c>
      <c r="D16" s="52" t="s">
        <v>115</v>
      </c>
      <c r="E16" s="53" t="s">
        <v>218</v>
      </c>
      <c r="F16" s="30" t="s">
        <v>245</v>
      </c>
      <c r="G16" s="33">
        <v>1</v>
      </c>
      <c r="H16" s="35">
        <v>50</v>
      </c>
      <c r="I16" s="7">
        <v>300</v>
      </c>
      <c r="J16" s="5">
        <v>572</v>
      </c>
      <c r="K16" s="15">
        <f>L16+572</f>
        <v>572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0.56018518518518512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120</v>
      </c>
      <c r="D17" s="52"/>
      <c r="E17" s="53" t="s">
        <v>137</v>
      </c>
      <c r="F17" s="12" t="s">
        <v>128</v>
      </c>
      <c r="G17" s="12">
        <v>1</v>
      </c>
      <c r="H17" s="13">
        <v>24</v>
      </c>
      <c r="I17" s="31">
        <v>2000</v>
      </c>
      <c r="J17" s="14">
        <v>4493</v>
      </c>
      <c r="K17" s="15">
        <f>L17+3470+4493</f>
        <v>7963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0.56018518518518512</v>
      </c>
      <c r="AF17" s="84">
        <f t="shared" si="8"/>
        <v>10</v>
      </c>
    </row>
    <row r="18" spans="1:32" ht="30" customHeight="1">
      <c r="A18" s="112">
        <v>11</v>
      </c>
      <c r="B18" s="11" t="s">
        <v>57</v>
      </c>
      <c r="C18" s="34" t="s">
        <v>118</v>
      </c>
      <c r="D18" s="52" t="s">
        <v>228</v>
      </c>
      <c r="E18" s="53" t="s">
        <v>225</v>
      </c>
      <c r="F18" s="30" t="s">
        <v>233</v>
      </c>
      <c r="G18" s="12">
        <v>2</v>
      </c>
      <c r="H18" s="13">
        <v>24</v>
      </c>
      <c r="I18" s="7">
        <v>3500</v>
      </c>
      <c r="J18" s="14">
        <v>3830</v>
      </c>
      <c r="K18" s="15">
        <f>L18</f>
        <v>3830</v>
      </c>
      <c r="L18" s="15">
        <f>1228*2+687*2</f>
        <v>3830</v>
      </c>
      <c r="M18" s="15">
        <f t="shared" si="0"/>
        <v>3830</v>
      </c>
      <c r="N18" s="15">
        <v>0</v>
      </c>
      <c r="O18" s="58">
        <f t="shared" si="1"/>
        <v>0</v>
      </c>
      <c r="P18" s="39">
        <f t="shared" si="2"/>
        <v>10</v>
      </c>
      <c r="Q18" s="40">
        <f t="shared" si="3"/>
        <v>14</v>
      </c>
      <c r="R18" s="7"/>
      <c r="S18" s="6"/>
      <c r="T18" s="16"/>
      <c r="U18" s="16"/>
      <c r="V18" s="17"/>
      <c r="W18" s="5">
        <v>14</v>
      </c>
      <c r="X18" s="16"/>
      <c r="Y18" s="16"/>
      <c r="Z18" s="16"/>
      <c r="AA18" s="18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6">
        <f t="shared" si="7"/>
        <v>0.56018518518518512</v>
      </c>
      <c r="AF18" s="84">
        <f t="shared" si="8"/>
        <v>11</v>
      </c>
    </row>
    <row r="19" spans="1:32" ht="30" customHeight="1">
      <c r="A19" s="95">
        <v>12</v>
      </c>
      <c r="B19" s="11" t="s">
        <v>57</v>
      </c>
      <c r="C19" s="34" t="s">
        <v>159</v>
      </c>
      <c r="D19" s="52" t="s">
        <v>170</v>
      </c>
      <c r="E19" s="53" t="s">
        <v>171</v>
      </c>
      <c r="F19" s="30" t="s">
        <v>172</v>
      </c>
      <c r="G19" s="12">
        <v>2</v>
      </c>
      <c r="H19" s="13">
        <v>24</v>
      </c>
      <c r="I19" s="7">
        <v>60000</v>
      </c>
      <c r="J19" s="14">
        <v>12738</v>
      </c>
      <c r="K19" s="15">
        <f>L19+11416+12356</f>
        <v>36510</v>
      </c>
      <c r="L19" s="15">
        <f>3548*2+2821*2</f>
        <v>12738</v>
      </c>
      <c r="M19" s="15">
        <f t="shared" si="0"/>
        <v>12738</v>
      </c>
      <c r="N19" s="15">
        <v>0</v>
      </c>
      <c r="O19" s="58">
        <f t="shared" si="1"/>
        <v>0</v>
      </c>
      <c r="P19" s="39">
        <f t="shared" si="2"/>
        <v>21</v>
      </c>
      <c r="Q19" s="40">
        <f t="shared" si="3"/>
        <v>3</v>
      </c>
      <c r="R19" s="7">
        <v>3</v>
      </c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0.875</v>
      </c>
      <c r="AD19" s="10">
        <f t="shared" si="6"/>
        <v>0.875</v>
      </c>
      <c r="AE19" s="36">
        <f t="shared" si="7"/>
        <v>0.56018518518518512</v>
      </c>
      <c r="AF19" s="84">
        <f t="shared" si="8"/>
        <v>12</v>
      </c>
    </row>
    <row r="20" spans="1:32" ht="27" customHeight="1">
      <c r="A20" s="96">
        <v>13</v>
      </c>
      <c r="B20" s="11" t="s">
        <v>57</v>
      </c>
      <c r="C20" s="11" t="s">
        <v>118</v>
      </c>
      <c r="D20" s="52" t="s">
        <v>115</v>
      </c>
      <c r="E20" s="53" t="s">
        <v>257</v>
      </c>
      <c r="F20" s="30" t="s">
        <v>245</v>
      </c>
      <c r="G20" s="33">
        <v>1</v>
      </c>
      <c r="H20" s="35">
        <v>24</v>
      </c>
      <c r="I20" s="7">
        <v>2000</v>
      </c>
      <c r="J20" s="14">
        <v>5178</v>
      </c>
      <c r="K20" s="15">
        <f>L20</f>
        <v>5178</v>
      </c>
      <c r="L20" s="15">
        <f>2437+2741</f>
        <v>5178</v>
      </c>
      <c r="M20" s="15">
        <f t="shared" si="0"/>
        <v>5178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0.56018518518518512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11" t="s">
        <v>112</v>
      </c>
      <c r="D21" s="52" t="s">
        <v>174</v>
      </c>
      <c r="E21" s="53" t="s">
        <v>175</v>
      </c>
      <c r="F21" s="30" t="s">
        <v>153</v>
      </c>
      <c r="G21" s="33">
        <v>1</v>
      </c>
      <c r="H21" s="35">
        <v>24</v>
      </c>
      <c r="I21" s="7">
        <v>10000</v>
      </c>
      <c r="J21" s="14">
        <v>3399</v>
      </c>
      <c r="K21" s="15">
        <f>L21+5105+4782</f>
        <v>13286</v>
      </c>
      <c r="L21" s="15">
        <f>2738+661</f>
        <v>3399</v>
      </c>
      <c r="M21" s="15">
        <f t="shared" si="0"/>
        <v>3399</v>
      </c>
      <c r="N21" s="15">
        <v>0</v>
      </c>
      <c r="O21" s="58">
        <f t="shared" si="1"/>
        <v>0</v>
      </c>
      <c r="P21" s="39">
        <f t="shared" si="2"/>
        <v>15</v>
      </c>
      <c r="Q21" s="40">
        <f t="shared" si="3"/>
        <v>9</v>
      </c>
      <c r="R21" s="7"/>
      <c r="S21" s="6">
        <v>9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0.625</v>
      </c>
      <c r="AD21" s="10">
        <f t="shared" si="6"/>
        <v>0.625</v>
      </c>
      <c r="AE21" s="36">
        <f t="shared" si="7"/>
        <v>0.56018518518518512</v>
      </c>
      <c r="AF21" s="84">
        <f t="shared" si="8"/>
        <v>14</v>
      </c>
    </row>
    <row r="22" spans="1:32" ht="30" customHeight="1">
      <c r="A22" s="112">
        <v>15</v>
      </c>
      <c r="B22" s="11" t="s">
        <v>57</v>
      </c>
      <c r="C22" s="34" t="s">
        <v>112</v>
      </c>
      <c r="D22" s="52" t="s">
        <v>211</v>
      </c>
      <c r="E22" s="53" t="s">
        <v>221</v>
      </c>
      <c r="F22" s="30" t="s">
        <v>131</v>
      </c>
      <c r="G22" s="12">
        <v>2</v>
      </c>
      <c r="H22" s="13">
        <v>24</v>
      </c>
      <c r="I22" s="7">
        <v>1000</v>
      </c>
      <c r="J22" s="14">
        <v>1166</v>
      </c>
      <c r="K22" s="15">
        <f>L22+1166</f>
        <v>1166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0.56018518518518512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180</v>
      </c>
      <c r="F23" s="12" t="s">
        <v>114</v>
      </c>
      <c r="G23" s="12">
        <v>3</v>
      </c>
      <c r="H23" s="35">
        <v>20</v>
      </c>
      <c r="I23" s="7">
        <v>200000</v>
      </c>
      <c r="J23" s="14">
        <v>46440</v>
      </c>
      <c r="K23" s="15">
        <f>L23+39891+45588</f>
        <v>131919</v>
      </c>
      <c r="L23" s="15">
        <f>7646*3+7834*3</f>
        <v>46440</v>
      </c>
      <c r="M23" s="15">
        <f t="shared" si="0"/>
        <v>46440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6"/>
        <v>1</v>
      </c>
      <c r="AE23" s="36">
        <f t="shared" si="7"/>
        <v>0.56018518518518512</v>
      </c>
      <c r="AF23" s="84">
        <f t="shared" si="8"/>
        <v>16</v>
      </c>
    </row>
    <row r="24" spans="1:32" ht="31.5" customHeight="1" thickBot="1">
      <c r="A24" s="408" t="s">
        <v>34</v>
      </c>
      <c r="B24" s="409"/>
      <c r="C24" s="409"/>
      <c r="D24" s="409"/>
      <c r="E24" s="409"/>
      <c r="F24" s="409"/>
      <c r="G24" s="409"/>
      <c r="H24" s="410"/>
      <c r="I24" s="22">
        <f t="shared" ref="I24:N24" si="9">SUM(I6:I23)</f>
        <v>445900</v>
      </c>
      <c r="J24" s="19">
        <f t="shared" si="9"/>
        <v>116597</v>
      </c>
      <c r="K24" s="20">
        <f t="shared" si="9"/>
        <v>333195</v>
      </c>
      <c r="L24" s="21">
        <f t="shared" si="9"/>
        <v>110366</v>
      </c>
      <c r="M24" s="20">
        <f t="shared" si="9"/>
        <v>110366</v>
      </c>
      <c r="N24" s="21">
        <f t="shared" si="9"/>
        <v>0</v>
      </c>
      <c r="O24" s="41">
        <f t="shared" si="1"/>
        <v>0</v>
      </c>
      <c r="P24" s="42">
        <f t="shared" ref="P24:AA24" si="10">SUM(P6:P23)</f>
        <v>242</v>
      </c>
      <c r="Q24" s="43">
        <f t="shared" si="10"/>
        <v>190</v>
      </c>
      <c r="R24" s="23">
        <f t="shared" si="10"/>
        <v>3</v>
      </c>
      <c r="S24" s="24">
        <f t="shared" si="10"/>
        <v>19</v>
      </c>
      <c r="T24" s="24">
        <f t="shared" si="10"/>
        <v>8</v>
      </c>
      <c r="U24" s="24">
        <f t="shared" si="10"/>
        <v>0</v>
      </c>
      <c r="V24" s="25">
        <f t="shared" si="10"/>
        <v>0</v>
      </c>
      <c r="W24" s="26">
        <f t="shared" si="10"/>
        <v>160</v>
      </c>
      <c r="X24" s="27">
        <f t="shared" si="10"/>
        <v>0</v>
      </c>
      <c r="Y24" s="27">
        <f t="shared" si="10"/>
        <v>0</v>
      </c>
      <c r="Z24" s="27">
        <f t="shared" si="10"/>
        <v>0</v>
      </c>
      <c r="AA24" s="27">
        <f t="shared" si="10"/>
        <v>0</v>
      </c>
      <c r="AB24" s="28">
        <f>AVERAGE(AB6:AB23)</f>
        <v>0.83333333333333337</v>
      </c>
      <c r="AC24" s="4">
        <f>AVERAGE(AC6:AC23)</f>
        <v>0.56018518518518512</v>
      </c>
      <c r="AD24" s="4">
        <f>AVERAGE(AD6:AD23)</f>
        <v>0.56018518518518512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11" t="s">
        <v>45</v>
      </c>
      <c r="B51" s="411"/>
      <c r="C51" s="411"/>
      <c r="D51" s="411"/>
      <c r="E51" s="411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12" t="s">
        <v>271</v>
      </c>
      <c r="B52" s="413"/>
      <c r="C52" s="413"/>
      <c r="D52" s="413"/>
      <c r="E52" s="413"/>
      <c r="F52" s="413"/>
      <c r="G52" s="413"/>
      <c r="H52" s="413"/>
      <c r="I52" s="413"/>
      <c r="J52" s="413"/>
      <c r="K52" s="413"/>
      <c r="L52" s="413"/>
      <c r="M52" s="414"/>
      <c r="N52" s="415" t="s">
        <v>273</v>
      </c>
      <c r="O52" s="416"/>
      <c r="P52" s="416"/>
      <c r="Q52" s="416"/>
      <c r="R52" s="416"/>
      <c r="S52" s="416"/>
      <c r="T52" s="416"/>
      <c r="U52" s="416"/>
      <c r="V52" s="416"/>
      <c r="W52" s="416"/>
      <c r="X52" s="416"/>
      <c r="Y52" s="416"/>
      <c r="Z52" s="416"/>
      <c r="AA52" s="416"/>
      <c r="AB52" s="416"/>
      <c r="AC52" s="416"/>
      <c r="AD52" s="417"/>
    </row>
    <row r="53" spans="1:32" ht="27" customHeight="1">
      <c r="A53" s="418" t="s">
        <v>2</v>
      </c>
      <c r="B53" s="419"/>
      <c r="C53" s="158" t="s">
        <v>46</v>
      </c>
      <c r="D53" s="158" t="s">
        <v>47</v>
      </c>
      <c r="E53" s="158" t="s">
        <v>107</v>
      </c>
      <c r="F53" s="420" t="s">
        <v>106</v>
      </c>
      <c r="G53" s="421"/>
      <c r="H53" s="421"/>
      <c r="I53" s="421"/>
      <c r="J53" s="421"/>
      <c r="K53" s="421"/>
      <c r="L53" s="421"/>
      <c r="M53" s="422"/>
      <c r="N53" s="67" t="s">
        <v>110</v>
      </c>
      <c r="O53" s="158" t="s">
        <v>46</v>
      </c>
      <c r="P53" s="420" t="s">
        <v>47</v>
      </c>
      <c r="Q53" s="423"/>
      <c r="R53" s="420" t="s">
        <v>38</v>
      </c>
      <c r="S53" s="421"/>
      <c r="T53" s="421"/>
      <c r="U53" s="423"/>
      <c r="V53" s="420" t="s">
        <v>48</v>
      </c>
      <c r="W53" s="421"/>
      <c r="X53" s="421"/>
      <c r="Y53" s="421"/>
      <c r="Z53" s="421"/>
      <c r="AA53" s="421"/>
      <c r="AB53" s="421"/>
      <c r="AC53" s="421"/>
      <c r="AD53" s="422"/>
    </row>
    <row r="54" spans="1:32" ht="27" customHeight="1">
      <c r="A54" s="434" t="s">
        <v>118</v>
      </c>
      <c r="B54" s="435"/>
      <c r="C54" s="154" t="s">
        <v>136</v>
      </c>
      <c r="D54" s="154" t="s">
        <v>115</v>
      </c>
      <c r="E54" s="154" t="s">
        <v>144</v>
      </c>
      <c r="F54" s="436" t="s">
        <v>272</v>
      </c>
      <c r="G54" s="437"/>
      <c r="H54" s="437"/>
      <c r="I54" s="437"/>
      <c r="J54" s="437"/>
      <c r="K54" s="437"/>
      <c r="L54" s="437"/>
      <c r="M54" s="438"/>
      <c r="N54" s="157" t="s">
        <v>118</v>
      </c>
      <c r="O54" s="151" t="s">
        <v>140</v>
      </c>
      <c r="P54" s="439" t="s">
        <v>212</v>
      </c>
      <c r="Q54" s="440"/>
      <c r="R54" s="439" t="s">
        <v>274</v>
      </c>
      <c r="S54" s="441"/>
      <c r="T54" s="441"/>
      <c r="U54" s="440"/>
      <c r="V54" s="442" t="s">
        <v>138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139</v>
      </c>
      <c r="B55" s="435"/>
      <c r="C55" s="154" t="s">
        <v>127</v>
      </c>
      <c r="D55" s="154" t="s">
        <v>170</v>
      </c>
      <c r="E55" s="154" t="s">
        <v>183</v>
      </c>
      <c r="F55" s="436" t="s">
        <v>124</v>
      </c>
      <c r="G55" s="437"/>
      <c r="H55" s="437"/>
      <c r="I55" s="437"/>
      <c r="J55" s="437"/>
      <c r="K55" s="437"/>
      <c r="L55" s="437"/>
      <c r="M55" s="438"/>
      <c r="N55" s="157" t="s">
        <v>120</v>
      </c>
      <c r="O55" s="151" t="s">
        <v>190</v>
      </c>
      <c r="P55" s="439"/>
      <c r="Q55" s="440"/>
      <c r="R55" s="439" t="s">
        <v>173</v>
      </c>
      <c r="S55" s="441"/>
      <c r="T55" s="441"/>
      <c r="U55" s="440"/>
      <c r="V55" s="442" t="s">
        <v>138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112</v>
      </c>
      <c r="B56" s="435"/>
      <c r="C56" s="154" t="s">
        <v>140</v>
      </c>
      <c r="D56" s="154" t="s">
        <v>212</v>
      </c>
      <c r="E56" s="154" t="s">
        <v>255</v>
      </c>
      <c r="F56" s="436" t="s">
        <v>138</v>
      </c>
      <c r="G56" s="437"/>
      <c r="H56" s="437"/>
      <c r="I56" s="437"/>
      <c r="J56" s="437"/>
      <c r="K56" s="437"/>
      <c r="L56" s="437"/>
      <c r="M56" s="438"/>
      <c r="N56" s="157" t="s">
        <v>139</v>
      </c>
      <c r="O56" s="151" t="s">
        <v>204</v>
      </c>
      <c r="P56" s="439" t="s">
        <v>216</v>
      </c>
      <c r="Q56" s="440"/>
      <c r="R56" s="439" t="s">
        <v>275</v>
      </c>
      <c r="S56" s="441"/>
      <c r="T56" s="441"/>
      <c r="U56" s="440"/>
      <c r="V56" s="442" t="s">
        <v>138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118</v>
      </c>
      <c r="B57" s="435"/>
      <c r="C57" s="154" t="s">
        <v>140</v>
      </c>
      <c r="D57" s="154" t="s">
        <v>212</v>
      </c>
      <c r="E57" s="154" t="s">
        <v>256</v>
      </c>
      <c r="F57" s="436" t="s">
        <v>138</v>
      </c>
      <c r="G57" s="437"/>
      <c r="H57" s="437"/>
      <c r="I57" s="437"/>
      <c r="J57" s="437"/>
      <c r="K57" s="437"/>
      <c r="L57" s="437"/>
      <c r="M57" s="438"/>
      <c r="N57" s="157" t="s">
        <v>139</v>
      </c>
      <c r="O57" s="151" t="s">
        <v>141</v>
      </c>
      <c r="P57" s="439" t="s">
        <v>115</v>
      </c>
      <c r="Q57" s="440"/>
      <c r="R57" s="439" t="s">
        <v>276</v>
      </c>
      <c r="S57" s="441"/>
      <c r="T57" s="441"/>
      <c r="U57" s="440"/>
      <c r="V57" s="442" t="s">
        <v>138</v>
      </c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118</v>
      </c>
      <c r="B58" s="435"/>
      <c r="C58" s="154" t="s">
        <v>190</v>
      </c>
      <c r="D58" s="154" t="s">
        <v>115</v>
      </c>
      <c r="E58" s="154" t="s">
        <v>260</v>
      </c>
      <c r="F58" s="436" t="s">
        <v>138</v>
      </c>
      <c r="G58" s="437"/>
      <c r="H58" s="437"/>
      <c r="I58" s="437"/>
      <c r="J58" s="437"/>
      <c r="K58" s="437"/>
      <c r="L58" s="437"/>
      <c r="M58" s="438"/>
      <c r="N58" s="157" t="s">
        <v>118</v>
      </c>
      <c r="O58" s="151" t="s">
        <v>136</v>
      </c>
      <c r="P58" s="439" t="s">
        <v>115</v>
      </c>
      <c r="Q58" s="440"/>
      <c r="R58" s="439" t="s">
        <v>144</v>
      </c>
      <c r="S58" s="441"/>
      <c r="T58" s="441"/>
      <c r="U58" s="440"/>
      <c r="V58" s="442" t="s">
        <v>124</v>
      </c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 t="s">
        <v>112</v>
      </c>
      <c r="B59" s="435"/>
      <c r="C59" s="154" t="s">
        <v>204</v>
      </c>
      <c r="D59" s="154" t="s">
        <v>216</v>
      </c>
      <c r="E59" s="154" t="s">
        <v>268</v>
      </c>
      <c r="F59" s="436" t="s">
        <v>138</v>
      </c>
      <c r="G59" s="437"/>
      <c r="H59" s="437"/>
      <c r="I59" s="437"/>
      <c r="J59" s="437"/>
      <c r="K59" s="437"/>
      <c r="L59" s="437"/>
      <c r="M59" s="438"/>
      <c r="N59" s="157"/>
      <c r="O59" s="151"/>
      <c r="P59" s="439"/>
      <c r="Q59" s="440"/>
      <c r="R59" s="439"/>
      <c r="S59" s="441"/>
      <c r="T59" s="441"/>
      <c r="U59" s="440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34" t="s">
        <v>118</v>
      </c>
      <c r="B60" s="435"/>
      <c r="C60" s="154" t="s">
        <v>204</v>
      </c>
      <c r="D60" s="154" t="s">
        <v>130</v>
      </c>
      <c r="E60" s="154" t="s">
        <v>269</v>
      </c>
      <c r="F60" s="436" t="s">
        <v>138</v>
      </c>
      <c r="G60" s="437"/>
      <c r="H60" s="437"/>
      <c r="I60" s="437"/>
      <c r="J60" s="437"/>
      <c r="K60" s="437"/>
      <c r="L60" s="437"/>
      <c r="M60" s="438"/>
      <c r="N60" s="157"/>
      <c r="O60" s="151"/>
      <c r="P60" s="439"/>
      <c r="Q60" s="440"/>
      <c r="R60" s="439"/>
      <c r="S60" s="441"/>
      <c r="T60" s="441"/>
      <c r="U60" s="440"/>
      <c r="V60" s="442"/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34" t="s">
        <v>118</v>
      </c>
      <c r="B61" s="435"/>
      <c r="C61" s="154" t="s">
        <v>224</v>
      </c>
      <c r="D61" s="154" t="s">
        <v>216</v>
      </c>
      <c r="E61" s="154" t="s">
        <v>223</v>
      </c>
      <c r="F61" s="436" t="s">
        <v>138</v>
      </c>
      <c r="G61" s="437"/>
      <c r="H61" s="437"/>
      <c r="I61" s="437"/>
      <c r="J61" s="437"/>
      <c r="K61" s="437"/>
      <c r="L61" s="437"/>
      <c r="M61" s="438"/>
      <c r="N61" s="157"/>
      <c r="O61" s="151"/>
      <c r="P61" s="439"/>
      <c r="Q61" s="440"/>
      <c r="R61" s="435"/>
      <c r="S61" s="435"/>
      <c r="T61" s="435"/>
      <c r="U61" s="435"/>
      <c r="V61" s="442"/>
      <c r="W61" s="442"/>
      <c r="X61" s="442"/>
      <c r="Y61" s="442"/>
      <c r="Z61" s="442"/>
      <c r="AA61" s="442"/>
      <c r="AB61" s="442"/>
      <c r="AC61" s="442"/>
      <c r="AD61" s="443"/>
    </row>
    <row r="62" spans="1:32" ht="27" customHeight="1">
      <c r="A62" s="457" t="s">
        <v>118</v>
      </c>
      <c r="B62" s="458"/>
      <c r="C62" s="153" t="s">
        <v>141</v>
      </c>
      <c r="D62" s="153" t="s">
        <v>228</v>
      </c>
      <c r="E62" s="154" t="s">
        <v>225</v>
      </c>
      <c r="F62" s="436" t="s">
        <v>138</v>
      </c>
      <c r="G62" s="437"/>
      <c r="H62" s="437"/>
      <c r="I62" s="437"/>
      <c r="J62" s="437"/>
      <c r="K62" s="437"/>
      <c r="L62" s="437"/>
      <c r="M62" s="438"/>
      <c r="N62" s="157"/>
      <c r="O62" s="151"/>
      <c r="P62" s="435"/>
      <c r="Q62" s="435"/>
      <c r="R62" s="435"/>
      <c r="S62" s="435"/>
      <c r="T62" s="435"/>
      <c r="U62" s="435"/>
      <c r="V62" s="442"/>
      <c r="W62" s="442"/>
      <c r="X62" s="442"/>
      <c r="Y62" s="442"/>
      <c r="Z62" s="442"/>
      <c r="AA62" s="442"/>
      <c r="AB62" s="442"/>
      <c r="AC62" s="442"/>
      <c r="AD62" s="443"/>
      <c r="AF62" s="84">
        <f>8*3000</f>
        <v>24000</v>
      </c>
    </row>
    <row r="63" spans="1:32" ht="27" customHeight="1" thickBot="1">
      <c r="A63" s="444" t="s">
        <v>112</v>
      </c>
      <c r="B63" s="445"/>
      <c r="C63" s="155" t="s">
        <v>201</v>
      </c>
      <c r="D63" s="156" t="s">
        <v>174</v>
      </c>
      <c r="E63" s="155" t="s">
        <v>175</v>
      </c>
      <c r="F63" s="446" t="s">
        <v>258</v>
      </c>
      <c r="G63" s="447"/>
      <c r="H63" s="447"/>
      <c r="I63" s="447"/>
      <c r="J63" s="447"/>
      <c r="K63" s="447"/>
      <c r="L63" s="447"/>
      <c r="M63" s="448"/>
      <c r="N63" s="111"/>
      <c r="O63" s="103"/>
      <c r="P63" s="449"/>
      <c r="Q63" s="449"/>
      <c r="R63" s="449"/>
      <c r="S63" s="449"/>
      <c r="T63" s="449"/>
      <c r="U63" s="449"/>
      <c r="V63" s="450"/>
      <c r="W63" s="450"/>
      <c r="X63" s="450"/>
      <c r="Y63" s="450"/>
      <c r="Z63" s="450"/>
      <c r="AA63" s="450"/>
      <c r="AB63" s="450"/>
      <c r="AC63" s="450"/>
      <c r="AD63" s="451"/>
      <c r="AF63" s="84">
        <f>16*3000</f>
        <v>48000</v>
      </c>
    </row>
    <row r="64" spans="1:32" ht="27.75" thickBot="1">
      <c r="A64" s="452" t="s">
        <v>277</v>
      </c>
      <c r="B64" s="452"/>
      <c r="C64" s="452"/>
      <c r="D64" s="452"/>
      <c r="E64" s="452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53" t="s">
        <v>111</v>
      </c>
      <c r="B65" s="454"/>
      <c r="C65" s="152" t="s">
        <v>2</v>
      </c>
      <c r="D65" s="152" t="s">
        <v>37</v>
      </c>
      <c r="E65" s="152" t="s">
        <v>3</v>
      </c>
      <c r="F65" s="454" t="s">
        <v>109</v>
      </c>
      <c r="G65" s="454"/>
      <c r="H65" s="454"/>
      <c r="I65" s="454"/>
      <c r="J65" s="454"/>
      <c r="K65" s="454" t="s">
        <v>39</v>
      </c>
      <c r="L65" s="454"/>
      <c r="M65" s="152" t="s">
        <v>40</v>
      </c>
      <c r="N65" s="454" t="s">
        <v>41</v>
      </c>
      <c r="O65" s="454"/>
      <c r="P65" s="455" t="s">
        <v>42</v>
      </c>
      <c r="Q65" s="456"/>
      <c r="R65" s="455" t="s">
        <v>43</v>
      </c>
      <c r="S65" s="459"/>
      <c r="T65" s="459"/>
      <c r="U65" s="459"/>
      <c r="V65" s="459"/>
      <c r="W65" s="459"/>
      <c r="X65" s="459"/>
      <c r="Y65" s="459"/>
      <c r="Z65" s="459"/>
      <c r="AA65" s="456"/>
      <c r="AB65" s="454" t="s">
        <v>44</v>
      </c>
      <c r="AC65" s="454"/>
      <c r="AD65" s="460"/>
      <c r="AF65" s="84">
        <f>SUM(AF62:AF64)</f>
        <v>96000</v>
      </c>
    </row>
    <row r="66" spans="1:32" ht="25.5" customHeight="1">
      <c r="A66" s="461">
        <v>1</v>
      </c>
      <c r="B66" s="462"/>
      <c r="C66" s="104" t="s">
        <v>112</v>
      </c>
      <c r="D66" s="147"/>
      <c r="E66" s="150" t="s">
        <v>251</v>
      </c>
      <c r="F66" s="463" t="s">
        <v>255</v>
      </c>
      <c r="G66" s="464"/>
      <c r="H66" s="464"/>
      <c r="I66" s="464"/>
      <c r="J66" s="465"/>
      <c r="K66" s="466" t="s">
        <v>132</v>
      </c>
      <c r="L66" s="466"/>
      <c r="M66" s="51" t="s">
        <v>230</v>
      </c>
      <c r="N66" s="467" t="s">
        <v>140</v>
      </c>
      <c r="O66" s="467"/>
      <c r="P66" s="468">
        <v>50</v>
      </c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2</v>
      </c>
      <c r="B67" s="462"/>
      <c r="C67" s="104" t="s">
        <v>112</v>
      </c>
      <c r="D67" s="147"/>
      <c r="E67" s="150" t="s">
        <v>216</v>
      </c>
      <c r="F67" s="463" t="s">
        <v>278</v>
      </c>
      <c r="G67" s="464"/>
      <c r="H67" s="464"/>
      <c r="I67" s="464"/>
      <c r="J67" s="465"/>
      <c r="K67" s="466" t="s">
        <v>244</v>
      </c>
      <c r="L67" s="466"/>
      <c r="M67" s="51" t="s">
        <v>232</v>
      </c>
      <c r="N67" s="467" t="s">
        <v>204</v>
      </c>
      <c r="O67" s="467"/>
      <c r="P67" s="468">
        <v>100</v>
      </c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3</v>
      </c>
      <c r="B68" s="462"/>
      <c r="C68" s="104" t="s">
        <v>112</v>
      </c>
      <c r="D68" s="147"/>
      <c r="E68" s="150" t="s">
        <v>115</v>
      </c>
      <c r="F68" s="463" t="s">
        <v>226</v>
      </c>
      <c r="G68" s="464"/>
      <c r="H68" s="464"/>
      <c r="I68" s="464"/>
      <c r="J68" s="465"/>
      <c r="K68" s="466" t="s">
        <v>129</v>
      </c>
      <c r="L68" s="466"/>
      <c r="M68" s="51" t="s">
        <v>230</v>
      </c>
      <c r="N68" s="467" t="s">
        <v>208</v>
      </c>
      <c r="O68" s="467"/>
      <c r="P68" s="468"/>
      <c r="Q68" s="468"/>
      <c r="R68" s="442" t="s">
        <v>279</v>
      </c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4</v>
      </c>
      <c r="B69" s="462"/>
      <c r="C69" s="104"/>
      <c r="D69" s="147"/>
      <c r="E69" s="150"/>
      <c r="F69" s="463"/>
      <c r="G69" s="464"/>
      <c r="H69" s="464"/>
      <c r="I69" s="464"/>
      <c r="J69" s="465"/>
      <c r="K69" s="466"/>
      <c r="L69" s="466"/>
      <c r="M69" s="51"/>
      <c r="N69" s="467"/>
      <c r="O69" s="467"/>
      <c r="P69" s="468"/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5</v>
      </c>
      <c r="B70" s="462"/>
      <c r="C70" s="104"/>
      <c r="D70" s="147"/>
      <c r="E70" s="150"/>
      <c r="F70" s="463"/>
      <c r="G70" s="464"/>
      <c r="H70" s="464"/>
      <c r="I70" s="464"/>
      <c r="J70" s="465"/>
      <c r="K70" s="466"/>
      <c r="L70" s="466"/>
      <c r="M70" s="51"/>
      <c r="N70" s="467"/>
      <c r="O70" s="467"/>
      <c r="P70" s="468"/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6</v>
      </c>
      <c r="B71" s="462"/>
      <c r="C71" s="104"/>
      <c r="D71" s="147"/>
      <c r="E71" s="150"/>
      <c r="F71" s="463"/>
      <c r="G71" s="464"/>
      <c r="H71" s="464"/>
      <c r="I71" s="464"/>
      <c r="J71" s="465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7</v>
      </c>
      <c r="B72" s="462"/>
      <c r="C72" s="104"/>
      <c r="D72" s="147"/>
      <c r="E72" s="150"/>
      <c r="F72" s="463"/>
      <c r="G72" s="464"/>
      <c r="H72" s="464"/>
      <c r="I72" s="464"/>
      <c r="J72" s="465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8</v>
      </c>
      <c r="B73" s="462"/>
      <c r="C73" s="104"/>
      <c r="D73" s="147"/>
      <c r="E73" s="150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9</v>
      </c>
      <c r="B74" s="462"/>
      <c r="C74" s="104"/>
      <c r="D74" s="147"/>
      <c r="E74" s="150"/>
      <c r="F74" s="470"/>
      <c r="G74" s="466"/>
      <c r="H74" s="466"/>
      <c r="I74" s="466"/>
      <c r="J74" s="466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5.5" customHeight="1">
      <c r="A75" s="461">
        <v>10</v>
      </c>
      <c r="B75" s="462"/>
      <c r="C75" s="104"/>
      <c r="D75" s="147"/>
      <c r="E75" s="150"/>
      <c r="F75" s="470"/>
      <c r="G75" s="466"/>
      <c r="H75" s="466"/>
      <c r="I75" s="466"/>
      <c r="J75" s="466"/>
      <c r="K75" s="466"/>
      <c r="L75" s="466"/>
      <c r="M75" s="51"/>
      <c r="N75" s="467"/>
      <c r="O75" s="467"/>
      <c r="P75" s="468"/>
      <c r="Q75" s="468"/>
      <c r="R75" s="442"/>
      <c r="S75" s="442"/>
      <c r="T75" s="442"/>
      <c r="U75" s="442"/>
      <c r="V75" s="442"/>
      <c r="W75" s="442"/>
      <c r="X75" s="442"/>
      <c r="Y75" s="442"/>
      <c r="Z75" s="442"/>
      <c r="AA75" s="442"/>
      <c r="AB75" s="466"/>
      <c r="AC75" s="466"/>
      <c r="AD75" s="469"/>
      <c r="AF75" s="50"/>
    </row>
    <row r="76" spans="1:32" ht="26.25" customHeight="1" thickBot="1">
      <c r="A76" s="471" t="s">
        <v>280</v>
      </c>
      <c r="B76" s="471"/>
      <c r="C76" s="471"/>
      <c r="D76" s="471"/>
      <c r="E76" s="471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72" t="s">
        <v>126</v>
      </c>
      <c r="B77" s="473"/>
      <c r="C77" s="149" t="s">
        <v>2</v>
      </c>
      <c r="D77" s="149" t="s">
        <v>37</v>
      </c>
      <c r="E77" s="149" t="s">
        <v>125</v>
      </c>
      <c r="F77" s="473" t="s">
        <v>38</v>
      </c>
      <c r="G77" s="473"/>
      <c r="H77" s="473"/>
      <c r="I77" s="473"/>
      <c r="J77" s="473"/>
      <c r="K77" s="474" t="s">
        <v>58</v>
      </c>
      <c r="L77" s="475"/>
      <c r="M77" s="475"/>
      <c r="N77" s="475"/>
      <c r="O77" s="475"/>
      <c r="P77" s="475"/>
      <c r="Q77" s="475"/>
      <c r="R77" s="475"/>
      <c r="S77" s="476"/>
      <c r="T77" s="473" t="s">
        <v>49</v>
      </c>
      <c r="U77" s="473"/>
      <c r="V77" s="474" t="s">
        <v>50</v>
      </c>
      <c r="W77" s="476"/>
      <c r="X77" s="475" t="s">
        <v>51</v>
      </c>
      <c r="Y77" s="475"/>
      <c r="Z77" s="475"/>
      <c r="AA77" s="475"/>
      <c r="AB77" s="475"/>
      <c r="AC77" s="475"/>
      <c r="AD77" s="477"/>
      <c r="AF77" s="50"/>
    </row>
    <row r="78" spans="1:32" ht="33.75" customHeight="1">
      <c r="A78" s="486">
        <v>1</v>
      </c>
      <c r="B78" s="487"/>
      <c r="C78" s="148" t="s">
        <v>112</v>
      </c>
      <c r="D78" s="148"/>
      <c r="E78" s="65" t="s">
        <v>117</v>
      </c>
      <c r="F78" s="488" t="s">
        <v>116</v>
      </c>
      <c r="G78" s="489"/>
      <c r="H78" s="489"/>
      <c r="I78" s="489"/>
      <c r="J78" s="490"/>
      <c r="K78" s="491" t="s">
        <v>119</v>
      </c>
      <c r="L78" s="492"/>
      <c r="M78" s="492"/>
      <c r="N78" s="492"/>
      <c r="O78" s="492"/>
      <c r="P78" s="492"/>
      <c r="Q78" s="492"/>
      <c r="R78" s="492"/>
      <c r="S78" s="493"/>
      <c r="T78" s="494">
        <v>44118</v>
      </c>
      <c r="U78" s="495"/>
      <c r="V78" s="496"/>
      <c r="W78" s="496"/>
      <c r="X78" s="497"/>
      <c r="Y78" s="497"/>
      <c r="Z78" s="497"/>
      <c r="AA78" s="497"/>
      <c r="AB78" s="497"/>
      <c r="AC78" s="497"/>
      <c r="AD78" s="498"/>
      <c r="AF78" s="50"/>
    </row>
    <row r="79" spans="1:32" ht="30" customHeight="1">
      <c r="A79" s="478">
        <f>A78+1</f>
        <v>2</v>
      </c>
      <c r="B79" s="479"/>
      <c r="C79" s="147"/>
      <c r="D79" s="147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ref="A80:A84" si="11">A79+1</f>
        <v>3</v>
      </c>
      <c r="B80" s="479"/>
      <c r="C80" s="147"/>
      <c r="D80" s="147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11"/>
        <v>4</v>
      </c>
      <c r="B81" s="479"/>
      <c r="C81" s="147"/>
      <c r="D81" s="147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11"/>
        <v>5</v>
      </c>
      <c r="B82" s="479"/>
      <c r="C82" s="147"/>
      <c r="D82" s="147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11"/>
        <v>6</v>
      </c>
      <c r="B83" s="479"/>
      <c r="C83" s="147"/>
      <c r="D83" s="147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78">
        <f t="shared" si="11"/>
        <v>7</v>
      </c>
      <c r="B84" s="479"/>
      <c r="C84" s="147"/>
      <c r="D84" s="147"/>
      <c r="E84" s="32"/>
      <c r="F84" s="479"/>
      <c r="G84" s="479"/>
      <c r="H84" s="479"/>
      <c r="I84" s="479"/>
      <c r="J84" s="479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6" thickBot="1">
      <c r="A85" s="471" t="s">
        <v>281</v>
      </c>
      <c r="B85" s="471"/>
      <c r="C85" s="471"/>
      <c r="D85" s="471"/>
      <c r="E85" s="471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2" t="s">
        <v>111</v>
      </c>
      <c r="B86" s="473"/>
      <c r="C86" s="499" t="s">
        <v>52</v>
      </c>
      <c r="D86" s="499"/>
      <c r="E86" s="499" t="s">
        <v>53</v>
      </c>
      <c r="F86" s="499"/>
      <c r="G86" s="499"/>
      <c r="H86" s="499"/>
      <c r="I86" s="499"/>
      <c r="J86" s="499"/>
      <c r="K86" s="499" t="s">
        <v>54</v>
      </c>
      <c r="L86" s="499"/>
      <c r="M86" s="499"/>
      <c r="N86" s="499"/>
      <c r="O86" s="499"/>
      <c r="P86" s="499"/>
      <c r="Q86" s="499"/>
      <c r="R86" s="499"/>
      <c r="S86" s="499"/>
      <c r="T86" s="499" t="s">
        <v>55</v>
      </c>
      <c r="U86" s="499"/>
      <c r="V86" s="499" t="s">
        <v>56</v>
      </c>
      <c r="W86" s="499"/>
      <c r="X86" s="499"/>
      <c r="Y86" s="499" t="s">
        <v>51</v>
      </c>
      <c r="Z86" s="499"/>
      <c r="AA86" s="499"/>
      <c r="AB86" s="499"/>
      <c r="AC86" s="499"/>
      <c r="AD86" s="500"/>
      <c r="AF86" s="50"/>
    </row>
    <row r="87" spans="1:32" ht="30.75" customHeight="1">
      <c r="A87" s="486">
        <v>1</v>
      </c>
      <c r="B87" s="487"/>
      <c r="C87" s="501">
        <v>9</v>
      </c>
      <c r="D87" s="501"/>
      <c r="E87" s="501" t="s">
        <v>149</v>
      </c>
      <c r="F87" s="501"/>
      <c r="G87" s="501"/>
      <c r="H87" s="501"/>
      <c r="I87" s="501"/>
      <c r="J87" s="501"/>
      <c r="K87" s="501" t="s">
        <v>150</v>
      </c>
      <c r="L87" s="501"/>
      <c r="M87" s="501"/>
      <c r="N87" s="501"/>
      <c r="O87" s="501"/>
      <c r="P87" s="501"/>
      <c r="Q87" s="501"/>
      <c r="R87" s="501"/>
      <c r="S87" s="501"/>
      <c r="T87" s="501" t="s">
        <v>151</v>
      </c>
      <c r="U87" s="501"/>
      <c r="V87" s="502" t="s">
        <v>265</v>
      </c>
      <c r="W87" s="502"/>
      <c r="X87" s="502"/>
      <c r="Y87" s="503" t="s">
        <v>239</v>
      </c>
      <c r="Z87" s="503"/>
      <c r="AA87" s="503"/>
      <c r="AB87" s="503"/>
      <c r="AC87" s="503"/>
      <c r="AD87" s="504"/>
      <c r="AF87" s="50"/>
    </row>
    <row r="88" spans="1:32" ht="30.75" customHeight="1">
      <c r="A88" s="478">
        <v>2</v>
      </c>
      <c r="B88" s="479"/>
      <c r="C88" s="512"/>
      <c r="D88" s="512"/>
      <c r="E88" s="512"/>
      <c r="F88" s="512"/>
      <c r="G88" s="512"/>
      <c r="H88" s="512"/>
      <c r="I88" s="512"/>
      <c r="J88" s="512"/>
      <c r="K88" s="512"/>
      <c r="L88" s="512"/>
      <c r="M88" s="512"/>
      <c r="N88" s="512"/>
      <c r="O88" s="512"/>
      <c r="P88" s="512"/>
      <c r="Q88" s="512"/>
      <c r="R88" s="512"/>
      <c r="S88" s="512"/>
      <c r="T88" s="513"/>
      <c r="U88" s="513"/>
      <c r="V88" s="514"/>
      <c r="W88" s="514"/>
      <c r="X88" s="514"/>
      <c r="Y88" s="505"/>
      <c r="Z88" s="505"/>
      <c r="AA88" s="505"/>
      <c r="AB88" s="505"/>
      <c r="AC88" s="505"/>
      <c r="AD88" s="506"/>
      <c r="AF88" s="50"/>
    </row>
    <row r="89" spans="1:32" ht="30.75" customHeight="1" thickBot="1">
      <c r="A89" s="507">
        <v>3</v>
      </c>
      <c r="B89" s="508"/>
      <c r="C89" s="509"/>
      <c r="D89" s="509"/>
      <c r="E89" s="509"/>
      <c r="F89" s="509"/>
      <c r="G89" s="509"/>
      <c r="H89" s="509"/>
      <c r="I89" s="509"/>
      <c r="J89" s="509"/>
      <c r="K89" s="509"/>
      <c r="L89" s="509"/>
      <c r="M89" s="509"/>
      <c r="N89" s="509"/>
      <c r="O89" s="509"/>
      <c r="P89" s="509"/>
      <c r="Q89" s="509"/>
      <c r="R89" s="509"/>
      <c r="S89" s="509"/>
      <c r="T89" s="509"/>
      <c r="U89" s="509"/>
      <c r="V89" s="509"/>
      <c r="W89" s="509"/>
      <c r="X89" s="509"/>
      <c r="Y89" s="510"/>
      <c r="Z89" s="510"/>
      <c r="AA89" s="510"/>
      <c r="AB89" s="510"/>
      <c r="AC89" s="510"/>
      <c r="AD89" s="511"/>
      <c r="AF89" s="50"/>
    </row>
  </sheetData>
  <mergeCells count="232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9502-3801-4BE6-93C7-214F9152B032}">
  <dimension ref="A1:AF88"/>
  <sheetViews>
    <sheetView view="pageBreakPreview" topLeftCell="A61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282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160" t="s">
        <v>17</v>
      </c>
      <c r="L5" s="160" t="s">
        <v>18</v>
      </c>
      <c r="M5" s="160" t="s">
        <v>19</v>
      </c>
      <c r="N5" s="16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155</v>
      </c>
      <c r="E6" s="53" t="s">
        <v>241</v>
      </c>
      <c r="F6" s="30" t="s">
        <v>132</v>
      </c>
      <c r="G6" s="12">
        <v>1</v>
      </c>
      <c r="H6" s="13">
        <v>24</v>
      </c>
      <c r="I6" s="7">
        <v>12800</v>
      </c>
      <c r="J6" s="14">
        <v>2525</v>
      </c>
      <c r="K6" s="15">
        <f>L6+3841+6284</f>
        <v>12650</v>
      </c>
      <c r="L6" s="15">
        <v>2525</v>
      </c>
      <c r="M6" s="15">
        <f t="shared" ref="M6:M22" si="0">L6-N6</f>
        <v>2525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13</v>
      </c>
      <c r="Q6" s="40">
        <f t="shared" ref="Q6:Q22" si="3">SUM(R6:AA6)</f>
        <v>11</v>
      </c>
      <c r="R6" s="7"/>
      <c r="S6" s="6"/>
      <c r="T6" s="16"/>
      <c r="U6" s="16"/>
      <c r="V6" s="17"/>
      <c r="W6" s="5">
        <v>11</v>
      </c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0.54166666666666663</v>
      </c>
      <c r="AD6" s="10">
        <f t="shared" ref="AD6:AD22" si="6">AC6*AB6*(1-O6)</f>
        <v>0.54166666666666663</v>
      </c>
      <c r="AE6" s="36">
        <f t="shared" ref="AE6:AE22" si="7">$AD$23</f>
        <v>0.43382352941176472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212</v>
      </c>
      <c r="E7" s="53" t="s">
        <v>274</v>
      </c>
      <c r="F7" s="30" t="s">
        <v>283</v>
      </c>
      <c r="G7" s="12">
        <v>2</v>
      </c>
      <c r="H7" s="13">
        <v>24</v>
      </c>
      <c r="I7" s="31">
        <v>3500</v>
      </c>
      <c r="J7" s="14">
        <v>4100</v>
      </c>
      <c r="K7" s="15">
        <f>L7</f>
        <v>4100</v>
      </c>
      <c r="L7" s="15">
        <f>2050*2</f>
        <v>4100</v>
      </c>
      <c r="M7" s="15">
        <f t="shared" si="0"/>
        <v>4100</v>
      </c>
      <c r="N7" s="15">
        <v>0</v>
      </c>
      <c r="O7" s="58">
        <f t="shared" si="1"/>
        <v>0</v>
      </c>
      <c r="P7" s="39">
        <f t="shared" si="2"/>
        <v>13</v>
      </c>
      <c r="Q7" s="40">
        <f t="shared" si="3"/>
        <v>11</v>
      </c>
      <c r="R7" s="7"/>
      <c r="S7" s="6"/>
      <c r="T7" s="16">
        <v>9</v>
      </c>
      <c r="U7" s="16"/>
      <c r="V7" s="17"/>
      <c r="W7" s="5">
        <v>2</v>
      </c>
      <c r="X7" s="16"/>
      <c r="Y7" s="16"/>
      <c r="Z7" s="16"/>
      <c r="AA7" s="18"/>
      <c r="AB7" s="8">
        <f t="shared" si="4"/>
        <v>1</v>
      </c>
      <c r="AC7" s="9">
        <f t="shared" si="5"/>
        <v>0.54166666666666663</v>
      </c>
      <c r="AD7" s="10">
        <f t="shared" si="6"/>
        <v>0.54166666666666663</v>
      </c>
      <c r="AE7" s="36">
        <f t="shared" si="7"/>
        <v>0.43382352941176472</v>
      </c>
      <c r="AF7" s="84">
        <f t="shared" si="8"/>
        <v>2</v>
      </c>
    </row>
    <row r="8" spans="1:32" ht="27" customHeight="1">
      <c r="A8" s="112">
        <v>2</v>
      </c>
      <c r="B8" s="11" t="s">
        <v>57</v>
      </c>
      <c r="C8" s="34" t="s">
        <v>118</v>
      </c>
      <c r="D8" s="52" t="s">
        <v>212</v>
      </c>
      <c r="E8" s="53" t="s">
        <v>256</v>
      </c>
      <c r="F8" s="30" t="s">
        <v>267</v>
      </c>
      <c r="G8" s="12">
        <v>1</v>
      </c>
      <c r="H8" s="13">
        <v>24</v>
      </c>
      <c r="I8" s="31">
        <v>2000</v>
      </c>
      <c r="J8" s="14">
        <v>885</v>
      </c>
      <c r="K8" s="15">
        <f>L8+3960</f>
        <v>4845</v>
      </c>
      <c r="L8" s="15">
        <v>885</v>
      </c>
      <c r="M8" s="15">
        <f t="shared" si="0"/>
        <v>885</v>
      </c>
      <c r="N8" s="15">
        <v>0</v>
      </c>
      <c r="O8" s="58">
        <f t="shared" si="1"/>
        <v>0</v>
      </c>
      <c r="P8" s="39">
        <f t="shared" si="2"/>
        <v>5</v>
      </c>
      <c r="Q8" s="40">
        <f t="shared" si="3"/>
        <v>19</v>
      </c>
      <c r="R8" s="7"/>
      <c r="S8" s="6"/>
      <c r="T8" s="16"/>
      <c r="U8" s="16"/>
      <c r="V8" s="17"/>
      <c r="W8" s="5">
        <v>19</v>
      </c>
      <c r="X8" s="16"/>
      <c r="Y8" s="16"/>
      <c r="Z8" s="16"/>
      <c r="AA8" s="18"/>
      <c r="AB8" s="8">
        <f t="shared" si="4"/>
        <v>1</v>
      </c>
      <c r="AC8" s="9">
        <f t="shared" si="5"/>
        <v>0.20833333333333334</v>
      </c>
      <c r="AD8" s="10">
        <f t="shared" si="6"/>
        <v>0.20833333333333334</v>
      </c>
      <c r="AE8" s="36">
        <f t="shared" si="7"/>
        <v>0.43382352941176472</v>
      </c>
      <c r="AF8" s="84">
        <f t="shared" si="8"/>
        <v>2</v>
      </c>
    </row>
    <row r="9" spans="1:32" ht="27" customHeight="1">
      <c r="A9" s="96">
        <v>3</v>
      </c>
      <c r="B9" s="11" t="s">
        <v>57</v>
      </c>
      <c r="C9" s="34" t="s">
        <v>139</v>
      </c>
      <c r="D9" s="52" t="s">
        <v>115</v>
      </c>
      <c r="E9" s="53" t="s">
        <v>284</v>
      </c>
      <c r="F9" s="30" t="s">
        <v>165</v>
      </c>
      <c r="G9" s="33">
        <v>3</v>
      </c>
      <c r="H9" s="35">
        <v>24</v>
      </c>
      <c r="I9" s="7">
        <v>50000</v>
      </c>
      <c r="J9" s="5">
        <v>7224</v>
      </c>
      <c r="K9" s="15">
        <f>L9</f>
        <v>7224</v>
      </c>
      <c r="L9" s="15">
        <f>2408*3</f>
        <v>7224</v>
      </c>
      <c r="M9" s="15">
        <f t="shared" si="0"/>
        <v>7224</v>
      </c>
      <c r="N9" s="15">
        <v>0</v>
      </c>
      <c r="O9" s="58">
        <f t="shared" si="1"/>
        <v>0</v>
      </c>
      <c r="P9" s="39">
        <f t="shared" si="2"/>
        <v>12</v>
      </c>
      <c r="Q9" s="40">
        <f t="shared" si="3"/>
        <v>12</v>
      </c>
      <c r="R9" s="7"/>
      <c r="S9" s="6">
        <v>7</v>
      </c>
      <c r="T9" s="16">
        <v>5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0.5</v>
      </c>
      <c r="AD9" s="10">
        <f t="shared" si="6"/>
        <v>0.5</v>
      </c>
      <c r="AE9" s="36">
        <f t="shared" si="7"/>
        <v>0.43382352941176472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135</v>
      </c>
      <c r="E10" s="53" t="s">
        <v>134</v>
      </c>
      <c r="F10" s="30" t="s">
        <v>133</v>
      </c>
      <c r="G10" s="12">
        <v>1</v>
      </c>
      <c r="H10" s="13">
        <v>24</v>
      </c>
      <c r="I10" s="7">
        <v>50000</v>
      </c>
      <c r="J10" s="14">
        <v>5454</v>
      </c>
      <c r="K10" s="15">
        <f>L10+4441+5448+5546</f>
        <v>20889</v>
      </c>
      <c r="L10" s="15">
        <f>2752+2702</f>
        <v>5454</v>
      </c>
      <c r="M10" s="15">
        <f t="shared" si="0"/>
        <v>5454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0.43382352941176472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112</v>
      </c>
      <c r="D11" s="52" t="s">
        <v>135</v>
      </c>
      <c r="E11" s="53" t="s">
        <v>268</v>
      </c>
      <c r="F11" s="30" t="s">
        <v>244</v>
      </c>
      <c r="G11" s="33">
        <v>1</v>
      </c>
      <c r="H11" s="35">
        <v>24</v>
      </c>
      <c r="I11" s="7">
        <v>2000</v>
      </c>
      <c r="J11" s="14">
        <v>2070</v>
      </c>
      <c r="K11" s="15">
        <f>L11+2070</f>
        <v>2070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0.43382352941176472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139</v>
      </c>
      <c r="D12" s="52" t="s">
        <v>285</v>
      </c>
      <c r="E12" s="53" t="s">
        <v>286</v>
      </c>
      <c r="F12" s="30" t="s">
        <v>244</v>
      </c>
      <c r="G12" s="33">
        <v>3</v>
      </c>
      <c r="H12" s="35">
        <v>24</v>
      </c>
      <c r="I12" s="7">
        <v>500</v>
      </c>
      <c r="J12" s="14">
        <v>4760</v>
      </c>
      <c r="K12" s="15">
        <f>L12</f>
        <v>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0.43382352941176472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144</v>
      </c>
      <c r="F13" s="30" t="s">
        <v>145</v>
      </c>
      <c r="G13" s="12">
        <v>1</v>
      </c>
      <c r="H13" s="13">
        <v>22</v>
      </c>
      <c r="I13" s="31">
        <v>120000</v>
      </c>
      <c r="J13" s="5">
        <v>4384</v>
      </c>
      <c r="K13" s="15">
        <f>L13+4597+5041+5597+5567+5537+3364+5103+4208+3250+4473+4603+3900+3271+5266+5310+2806+4497+4981</f>
        <v>85755</v>
      </c>
      <c r="L13" s="15">
        <f>1923+2461</f>
        <v>4384</v>
      </c>
      <c r="M13" s="15">
        <f t="shared" si="0"/>
        <v>4384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6">
        <f t="shared" si="7"/>
        <v>0.43382352941176472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139</v>
      </c>
      <c r="D14" s="52" t="s">
        <v>166</v>
      </c>
      <c r="E14" s="53" t="s">
        <v>167</v>
      </c>
      <c r="F14" s="30" t="s">
        <v>168</v>
      </c>
      <c r="G14" s="33" t="s">
        <v>169</v>
      </c>
      <c r="H14" s="35">
        <v>24</v>
      </c>
      <c r="I14" s="7">
        <v>9000</v>
      </c>
      <c r="J14" s="14">
        <v>1287</v>
      </c>
      <c r="K14" s="15">
        <f>L14+1314+2556+2750</f>
        <v>7907</v>
      </c>
      <c r="L14" s="15">
        <v>1287</v>
      </c>
      <c r="M14" s="15">
        <f t="shared" si="0"/>
        <v>1287</v>
      </c>
      <c r="N14" s="15">
        <v>0</v>
      </c>
      <c r="O14" s="58">
        <f t="shared" si="1"/>
        <v>0</v>
      </c>
      <c r="P14" s="39">
        <f t="shared" si="2"/>
        <v>10</v>
      </c>
      <c r="Q14" s="40">
        <f t="shared" si="3"/>
        <v>14</v>
      </c>
      <c r="R14" s="7"/>
      <c r="S14" s="6">
        <v>14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0.41666666666666669</v>
      </c>
      <c r="AD14" s="10">
        <f t="shared" si="6"/>
        <v>0.41666666666666669</v>
      </c>
      <c r="AE14" s="36">
        <f t="shared" si="7"/>
        <v>0.43382352941176472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218</v>
      </c>
      <c r="F15" s="30" t="s">
        <v>245</v>
      </c>
      <c r="G15" s="33">
        <v>1</v>
      </c>
      <c r="H15" s="35">
        <v>50</v>
      </c>
      <c r="I15" s="7">
        <v>300</v>
      </c>
      <c r="J15" s="5">
        <v>572</v>
      </c>
      <c r="K15" s="15">
        <f>L15+572</f>
        <v>572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0.43382352941176472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120</v>
      </c>
      <c r="D16" s="52"/>
      <c r="E16" s="53" t="s">
        <v>137</v>
      </c>
      <c r="F16" s="12" t="s">
        <v>128</v>
      </c>
      <c r="G16" s="12">
        <v>1</v>
      </c>
      <c r="H16" s="13">
        <v>24</v>
      </c>
      <c r="I16" s="31">
        <v>2000</v>
      </c>
      <c r="J16" s="14">
        <v>4493</v>
      </c>
      <c r="K16" s="15">
        <f>L16+3470+4493</f>
        <v>7963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0.43382352941176472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139</v>
      </c>
      <c r="D17" s="52" t="s">
        <v>115</v>
      </c>
      <c r="E17" s="53" t="s">
        <v>276</v>
      </c>
      <c r="F17" s="30" t="s">
        <v>165</v>
      </c>
      <c r="G17" s="12">
        <v>2</v>
      </c>
      <c r="H17" s="13">
        <v>24</v>
      </c>
      <c r="I17" s="7">
        <v>10000</v>
      </c>
      <c r="J17" s="14">
        <v>3830</v>
      </c>
      <c r="K17" s="15">
        <f>L17</f>
        <v>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0.43382352941176472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159</v>
      </c>
      <c r="D18" s="52" t="s">
        <v>170</v>
      </c>
      <c r="E18" s="53" t="s">
        <v>171</v>
      </c>
      <c r="F18" s="30" t="s">
        <v>172</v>
      </c>
      <c r="G18" s="12">
        <v>2</v>
      </c>
      <c r="H18" s="13">
        <v>24</v>
      </c>
      <c r="I18" s="7">
        <v>60000</v>
      </c>
      <c r="J18" s="14">
        <v>13852</v>
      </c>
      <c r="K18" s="15">
        <f>L18+11416+12356+12738</f>
        <v>50362</v>
      </c>
      <c r="L18" s="15">
        <f>3406*2+3520*2</f>
        <v>13852</v>
      </c>
      <c r="M18" s="15">
        <f t="shared" si="0"/>
        <v>13852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0.43382352941176472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118</v>
      </c>
      <c r="D19" s="52" t="s">
        <v>115</v>
      </c>
      <c r="E19" s="53" t="s">
        <v>257</v>
      </c>
      <c r="F19" s="30" t="s">
        <v>245</v>
      </c>
      <c r="G19" s="33">
        <v>1</v>
      </c>
      <c r="H19" s="35">
        <v>24</v>
      </c>
      <c r="I19" s="7">
        <v>2000</v>
      </c>
      <c r="J19" s="14">
        <v>2009</v>
      </c>
      <c r="K19" s="15">
        <f>L19+5178</f>
        <v>7187</v>
      </c>
      <c r="L19" s="15">
        <v>2009</v>
      </c>
      <c r="M19" s="15">
        <f t="shared" si="0"/>
        <v>2009</v>
      </c>
      <c r="N19" s="15">
        <v>0</v>
      </c>
      <c r="O19" s="58">
        <f t="shared" si="1"/>
        <v>0</v>
      </c>
      <c r="P19" s="39">
        <f t="shared" si="2"/>
        <v>10</v>
      </c>
      <c r="Q19" s="40">
        <f t="shared" si="3"/>
        <v>14</v>
      </c>
      <c r="R19" s="7"/>
      <c r="S19" s="6"/>
      <c r="T19" s="16"/>
      <c r="U19" s="16"/>
      <c r="V19" s="17"/>
      <c r="W19" s="5">
        <v>14</v>
      </c>
      <c r="X19" s="16"/>
      <c r="Y19" s="16"/>
      <c r="Z19" s="16"/>
      <c r="AA19" s="18"/>
      <c r="AB19" s="8">
        <f t="shared" si="4"/>
        <v>1</v>
      </c>
      <c r="AC19" s="9">
        <f t="shared" si="5"/>
        <v>0.41666666666666669</v>
      </c>
      <c r="AD19" s="10">
        <f t="shared" si="6"/>
        <v>0.41666666666666669</v>
      </c>
      <c r="AE19" s="36">
        <f t="shared" si="7"/>
        <v>0.43382352941176472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174</v>
      </c>
      <c r="E20" s="53" t="s">
        <v>175</v>
      </c>
      <c r="F20" s="30" t="s">
        <v>153</v>
      </c>
      <c r="G20" s="33">
        <v>1</v>
      </c>
      <c r="H20" s="35">
        <v>24</v>
      </c>
      <c r="I20" s="7">
        <v>10000</v>
      </c>
      <c r="J20" s="14">
        <v>4635</v>
      </c>
      <c r="K20" s="15">
        <f>L20+5105+4782+3399</f>
        <v>17921</v>
      </c>
      <c r="L20" s="15">
        <f>2644+1991</f>
        <v>4635</v>
      </c>
      <c r="M20" s="15">
        <f t="shared" si="0"/>
        <v>4635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0.43382352941176472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211</v>
      </c>
      <c r="E21" s="53" t="s">
        <v>221</v>
      </c>
      <c r="F21" s="30" t="s">
        <v>131</v>
      </c>
      <c r="G21" s="12">
        <v>2</v>
      </c>
      <c r="H21" s="13">
        <v>24</v>
      </c>
      <c r="I21" s="7">
        <v>1000</v>
      </c>
      <c r="J21" s="14">
        <v>1166</v>
      </c>
      <c r="K21" s="15">
        <f>L21+1166</f>
        <v>1166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>
        <v>24</v>
      </c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0.43382352941176472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180</v>
      </c>
      <c r="F22" s="12" t="s">
        <v>114</v>
      </c>
      <c r="G22" s="12">
        <v>3</v>
      </c>
      <c r="H22" s="35">
        <v>20</v>
      </c>
      <c r="I22" s="7">
        <v>200000</v>
      </c>
      <c r="J22" s="14">
        <v>45777</v>
      </c>
      <c r="K22" s="15">
        <f>L22+39891+45588+46440</f>
        <v>177696</v>
      </c>
      <c r="L22" s="15">
        <f>7547*3+7712*3</f>
        <v>45777</v>
      </c>
      <c r="M22" s="15">
        <f t="shared" si="0"/>
        <v>45777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0.43382352941176472</v>
      </c>
      <c r="AF22" s="84">
        <f t="shared" si="8"/>
        <v>16</v>
      </c>
    </row>
    <row r="23" spans="1:32" ht="31.5" customHeight="1" thickBot="1">
      <c r="A23" s="408" t="s">
        <v>34</v>
      </c>
      <c r="B23" s="409"/>
      <c r="C23" s="409"/>
      <c r="D23" s="409"/>
      <c r="E23" s="409"/>
      <c r="F23" s="409"/>
      <c r="G23" s="409"/>
      <c r="H23" s="410"/>
      <c r="I23" s="22">
        <f t="shared" ref="I23:N23" si="9">SUM(I6:I22)</f>
        <v>535100</v>
      </c>
      <c r="J23" s="19">
        <f t="shared" si="9"/>
        <v>109023</v>
      </c>
      <c r="K23" s="20">
        <f t="shared" si="9"/>
        <v>408307</v>
      </c>
      <c r="L23" s="21">
        <f t="shared" si="9"/>
        <v>92132</v>
      </c>
      <c r="M23" s="20">
        <f t="shared" si="9"/>
        <v>92132</v>
      </c>
      <c r="N23" s="21">
        <f t="shared" si="9"/>
        <v>0</v>
      </c>
      <c r="O23" s="41">
        <f t="shared" si="1"/>
        <v>0</v>
      </c>
      <c r="P23" s="42">
        <f t="shared" ref="P23:AA23" si="10">SUM(P6:P22)</f>
        <v>177</v>
      </c>
      <c r="Q23" s="43">
        <f t="shared" si="10"/>
        <v>231</v>
      </c>
      <c r="R23" s="23">
        <f t="shared" si="10"/>
        <v>0</v>
      </c>
      <c r="S23" s="24">
        <f t="shared" si="10"/>
        <v>75</v>
      </c>
      <c r="T23" s="24">
        <f t="shared" si="10"/>
        <v>14</v>
      </c>
      <c r="U23" s="24">
        <f t="shared" si="10"/>
        <v>0</v>
      </c>
      <c r="V23" s="25">
        <f t="shared" si="10"/>
        <v>0</v>
      </c>
      <c r="W23" s="26">
        <f t="shared" si="10"/>
        <v>142</v>
      </c>
      <c r="X23" s="27">
        <f t="shared" si="10"/>
        <v>0</v>
      </c>
      <c r="Y23" s="27">
        <f t="shared" si="10"/>
        <v>0</v>
      </c>
      <c r="Z23" s="27">
        <f t="shared" si="10"/>
        <v>0</v>
      </c>
      <c r="AA23" s="27">
        <f t="shared" si="10"/>
        <v>0</v>
      </c>
      <c r="AB23" s="28">
        <f>AVERAGE(AB6:AB22)</f>
        <v>0.6470588235294118</v>
      </c>
      <c r="AC23" s="4">
        <f>AVERAGE(AC6:AC22)</f>
        <v>0.43382352941176472</v>
      </c>
      <c r="AD23" s="4">
        <f>AVERAGE(AD6:AD22)</f>
        <v>0.43382352941176472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11" t="s">
        <v>45</v>
      </c>
      <c r="B50" s="411"/>
      <c r="C50" s="411"/>
      <c r="D50" s="411"/>
      <c r="E50" s="411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12" t="s">
        <v>287</v>
      </c>
      <c r="B51" s="413"/>
      <c r="C51" s="413"/>
      <c r="D51" s="413"/>
      <c r="E51" s="413"/>
      <c r="F51" s="413"/>
      <c r="G51" s="413"/>
      <c r="H51" s="413"/>
      <c r="I51" s="413"/>
      <c r="J51" s="413"/>
      <c r="K51" s="413"/>
      <c r="L51" s="413"/>
      <c r="M51" s="414"/>
      <c r="N51" s="415" t="s">
        <v>296</v>
      </c>
      <c r="O51" s="416"/>
      <c r="P51" s="416"/>
      <c r="Q51" s="416"/>
      <c r="R51" s="416"/>
      <c r="S51" s="416"/>
      <c r="T51" s="416"/>
      <c r="U51" s="416"/>
      <c r="V51" s="416"/>
      <c r="W51" s="416"/>
      <c r="X51" s="416"/>
      <c r="Y51" s="416"/>
      <c r="Z51" s="416"/>
      <c r="AA51" s="416"/>
      <c r="AB51" s="416"/>
      <c r="AC51" s="416"/>
      <c r="AD51" s="417"/>
    </row>
    <row r="52" spans="1:32" ht="27" customHeight="1">
      <c r="A52" s="418" t="s">
        <v>2</v>
      </c>
      <c r="B52" s="419"/>
      <c r="C52" s="161" t="s">
        <v>46</v>
      </c>
      <c r="D52" s="161" t="s">
        <v>47</v>
      </c>
      <c r="E52" s="161" t="s">
        <v>107</v>
      </c>
      <c r="F52" s="420" t="s">
        <v>106</v>
      </c>
      <c r="G52" s="421"/>
      <c r="H52" s="421"/>
      <c r="I52" s="421"/>
      <c r="J52" s="421"/>
      <c r="K52" s="421"/>
      <c r="L52" s="421"/>
      <c r="M52" s="422"/>
      <c r="N52" s="67" t="s">
        <v>110</v>
      </c>
      <c r="O52" s="161" t="s">
        <v>46</v>
      </c>
      <c r="P52" s="420" t="s">
        <v>47</v>
      </c>
      <c r="Q52" s="423"/>
      <c r="R52" s="420" t="s">
        <v>38</v>
      </c>
      <c r="S52" s="421"/>
      <c r="T52" s="421"/>
      <c r="U52" s="423"/>
      <c r="V52" s="420" t="s">
        <v>48</v>
      </c>
      <c r="W52" s="421"/>
      <c r="X52" s="421"/>
      <c r="Y52" s="421"/>
      <c r="Z52" s="421"/>
      <c r="AA52" s="421"/>
      <c r="AB52" s="421"/>
      <c r="AC52" s="421"/>
      <c r="AD52" s="422"/>
    </row>
    <row r="53" spans="1:32" ht="27" customHeight="1">
      <c r="A53" s="434" t="s">
        <v>118</v>
      </c>
      <c r="B53" s="435"/>
      <c r="C53" s="163" t="s">
        <v>136</v>
      </c>
      <c r="D53" s="163" t="s">
        <v>115</v>
      </c>
      <c r="E53" s="163" t="s">
        <v>144</v>
      </c>
      <c r="F53" s="436" t="s">
        <v>124</v>
      </c>
      <c r="G53" s="437"/>
      <c r="H53" s="437"/>
      <c r="I53" s="437"/>
      <c r="J53" s="437"/>
      <c r="K53" s="437"/>
      <c r="L53" s="437"/>
      <c r="M53" s="438"/>
      <c r="N53" s="162" t="s">
        <v>112</v>
      </c>
      <c r="O53" s="169" t="s">
        <v>250</v>
      </c>
      <c r="P53" s="439" t="s">
        <v>212</v>
      </c>
      <c r="Q53" s="440"/>
      <c r="R53" s="439" t="s">
        <v>298</v>
      </c>
      <c r="S53" s="441"/>
      <c r="T53" s="441"/>
      <c r="U53" s="440"/>
      <c r="V53" s="442" t="s">
        <v>138</v>
      </c>
      <c r="W53" s="442"/>
      <c r="X53" s="442"/>
      <c r="Y53" s="442"/>
      <c r="Z53" s="442"/>
      <c r="AA53" s="442"/>
      <c r="AB53" s="442"/>
      <c r="AC53" s="442"/>
      <c r="AD53" s="443"/>
    </row>
    <row r="54" spans="1:32" ht="27" customHeight="1">
      <c r="A54" s="434" t="s">
        <v>139</v>
      </c>
      <c r="B54" s="435"/>
      <c r="C54" s="163" t="s">
        <v>127</v>
      </c>
      <c r="D54" s="163" t="s">
        <v>170</v>
      </c>
      <c r="E54" s="163" t="s">
        <v>183</v>
      </c>
      <c r="F54" s="436" t="s">
        <v>288</v>
      </c>
      <c r="G54" s="437"/>
      <c r="H54" s="437"/>
      <c r="I54" s="437"/>
      <c r="J54" s="437"/>
      <c r="K54" s="437"/>
      <c r="L54" s="437"/>
      <c r="M54" s="438"/>
      <c r="N54" s="162" t="s">
        <v>139</v>
      </c>
      <c r="O54" s="169" t="s">
        <v>141</v>
      </c>
      <c r="P54" s="439" t="s">
        <v>115</v>
      </c>
      <c r="Q54" s="440"/>
      <c r="R54" s="439" t="s">
        <v>276</v>
      </c>
      <c r="S54" s="441"/>
      <c r="T54" s="441"/>
      <c r="U54" s="440"/>
      <c r="V54" s="442" t="s">
        <v>206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118</v>
      </c>
      <c r="B55" s="435"/>
      <c r="C55" s="163" t="s">
        <v>140</v>
      </c>
      <c r="D55" s="163" t="s">
        <v>212</v>
      </c>
      <c r="E55" s="163" t="s">
        <v>274</v>
      </c>
      <c r="F55" s="436" t="s">
        <v>138</v>
      </c>
      <c r="G55" s="437"/>
      <c r="H55" s="437"/>
      <c r="I55" s="437"/>
      <c r="J55" s="437"/>
      <c r="K55" s="437"/>
      <c r="L55" s="437"/>
      <c r="M55" s="438"/>
      <c r="N55" s="162" t="s">
        <v>139</v>
      </c>
      <c r="O55" s="169" t="s">
        <v>190</v>
      </c>
      <c r="P55" s="439" t="s">
        <v>115</v>
      </c>
      <c r="Q55" s="440"/>
      <c r="R55" s="439" t="s">
        <v>284</v>
      </c>
      <c r="S55" s="441"/>
      <c r="T55" s="441"/>
      <c r="U55" s="440"/>
      <c r="V55" s="442" t="s">
        <v>124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139</v>
      </c>
      <c r="B56" s="435"/>
      <c r="C56" s="163" t="s">
        <v>190</v>
      </c>
      <c r="D56" s="163" t="s">
        <v>115</v>
      </c>
      <c r="E56" s="163" t="s">
        <v>284</v>
      </c>
      <c r="F56" s="436" t="s">
        <v>289</v>
      </c>
      <c r="G56" s="437"/>
      <c r="H56" s="437"/>
      <c r="I56" s="437"/>
      <c r="J56" s="437"/>
      <c r="K56" s="437"/>
      <c r="L56" s="437"/>
      <c r="M56" s="438"/>
      <c r="N56" s="162" t="s">
        <v>118</v>
      </c>
      <c r="O56" s="169" t="s">
        <v>140</v>
      </c>
      <c r="P56" s="439" t="s">
        <v>228</v>
      </c>
      <c r="Q56" s="440"/>
      <c r="R56" s="439" t="s">
        <v>299</v>
      </c>
      <c r="S56" s="441"/>
      <c r="T56" s="441"/>
      <c r="U56" s="440"/>
      <c r="V56" s="442" t="s">
        <v>138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139</v>
      </c>
      <c r="B57" s="435"/>
      <c r="C57" s="163" t="s">
        <v>204</v>
      </c>
      <c r="D57" s="163" t="s">
        <v>216</v>
      </c>
      <c r="E57" s="163" t="s">
        <v>275</v>
      </c>
      <c r="F57" s="436" t="s">
        <v>290</v>
      </c>
      <c r="G57" s="437"/>
      <c r="H57" s="437"/>
      <c r="I57" s="437"/>
      <c r="J57" s="437"/>
      <c r="K57" s="437"/>
      <c r="L57" s="437"/>
      <c r="M57" s="438"/>
      <c r="N57" s="162" t="s">
        <v>139</v>
      </c>
      <c r="O57" s="169" t="s">
        <v>224</v>
      </c>
      <c r="P57" s="439" t="s">
        <v>285</v>
      </c>
      <c r="Q57" s="440"/>
      <c r="R57" s="439" t="s">
        <v>291</v>
      </c>
      <c r="S57" s="441"/>
      <c r="T57" s="441"/>
      <c r="U57" s="440"/>
      <c r="V57" s="442" t="s">
        <v>124</v>
      </c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139</v>
      </c>
      <c r="B58" s="435"/>
      <c r="C58" s="163" t="s">
        <v>224</v>
      </c>
      <c r="D58" s="163" t="s">
        <v>285</v>
      </c>
      <c r="E58" s="163" t="s">
        <v>291</v>
      </c>
      <c r="F58" s="436" t="s">
        <v>292</v>
      </c>
      <c r="G58" s="437"/>
      <c r="H58" s="437"/>
      <c r="I58" s="437"/>
      <c r="J58" s="437"/>
      <c r="K58" s="437"/>
      <c r="L58" s="437"/>
      <c r="M58" s="438"/>
      <c r="N58" s="162" t="s">
        <v>139</v>
      </c>
      <c r="O58" s="169" t="s">
        <v>127</v>
      </c>
      <c r="P58" s="439" t="s">
        <v>162</v>
      </c>
      <c r="Q58" s="440"/>
      <c r="R58" s="439" t="s">
        <v>183</v>
      </c>
      <c r="S58" s="441"/>
      <c r="T58" s="441"/>
      <c r="U58" s="440"/>
      <c r="V58" s="442" t="s">
        <v>124</v>
      </c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 t="s">
        <v>139</v>
      </c>
      <c r="B59" s="435"/>
      <c r="C59" s="163" t="s">
        <v>141</v>
      </c>
      <c r="D59" s="163" t="s">
        <v>115</v>
      </c>
      <c r="E59" s="163" t="s">
        <v>276</v>
      </c>
      <c r="F59" s="436" t="s">
        <v>293</v>
      </c>
      <c r="G59" s="437"/>
      <c r="H59" s="437"/>
      <c r="I59" s="437"/>
      <c r="J59" s="437"/>
      <c r="K59" s="437"/>
      <c r="L59" s="437"/>
      <c r="M59" s="438"/>
      <c r="N59" s="162" t="s">
        <v>112</v>
      </c>
      <c r="O59" s="169" t="s">
        <v>201</v>
      </c>
      <c r="P59" s="439" t="s">
        <v>174</v>
      </c>
      <c r="Q59" s="440"/>
      <c r="R59" s="439" t="s">
        <v>175</v>
      </c>
      <c r="S59" s="441"/>
      <c r="T59" s="441"/>
      <c r="U59" s="440"/>
      <c r="V59" s="442" t="s">
        <v>124</v>
      </c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34" t="s">
        <v>139</v>
      </c>
      <c r="B60" s="435"/>
      <c r="C60" s="163" t="s">
        <v>141</v>
      </c>
      <c r="D60" s="163" t="s">
        <v>115</v>
      </c>
      <c r="E60" s="163" t="s">
        <v>294</v>
      </c>
      <c r="F60" s="436" t="s">
        <v>295</v>
      </c>
      <c r="G60" s="437"/>
      <c r="H60" s="437"/>
      <c r="I60" s="437"/>
      <c r="J60" s="437"/>
      <c r="K60" s="437"/>
      <c r="L60" s="437"/>
      <c r="M60" s="438"/>
      <c r="N60" s="162"/>
      <c r="O60" s="169"/>
      <c r="P60" s="439"/>
      <c r="Q60" s="440"/>
      <c r="R60" s="435"/>
      <c r="S60" s="435"/>
      <c r="T60" s="435"/>
      <c r="U60" s="435"/>
      <c r="V60" s="442"/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57" t="s">
        <v>112</v>
      </c>
      <c r="B61" s="458"/>
      <c r="C61" s="167" t="s">
        <v>201</v>
      </c>
      <c r="D61" s="167" t="s">
        <v>174</v>
      </c>
      <c r="E61" s="163" t="s">
        <v>175</v>
      </c>
      <c r="F61" s="436" t="s">
        <v>297</v>
      </c>
      <c r="G61" s="437"/>
      <c r="H61" s="437"/>
      <c r="I61" s="437"/>
      <c r="J61" s="437"/>
      <c r="K61" s="437"/>
      <c r="L61" s="437"/>
      <c r="M61" s="438"/>
      <c r="N61" s="162"/>
      <c r="O61" s="169"/>
      <c r="P61" s="435"/>
      <c r="Q61" s="435"/>
      <c r="R61" s="435"/>
      <c r="S61" s="435"/>
      <c r="T61" s="435"/>
      <c r="U61" s="435"/>
      <c r="V61" s="442"/>
      <c r="W61" s="442"/>
      <c r="X61" s="442"/>
      <c r="Y61" s="442"/>
      <c r="Z61" s="442"/>
      <c r="AA61" s="442"/>
      <c r="AB61" s="442"/>
      <c r="AC61" s="442"/>
      <c r="AD61" s="443"/>
      <c r="AF61" s="84">
        <f>8*3000</f>
        <v>24000</v>
      </c>
    </row>
    <row r="62" spans="1:32" ht="27" customHeight="1" thickBot="1">
      <c r="A62" s="444"/>
      <c r="B62" s="445"/>
      <c r="C62" s="164"/>
      <c r="D62" s="165"/>
      <c r="E62" s="164"/>
      <c r="F62" s="446"/>
      <c r="G62" s="447"/>
      <c r="H62" s="447"/>
      <c r="I62" s="447"/>
      <c r="J62" s="447"/>
      <c r="K62" s="447"/>
      <c r="L62" s="447"/>
      <c r="M62" s="448"/>
      <c r="N62" s="111"/>
      <c r="O62" s="103"/>
      <c r="P62" s="449"/>
      <c r="Q62" s="449"/>
      <c r="R62" s="449"/>
      <c r="S62" s="449"/>
      <c r="T62" s="449"/>
      <c r="U62" s="449"/>
      <c r="V62" s="450"/>
      <c r="W62" s="450"/>
      <c r="X62" s="450"/>
      <c r="Y62" s="450"/>
      <c r="Z62" s="450"/>
      <c r="AA62" s="450"/>
      <c r="AB62" s="450"/>
      <c r="AC62" s="450"/>
      <c r="AD62" s="451"/>
      <c r="AF62" s="84">
        <f>16*3000</f>
        <v>48000</v>
      </c>
    </row>
    <row r="63" spans="1:32" ht="27.75" thickBot="1">
      <c r="A63" s="452" t="s">
        <v>300</v>
      </c>
      <c r="B63" s="452"/>
      <c r="C63" s="452"/>
      <c r="D63" s="452"/>
      <c r="E63" s="45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3" t="s">
        <v>111</v>
      </c>
      <c r="B64" s="454"/>
      <c r="C64" s="166" t="s">
        <v>2</v>
      </c>
      <c r="D64" s="166" t="s">
        <v>37</v>
      </c>
      <c r="E64" s="166" t="s">
        <v>3</v>
      </c>
      <c r="F64" s="454" t="s">
        <v>109</v>
      </c>
      <c r="G64" s="454"/>
      <c r="H64" s="454"/>
      <c r="I64" s="454"/>
      <c r="J64" s="454"/>
      <c r="K64" s="454" t="s">
        <v>39</v>
      </c>
      <c r="L64" s="454"/>
      <c r="M64" s="166" t="s">
        <v>40</v>
      </c>
      <c r="N64" s="454" t="s">
        <v>41</v>
      </c>
      <c r="O64" s="454"/>
      <c r="P64" s="455" t="s">
        <v>42</v>
      </c>
      <c r="Q64" s="456"/>
      <c r="R64" s="455" t="s">
        <v>43</v>
      </c>
      <c r="S64" s="459"/>
      <c r="T64" s="459"/>
      <c r="U64" s="459"/>
      <c r="V64" s="459"/>
      <c r="W64" s="459"/>
      <c r="X64" s="459"/>
      <c r="Y64" s="459"/>
      <c r="Z64" s="459"/>
      <c r="AA64" s="456"/>
      <c r="AB64" s="454" t="s">
        <v>44</v>
      </c>
      <c r="AC64" s="454"/>
      <c r="AD64" s="460"/>
      <c r="AF64" s="84">
        <f>SUM(AF61:AF63)</f>
        <v>96000</v>
      </c>
    </row>
    <row r="65" spans="1:32" ht="25.5" customHeight="1">
      <c r="A65" s="461">
        <v>1</v>
      </c>
      <c r="B65" s="462"/>
      <c r="C65" s="104" t="s">
        <v>120</v>
      </c>
      <c r="D65" s="171"/>
      <c r="E65" s="168"/>
      <c r="F65" s="463" t="s">
        <v>301</v>
      </c>
      <c r="G65" s="464"/>
      <c r="H65" s="464"/>
      <c r="I65" s="464"/>
      <c r="J65" s="465"/>
      <c r="K65" s="466" t="s">
        <v>128</v>
      </c>
      <c r="L65" s="466"/>
      <c r="M65" s="51" t="s">
        <v>230</v>
      </c>
      <c r="N65" s="467" t="s">
        <v>250</v>
      </c>
      <c r="O65" s="467"/>
      <c r="P65" s="468">
        <v>50</v>
      </c>
      <c r="Q65" s="468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66"/>
      <c r="AC65" s="466"/>
      <c r="AD65" s="469"/>
      <c r="AF65" s="50"/>
    </row>
    <row r="66" spans="1:32" ht="25.5" customHeight="1">
      <c r="A66" s="461">
        <v>2</v>
      </c>
      <c r="B66" s="462"/>
      <c r="C66" s="104" t="s">
        <v>118</v>
      </c>
      <c r="D66" s="171"/>
      <c r="E66" s="168" t="s">
        <v>212</v>
      </c>
      <c r="F66" s="463" t="s">
        <v>274</v>
      </c>
      <c r="G66" s="464"/>
      <c r="H66" s="464"/>
      <c r="I66" s="464"/>
      <c r="J66" s="465"/>
      <c r="K66" s="466" t="s">
        <v>283</v>
      </c>
      <c r="L66" s="466"/>
      <c r="M66" s="51" t="s">
        <v>230</v>
      </c>
      <c r="N66" s="467" t="s">
        <v>140</v>
      </c>
      <c r="O66" s="467"/>
      <c r="P66" s="468">
        <v>100</v>
      </c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3</v>
      </c>
      <c r="B67" s="462"/>
      <c r="C67" s="104" t="s">
        <v>120</v>
      </c>
      <c r="D67" s="171"/>
      <c r="E67" s="168"/>
      <c r="F67" s="463" t="s">
        <v>173</v>
      </c>
      <c r="G67" s="464"/>
      <c r="H67" s="464"/>
      <c r="I67" s="464"/>
      <c r="J67" s="465"/>
      <c r="K67" s="466" t="s">
        <v>142</v>
      </c>
      <c r="L67" s="466"/>
      <c r="M67" s="51" t="s">
        <v>302</v>
      </c>
      <c r="N67" s="467" t="s">
        <v>190</v>
      </c>
      <c r="O67" s="467"/>
      <c r="P67" s="468">
        <v>300</v>
      </c>
      <c r="Q67" s="468"/>
      <c r="R67" s="442" t="s">
        <v>303</v>
      </c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4</v>
      </c>
      <c r="B68" s="462"/>
      <c r="C68" s="104"/>
      <c r="D68" s="171"/>
      <c r="E68" s="168"/>
      <c r="F68" s="463"/>
      <c r="G68" s="464"/>
      <c r="H68" s="464"/>
      <c r="I68" s="464"/>
      <c r="J68" s="465"/>
      <c r="K68" s="466"/>
      <c r="L68" s="466"/>
      <c r="M68" s="51"/>
      <c r="N68" s="467"/>
      <c r="O68" s="467"/>
      <c r="P68" s="468"/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5</v>
      </c>
      <c r="B69" s="462"/>
      <c r="C69" s="104"/>
      <c r="D69" s="171"/>
      <c r="E69" s="168"/>
      <c r="F69" s="463"/>
      <c r="G69" s="464"/>
      <c r="H69" s="464"/>
      <c r="I69" s="464"/>
      <c r="J69" s="465"/>
      <c r="K69" s="466"/>
      <c r="L69" s="466"/>
      <c r="M69" s="51"/>
      <c r="N69" s="467"/>
      <c r="O69" s="467"/>
      <c r="P69" s="468"/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6</v>
      </c>
      <c r="B70" s="462"/>
      <c r="C70" s="104"/>
      <c r="D70" s="171"/>
      <c r="E70" s="168"/>
      <c r="F70" s="463"/>
      <c r="G70" s="464"/>
      <c r="H70" s="464"/>
      <c r="I70" s="464"/>
      <c r="J70" s="465"/>
      <c r="K70" s="466"/>
      <c r="L70" s="466"/>
      <c r="M70" s="51"/>
      <c r="N70" s="467"/>
      <c r="O70" s="467"/>
      <c r="P70" s="468"/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7</v>
      </c>
      <c r="B71" s="462"/>
      <c r="C71" s="104"/>
      <c r="D71" s="171"/>
      <c r="E71" s="168"/>
      <c r="F71" s="463"/>
      <c r="G71" s="464"/>
      <c r="H71" s="464"/>
      <c r="I71" s="464"/>
      <c r="J71" s="465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8</v>
      </c>
      <c r="B72" s="462"/>
      <c r="C72" s="104"/>
      <c r="D72" s="171"/>
      <c r="E72" s="168"/>
      <c r="F72" s="470"/>
      <c r="G72" s="466"/>
      <c r="H72" s="466"/>
      <c r="I72" s="466"/>
      <c r="J72" s="466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9</v>
      </c>
      <c r="B73" s="462"/>
      <c r="C73" s="104"/>
      <c r="D73" s="171"/>
      <c r="E73" s="168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10</v>
      </c>
      <c r="B74" s="462"/>
      <c r="C74" s="104"/>
      <c r="D74" s="171"/>
      <c r="E74" s="168"/>
      <c r="F74" s="470"/>
      <c r="G74" s="466"/>
      <c r="H74" s="466"/>
      <c r="I74" s="466"/>
      <c r="J74" s="466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6.25" customHeight="1" thickBot="1">
      <c r="A75" s="471" t="s">
        <v>304</v>
      </c>
      <c r="B75" s="471"/>
      <c r="C75" s="471"/>
      <c r="D75" s="471"/>
      <c r="E75" s="471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2" t="s">
        <v>126</v>
      </c>
      <c r="B76" s="473"/>
      <c r="C76" s="170" t="s">
        <v>2</v>
      </c>
      <c r="D76" s="170" t="s">
        <v>37</v>
      </c>
      <c r="E76" s="170" t="s">
        <v>125</v>
      </c>
      <c r="F76" s="473" t="s">
        <v>38</v>
      </c>
      <c r="G76" s="473"/>
      <c r="H76" s="473"/>
      <c r="I76" s="473"/>
      <c r="J76" s="473"/>
      <c r="K76" s="474" t="s">
        <v>58</v>
      </c>
      <c r="L76" s="475"/>
      <c r="M76" s="475"/>
      <c r="N76" s="475"/>
      <c r="O76" s="475"/>
      <c r="P76" s="475"/>
      <c r="Q76" s="475"/>
      <c r="R76" s="475"/>
      <c r="S76" s="476"/>
      <c r="T76" s="473" t="s">
        <v>49</v>
      </c>
      <c r="U76" s="473"/>
      <c r="V76" s="474" t="s">
        <v>50</v>
      </c>
      <c r="W76" s="476"/>
      <c r="X76" s="475" t="s">
        <v>51</v>
      </c>
      <c r="Y76" s="475"/>
      <c r="Z76" s="475"/>
      <c r="AA76" s="475"/>
      <c r="AB76" s="475"/>
      <c r="AC76" s="475"/>
      <c r="AD76" s="477"/>
      <c r="AF76" s="50"/>
    </row>
    <row r="77" spans="1:32" ht="33.75" customHeight="1">
      <c r="A77" s="486">
        <v>1</v>
      </c>
      <c r="B77" s="487"/>
      <c r="C77" s="172" t="s">
        <v>112</v>
      </c>
      <c r="D77" s="172"/>
      <c r="E77" s="65" t="s">
        <v>117</v>
      </c>
      <c r="F77" s="488" t="s">
        <v>116</v>
      </c>
      <c r="G77" s="489"/>
      <c r="H77" s="489"/>
      <c r="I77" s="489"/>
      <c r="J77" s="490"/>
      <c r="K77" s="491" t="s">
        <v>119</v>
      </c>
      <c r="L77" s="492"/>
      <c r="M77" s="492"/>
      <c r="N77" s="492"/>
      <c r="O77" s="492"/>
      <c r="P77" s="492"/>
      <c r="Q77" s="492"/>
      <c r="R77" s="492"/>
      <c r="S77" s="493"/>
      <c r="T77" s="494">
        <v>44118</v>
      </c>
      <c r="U77" s="495"/>
      <c r="V77" s="496"/>
      <c r="W77" s="496"/>
      <c r="X77" s="497"/>
      <c r="Y77" s="497"/>
      <c r="Z77" s="497"/>
      <c r="AA77" s="497"/>
      <c r="AB77" s="497"/>
      <c r="AC77" s="497"/>
      <c r="AD77" s="498"/>
      <c r="AF77" s="50"/>
    </row>
    <row r="78" spans="1:32" ht="30" customHeight="1">
      <c r="A78" s="478">
        <f>A77+1</f>
        <v>2</v>
      </c>
      <c r="B78" s="479"/>
      <c r="C78" s="171"/>
      <c r="D78" s="171"/>
      <c r="E78" s="32"/>
      <c r="F78" s="479"/>
      <c r="G78" s="479"/>
      <c r="H78" s="479"/>
      <c r="I78" s="479"/>
      <c r="J78" s="479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78">
        <f t="shared" ref="A79:A83" si="11">A78+1</f>
        <v>3</v>
      </c>
      <c r="B79" s="479"/>
      <c r="C79" s="171"/>
      <c r="D79" s="171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si="11"/>
        <v>4</v>
      </c>
      <c r="B80" s="479"/>
      <c r="C80" s="171"/>
      <c r="D80" s="171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11"/>
        <v>5</v>
      </c>
      <c r="B81" s="479"/>
      <c r="C81" s="171"/>
      <c r="D81" s="171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11"/>
        <v>6</v>
      </c>
      <c r="B82" s="479"/>
      <c r="C82" s="171"/>
      <c r="D82" s="171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11"/>
        <v>7</v>
      </c>
      <c r="B83" s="479"/>
      <c r="C83" s="171"/>
      <c r="D83" s="171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1" t="s">
        <v>305</v>
      </c>
      <c r="B84" s="471"/>
      <c r="C84" s="471"/>
      <c r="D84" s="471"/>
      <c r="E84" s="471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2" t="s">
        <v>111</v>
      </c>
      <c r="B85" s="473"/>
      <c r="C85" s="499" t="s">
        <v>52</v>
      </c>
      <c r="D85" s="499"/>
      <c r="E85" s="499" t="s">
        <v>53</v>
      </c>
      <c r="F85" s="499"/>
      <c r="G85" s="499"/>
      <c r="H85" s="499"/>
      <c r="I85" s="499"/>
      <c r="J85" s="499"/>
      <c r="K85" s="499" t="s">
        <v>54</v>
      </c>
      <c r="L85" s="499"/>
      <c r="M85" s="499"/>
      <c r="N85" s="499"/>
      <c r="O85" s="499"/>
      <c r="P85" s="499"/>
      <c r="Q85" s="499"/>
      <c r="R85" s="499"/>
      <c r="S85" s="499"/>
      <c r="T85" s="499" t="s">
        <v>55</v>
      </c>
      <c r="U85" s="499"/>
      <c r="V85" s="499" t="s">
        <v>56</v>
      </c>
      <c r="W85" s="499"/>
      <c r="X85" s="499"/>
      <c r="Y85" s="499" t="s">
        <v>51</v>
      </c>
      <c r="Z85" s="499"/>
      <c r="AA85" s="499"/>
      <c r="AB85" s="499"/>
      <c r="AC85" s="499"/>
      <c r="AD85" s="500"/>
      <c r="AF85" s="50"/>
    </row>
    <row r="86" spans="1:32" ht="30.75" customHeight="1">
      <c r="A86" s="486">
        <v>1</v>
      </c>
      <c r="B86" s="487"/>
      <c r="C86" s="501">
        <v>9</v>
      </c>
      <c r="D86" s="501"/>
      <c r="E86" s="501" t="s">
        <v>149</v>
      </c>
      <c r="F86" s="501"/>
      <c r="G86" s="501"/>
      <c r="H86" s="501"/>
      <c r="I86" s="501"/>
      <c r="J86" s="501"/>
      <c r="K86" s="501" t="s">
        <v>150</v>
      </c>
      <c r="L86" s="501"/>
      <c r="M86" s="501"/>
      <c r="N86" s="501"/>
      <c r="O86" s="501"/>
      <c r="P86" s="501"/>
      <c r="Q86" s="501"/>
      <c r="R86" s="501"/>
      <c r="S86" s="501"/>
      <c r="T86" s="501" t="s">
        <v>151</v>
      </c>
      <c r="U86" s="501"/>
      <c r="V86" s="502" t="s">
        <v>265</v>
      </c>
      <c r="W86" s="502"/>
      <c r="X86" s="502"/>
      <c r="Y86" s="503" t="s">
        <v>239</v>
      </c>
      <c r="Z86" s="503"/>
      <c r="AA86" s="503"/>
      <c r="AB86" s="503"/>
      <c r="AC86" s="503"/>
      <c r="AD86" s="504"/>
      <c r="AF86" s="50"/>
    </row>
    <row r="87" spans="1:32" ht="30.75" customHeight="1">
      <c r="A87" s="478">
        <v>2</v>
      </c>
      <c r="B87" s="479"/>
      <c r="C87" s="512"/>
      <c r="D87" s="512"/>
      <c r="E87" s="512"/>
      <c r="F87" s="512"/>
      <c r="G87" s="512"/>
      <c r="H87" s="512"/>
      <c r="I87" s="512"/>
      <c r="J87" s="512"/>
      <c r="K87" s="512"/>
      <c r="L87" s="512"/>
      <c r="M87" s="512"/>
      <c r="N87" s="512"/>
      <c r="O87" s="512"/>
      <c r="P87" s="512"/>
      <c r="Q87" s="512"/>
      <c r="R87" s="512"/>
      <c r="S87" s="512"/>
      <c r="T87" s="513"/>
      <c r="U87" s="513"/>
      <c r="V87" s="514"/>
      <c r="W87" s="514"/>
      <c r="X87" s="514"/>
      <c r="Y87" s="505"/>
      <c r="Z87" s="505"/>
      <c r="AA87" s="505"/>
      <c r="AB87" s="505"/>
      <c r="AC87" s="505"/>
      <c r="AD87" s="506"/>
      <c r="AF87" s="50"/>
    </row>
    <row r="88" spans="1:32" ht="30.75" customHeight="1" thickBot="1">
      <c r="A88" s="507">
        <v>3</v>
      </c>
      <c r="B88" s="508"/>
      <c r="C88" s="509"/>
      <c r="D88" s="509"/>
      <c r="E88" s="509"/>
      <c r="F88" s="509"/>
      <c r="G88" s="509"/>
      <c r="H88" s="509"/>
      <c r="I88" s="509"/>
      <c r="J88" s="509"/>
      <c r="K88" s="509"/>
      <c r="L88" s="509"/>
      <c r="M88" s="509"/>
      <c r="N88" s="509"/>
      <c r="O88" s="509"/>
      <c r="P88" s="509"/>
      <c r="Q88" s="509"/>
      <c r="R88" s="509"/>
      <c r="S88" s="509"/>
      <c r="T88" s="509"/>
      <c r="U88" s="509"/>
      <c r="V88" s="509"/>
      <c r="W88" s="509"/>
      <c r="X88" s="509"/>
      <c r="Y88" s="510"/>
      <c r="Z88" s="510"/>
      <c r="AA88" s="510"/>
      <c r="AB88" s="510"/>
      <c r="AC88" s="510"/>
      <c r="AD88" s="511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B989-B2D8-442F-A194-8889FB117C00}">
  <dimension ref="A1:AF87"/>
  <sheetViews>
    <sheetView view="pageBreakPreview" zoomScale="70" zoomScaleNormal="72" zoomScaleSheetLayoutView="70" workbookViewId="0">
      <selection activeCell="K79" sqref="K79:S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306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185" t="s">
        <v>17</v>
      </c>
      <c r="L5" s="185" t="s">
        <v>18</v>
      </c>
      <c r="M5" s="185" t="s">
        <v>19</v>
      </c>
      <c r="N5" s="18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212</v>
      </c>
      <c r="E6" s="53" t="s">
        <v>298</v>
      </c>
      <c r="F6" s="30" t="s">
        <v>132</v>
      </c>
      <c r="G6" s="12">
        <v>1</v>
      </c>
      <c r="H6" s="13">
        <v>24</v>
      </c>
      <c r="I6" s="7">
        <v>4000</v>
      </c>
      <c r="J6" s="14">
        <v>3233</v>
      </c>
      <c r="K6" s="15">
        <f>L6</f>
        <v>3233</v>
      </c>
      <c r="L6" s="15">
        <f>1863+1370</f>
        <v>3233</v>
      </c>
      <c r="M6" s="15">
        <f t="shared" ref="M6:M21" si="0">L6-N6</f>
        <v>3233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19</v>
      </c>
      <c r="Q6" s="40">
        <f t="shared" ref="Q6:Q21" si="3">SUM(R6:AA6)</f>
        <v>5</v>
      </c>
      <c r="R6" s="7"/>
      <c r="S6" s="6"/>
      <c r="T6" s="16"/>
      <c r="U6" s="16"/>
      <c r="V6" s="17"/>
      <c r="W6" s="5">
        <v>5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0.79166666666666663</v>
      </c>
      <c r="AD6" s="10">
        <f t="shared" ref="AD6:AD21" si="6">AC6*AB6*(1-O6)</f>
        <v>0.79166666666666663</v>
      </c>
      <c r="AE6" s="36">
        <f t="shared" ref="AE6:AE21" si="7">$AD$22</f>
        <v>0.52864583333333326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212</v>
      </c>
      <c r="E7" s="53" t="s">
        <v>256</v>
      </c>
      <c r="F7" s="30" t="s">
        <v>267</v>
      </c>
      <c r="G7" s="12">
        <v>1</v>
      </c>
      <c r="H7" s="13">
        <v>24</v>
      </c>
      <c r="I7" s="31">
        <v>2000</v>
      </c>
      <c r="J7" s="14">
        <v>885</v>
      </c>
      <c r="K7" s="15">
        <f>L7+3960</f>
        <v>3960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0.52864583333333326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139</v>
      </c>
      <c r="D8" s="52" t="s">
        <v>115</v>
      </c>
      <c r="E8" s="53" t="s">
        <v>284</v>
      </c>
      <c r="F8" s="30" t="s">
        <v>165</v>
      </c>
      <c r="G8" s="33">
        <v>3</v>
      </c>
      <c r="H8" s="35">
        <v>24</v>
      </c>
      <c r="I8" s="7">
        <v>50000</v>
      </c>
      <c r="J8" s="5">
        <v>14391</v>
      </c>
      <c r="K8" s="15">
        <f>L8+7224</f>
        <v>21615</v>
      </c>
      <c r="L8" s="15">
        <f>3128*3+1669*3</f>
        <v>14391</v>
      </c>
      <c r="M8" s="15">
        <f t="shared" si="0"/>
        <v>14391</v>
      </c>
      <c r="N8" s="15">
        <v>0</v>
      </c>
      <c r="O8" s="58">
        <f t="shared" si="1"/>
        <v>0</v>
      </c>
      <c r="P8" s="39">
        <f t="shared" si="2"/>
        <v>19</v>
      </c>
      <c r="Q8" s="40">
        <f t="shared" si="3"/>
        <v>5</v>
      </c>
      <c r="R8" s="7"/>
      <c r="S8" s="6">
        <v>5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6">
        <f t="shared" si="7"/>
        <v>0.52864583333333326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134</v>
      </c>
      <c r="F9" s="30" t="s">
        <v>133</v>
      </c>
      <c r="G9" s="12">
        <v>1</v>
      </c>
      <c r="H9" s="13">
        <v>24</v>
      </c>
      <c r="I9" s="7">
        <v>50000</v>
      </c>
      <c r="J9" s="14">
        <v>5474</v>
      </c>
      <c r="K9" s="15">
        <f>L9+4441+5448+5546+5454</f>
        <v>26363</v>
      </c>
      <c r="L9" s="15">
        <f>2717+2757</f>
        <v>5474</v>
      </c>
      <c r="M9" s="15">
        <f t="shared" si="0"/>
        <v>5474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0.52864583333333326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135</v>
      </c>
      <c r="E10" s="53" t="s">
        <v>268</v>
      </c>
      <c r="F10" s="30" t="s">
        <v>244</v>
      </c>
      <c r="G10" s="33">
        <v>1</v>
      </c>
      <c r="H10" s="35">
        <v>24</v>
      </c>
      <c r="I10" s="7">
        <v>2000</v>
      </c>
      <c r="J10" s="14">
        <v>2070</v>
      </c>
      <c r="K10" s="15">
        <f>L10+2070</f>
        <v>2070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0.52864583333333326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139</v>
      </c>
      <c r="D11" s="52" t="s">
        <v>285</v>
      </c>
      <c r="E11" s="53" t="s">
        <v>307</v>
      </c>
      <c r="F11" s="30" t="s">
        <v>244</v>
      </c>
      <c r="G11" s="33">
        <v>3</v>
      </c>
      <c r="H11" s="35">
        <v>24</v>
      </c>
      <c r="I11" s="7">
        <v>500</v>
      </c>
      <c r="J11" s="14">
        <v>655</v>
      </c>
      <c r="K11" s="15">
        <f>L11</f>
        <v>655</v>
      </c>
      <c r="L11" s="15">
        <f>434+221</f>
        <v>655</v>
      </c>
      <c r="M11" s="15">
        <f t="shared" si="0"/>
        <v>655</v>
      </c>
      <c r="N11" s="15">
        <v>0</v>
      </c>
      <c r="O11" s="58">
        <f t="shared" si="1"/>
        <v>0</v>
      </c>
      <c r="P11" s="39">
        <f t="shared" si="2"/>
        <v>7</v>
      </c>
      <c r="Q11" s="40">
        <f t="shared" si="3"/>
        <v>17</v>
      </c>
      <c r="R11" s="7"/>
      <c r="S11" s="6">
        <v>17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0.29166666666666669</v>
      </c>
      <c r="AD11" s="10">
        <f t="shared" si="6"/>
        <v>0.29166666666666669</v>
      </c>
      <c r="AE11" s="36">
        <f t="shared" si="7"/>
        <v>0.52864583333333326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144</v>
      </c>
      <c r="F12" s="30" t="s">
        <v>145</v>
      </c>
      <c r="G12" s="12">
        <v>1</v>
      </c>
      <c r="H12" s="13">
        <v>22</v>
      </c>
      <c r="I12" s="31">
        <v>120000</v>
      </c>
      <c r="J12" s="5">
        <v>3503</v>
      </c>
      <c r="K12" s="15">
        <f>L12+4597+5041+5597+5567+5537+3364+5103+4208+3250+4473+4603+3900+3271+5266+5310+2806+4497+4981+4384</f>
        <v>89258</v>
      </c>
      <c r="L12" s="15">
        <f>728+2775</f>
        <v>3503</v>
      </c>
      <c r="M12" s="15">
        <f t="shared" si="0"/>
        <v>3503</v>
      </c>
      <c r="N12" s="15">
        <v>0</v>
      </c>
      <c r="O12" s="58">
        <f t="shared" si="1"/>
        <v>0</v>
      </c>
      <c r="P12" s="39">
        <f t="shared" si="2"/>
        <v>15</v>
      </c>
      <c r="Q12" s="40">
        <f t="shared" si="3"/>
        <v>9</v>
      </c>
      <c r="R12" s="7"/>
      <c r="S12" s="6">
        <v>9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0.625</v>
      </c>
      <c r="AD12" s="10">
        <f t="shared" si="6"/>
        <v>0.625</v>
      </c>
      <c r="AE12" s="36">
        <f t="shared" si="7"/>
        <v>0.52864583333333326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139</v>
      </c>
      <c r="D13" s="52" t="s">
        <v>166</v>
      </c>
      <c r="E13" s="53" t="s">
        <v>167</v>
      </c>
      <c r="F13" s="30" t="s">
        <v>168</v>
      </c>
      <c r="G13" s="33" t="s">
        <v>169</v>
      </c>
      <c r="H13" s="35">
        <v>24</v>
      </c>
      <c r="I13" s="7">
        <v>9000</v>
      </c>
      <c r="J13" s="14">
        <v>3407</v>
      </c>
      <c r="K13" s="15">
        <f>L13+1314+2556+2750+1287</f>
        <v>11314</v>
      </c>
      <c r="L13" s="15">
        <f>1887+1520</f>
        <v>3407</v>
      </c>
      <c r="M13" s="15">
        <f t="shared" si="0"/>
        <v>3407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 t="shared" si="6"/>
        <v>0.83333333333333337</v>
      </c>
      <c r="AE13" s="36">
        <f t="shared" si="7"/>
        <v>0.52864583333333326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218</v>
      </c>
      <c r="F14" s="30" t="s">
        <v>245</v>
      </c>
      <c r="G14" s="33">
        <v>1</v>
      </c>
      <c r="H14" s="35">
        <v>50</v>
      </c>
      <c r="I14" s="7">
        <v>300</v>
      </c>
      <c r="J14" s="5">
        <v>572</v>
      </c>
      <c r="K14" s="15">
        <f>L14+572</f>
        <v>572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0.52864583333333326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/>
      <c r="E15" s="53" t="s">
        <v>137</v>
      </c>
      <c r="F15" s="12" t="s">
        <v>128</v>
      </c>
      <c r="G15" s="12">
        <v>1</v>
      </c>
      <c r="H15" s="13">
        <v>24</v>
      </c>
      <c r="I15" s="31">
        <v>2000</v>
      </c>
      <c r="J15" s="14">
        <v>4493</v>
      </c>
      <c r="K15" s="15">
        <f>L15+3470+4493</f>
        <v>7963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0.52864583333333326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139</v>
      </c>
      <c r="D16" s="52" t="s">
        <v>115</v>
      </c>
      <c r="E16" s="53" t="s">
        <v>276</v>
      </c>
      <c r="F16" s="30" t="s">
        <v>165</v>
      </c>
      <c r="G16" s="12">
        <v>2</v>
      </c>
      <c r="H16" s="13">
        <v>24</v>
      </c>
      <c r="I16" s="7">
        <v>10000</v>
      </c>
      <c r="J16" s="14">
        <v>4292</v>
      </c>
      <c r="K16" s="15">
        <f>L16</f>
        <v>4292</v>
      </c>
      <c r="L16" s="15">
        <f>765*2+1381*2</f>
        <v>4292</v>
      </c>
      <c r="M16" s="15">
        <f t="shared" si="0"/>
        <v>4292</v>
      </c>
      <c r="N16" s="15">
        <v>0</v>
      </c>
      <c r="O16" s="58">
        <f t="shared" si="1"/>
        <v>0</v>
      </c>
      <c r="P16" s="39">
        <f t="shared" si="2"/>
        <v>10</v>
      </c>
      <c r="Q16" s="40">
        <f t="shared" si="3"/>
        <v>14</v>
      </c>
      <c r="R16" s="7"/>
      <c r="S16" s="6"/>
      <c r="T16" s="16"/>
      <c r="U16" s="16"/>
      <c r="V16" s="17">
        <v>5</v>
      </c>
      <c r="W16" s="5">
        <v>9</v>
      </c>
      <c r="X16" s="16"/>
      <c r="Y16" s="16"/>
      <c r="Z16" s="16"/>
      <c r="AA16" s="18"/>
      <c r="AB16" s="8">
        <f t="shared" si="4"/>
        <v>1</v>
      </c>
      <c r="AC16" s="9">
        <f t="shared" si="5"/>
        <v>0.41666666666666669</v>
      </c>
      <c r="AD16" s="10">
        <f t="shared" si="6"/>
        <v>0.41666666666666669</v>
      </c>
      <c r="AE16" s="36">
        <f t="shared" si="7"/>
        <v>0.52864583333333326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159</v>
      </c>
      <c r="D17" s="52" t="s">
        <v>170</v>
      </c>
      <c r="E17" s="53" t="s">
        <v>171</v>
      </c>
      <c r="F17" s="30" t="s">
        <v>172</v>
      </c>
      <c r="G17" s="12">
        <v>2</v>
      </c>
      <c r="H17" s="13">
        <v>24</v>
      </c>
      <c r="I17" s="7">
        <v>60000</v>
      </c>
      <c r="J17" s="14">
        <v>13988</v>
      </c>
      <c r="K17" s="15">
        <f>L17+11416+12356+12738+13852</f>
        <v>64350</v>
      </c>
      <c r="L17" s="15">
        <f>3460*2+3534*2</f>
        <v>13988</v>
      </c>
      <c r="M17" s="15">
        <f t="shared" si="0"/>
        <v>13988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0.52864583333333326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130</v>
      </c>
      <c r="E18" s="53" t="s">
        <v>308</v>
      </c>
      <c r="F18" s="30" t="s">
        <v>131</v>
      </c>
      <c r="G18" s="33">
        <v>1</v>
      </c>
      <c r="H18" s="35">
        <v>24</v>
      </c>
      <c r="I18" s="7">
        <v>1000</v>
      </c>
      <c r="J18" s="14">
        <v>1058</v>
      </c>
      <c r="K18" s="15">
        <f>L18</f>
        <v>1058</v>
      </c>
      <c r="L18" s="15">
        <f>1058</f>
        <v>1058</v>
      </c>
      <c r="M18" s="15">
        <f t="shared" si="0"/>
        <v>1058</v>
      </c>
      <c r="N18" s="15">
        <v>0</v>
      </c>
      <c r="O18" s="58">
        <f t="shared" si="1"/>
        <v>0</v>
      </c>
      <c r="P18" s="39">
        <f t="shared" si="2"/>
        <v>6</v>
      </c>
      <c r="Q18" s="40">
        <f t="shared" si="3"/>
        <v>18</v>
      </c>
      <c r="R18" s="7"/>
      <c r="S18" s="6"/>
      <c r="T18" s="16"/>
      <c r="U18" s="16"/>
      <c r="V18" s="17"/>
      <c r="W18" s="5">
        <v>18</v>
      </c>
      <c r="X18" s="16"/>
      <c r="Y18" s="16"/>
      <c r="Z18" s="16"/>
      <c r="AA18" s="18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6">
        <f t="shared" si="7"/>
        <v>0.52864583333333326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174</v>
      </c>
      <c r="E19" s="53" t="s">
        <v>175</v>
      </c>
      <c r="F19" s="30" t="s">
        <v>153</v>
      </c>
      <c r="G19" s="33">
        <v>1</v>
      </c>
      <c r="H19" s="35">
        <v>24</v>
      </c>
      <c r="I19" s="7">
        <v>10000</v>
      </c>
      <c r="J19" s="14">
        <v>3029</v>
      </c>
      <c r="K19" s="15">
        <f>L19+5105+4782+3399+4635</f>
        <v>20950</v>
      </c>
      <c r="L19" s="15">
        <f>695+2334</f>
        <v>3029</v>
      </c>
      <c r="M19" s="15">
        <f t="shared" si="0"/>
        <v>3029</v>
      </c>
      <c r="N19" s="15">
        <v>0</v>
      </c>
      <c r="O19" s="58">
        <f t="shared" si="1"/>
        <v>0</v>
      </c>
      <c r="P19" s="39">
        <f t="shared" si="2"/>
        <v>18</v>
      </c>
      <c r="Q19" s="40">
        <f t="shared" si="3"/>
        <v>6</v>
      </c>
      <c r="R19" s="7"/>
      <c r="S19" s="6">
        <v>6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0.75</v>
      </c>
      <c r="AD19" s="10">
        <f t="shared" si="6"/>
        <v>0.75</v>
      </c>
      <c r="AE19" s="36">
        <f t="shared" si="7"/>
        <v>0.52864583333333326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309</v>
      </c>
      <c r="F20" s="30" t="s">
        <v>129</v>
      </c>
      <c r="G20" s="12">
        <v>4</v>
      </c>
      <c r="H20" s="13">
        <v>24</v>
      </c>
      <c r="I20" s="7">
        <v>130000</v>
      </c>
      <c r="J20" s="14">
        <v>13156</v>
      </c>
      <c r="K20" s="15">
        <f>L20</f>
        <v>13156</v>
      </c>
      <c r="L20" s="15">
        <f>787*4+2502*4</f>
        <v>13156</v>
      </c>
      <c r="M20" s="15">
        <f t="shared" si="0"/>
        <v>13156</v>
      </c>
      <c r="N20" s="15">
        <v>0</v>
      </c>
      <c r="O20" s="58">
        <f t="shared" si="1"/>
        <v>0</v>
      </c>
      <c r="P20" s="39">
        <f t="shared" si="2"/>
        <v>17</v>
      </c>
      <c r="Q20" s="40">
        <f t="shared" si="3"/>
        <v>7</v>
      </c>
      <c r="R20" s="7"/>
      <c r="S20" s="6">
        <v>7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0.70833333333333337</v>
      </c>
      <c r="AD20" s="10">
        <f t="shared" si="6"/>
        <v>0.70833333333333337</v>
      </c>
      <c r="AE20" s="36">
        <f t="shared" si="7"/>
        <v>0.52864583333333326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180</v>
      </c>
      <c r="F21" s="12" t="s">
        <v>114</v>
      </c>
      <c r="G21" s="12">
        <v>3</v>
      </c>
      <c r="H21" s="35">
        <v>20</v>
      </c>
      <c r="I21" s="7">
        <v>200000</v>
      </c>
      <c r="J21" s="14">
        <v>44649</v>
      </c>
      <c r="K21" s="15">
        <f>L21+39891+45588+46440+45777</f>
        <v>222345</v>
      </c>
      <c r="L21" s="15">
        <f>7110*3+7773*3</f>
        <v>44649</v>
      </c>
      <c r="M21" s="15">
        <f t="shared" si="0"/>
        <v>44649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0.52864583333333326</v>
      </c>
      <c r="AF21" s="84">
        <f t="shared" si="8"/>
        <v>16</v>
      </c>
    </row>
    <row r="22" spans="1:32" ht="31.5" customHeight="1" thickBot="1">
      <c r="A22" s="408" t="s">
        <v>34</v>
      </c>
      <c r="B22" s="409"/>
      <c r="C22" s="409"/>
      <c r="D22" s="409"/>
      <c r="E22" s="409"/>
      <c r="F22" s="409"/>
      <c r="G22" s="409"/>
      <c r="H22" s="410"/>
      <c r="I22" s="22">
        <f t="shared" ref="I22:N22" si="9">SUM(I6:I21)</f>
        <v>650800</v>
      </c>
      <c r="J22" s="19">
        <f t="shared" si="9"/>
        <v>118855</v>
      </c>
      <c r="K22" s="20">
        <f t="shared" si="9"/>
        <v>493154</v>
      </c>
      <c r="L22" s="21">
        <f t="shared" si="9"/>
        <v>110835</v>
      </c>
      <c r="M22" s="20">
        <f t="shared" si="9"/>
        <v>110835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203</v>
      </c>
      <c r="Q22" s="43">
        <f t="shared" si="10"/>
        <v>181</v>
      </c>
      <c r="R22" s="23">
        <f t="shared" si="10"/>
        <v>0</v>
      </c>
      <c r="S22" s="24">
        <f t="shared" si="10"/>
        <v>48</v>
      </c>
      <c r="T22" s="24">
        <f t="shared" si="10"/>
        <v>0</v>
      </c>
      <c r="U22" s="24">
        <f t="shared" si="10"/>
        <v>0</v>
      </c>
      <c r="V22" s="25">
        <f t="shared" si="10"/>
        <v>5</v>
      </c>
      <c r="W22" s="26">
        <f t="shared" si="10"/>
        <v>104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0.75</v>
      </c>
      <c r="AC22" s="4">
        <f>AVERAGE(AC6:AC21)</f>
        <v>0.52864583333333326</v>
      </c>
      <c r="AD22" s="4">
        <f>AVERAGE(AD6:AD21)</f>
        <v>0.52864583333333326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11" t="s">
        <v>45</v>
      </c>
      <c r="B49" s="411"/>
      <c r="C49" s="411"/>
      <c r="D49" s="411"/>
      <c r="E49" s="411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12" t="s">
        <v>310</v>
      </c>
      <c r="B50" s="413"/>
      <c r="C50" s="413"/>
      <c r="D50" s="413"/>
      <c r="E50" s="413"/>
      <c r="F50" s="413"/>
      <c r="G50" s="413"/>
      <c r="H50" s="413"/>
      <c r="I50" s="413"/>
      <c r="J50" s="413"/>
      <c r="K50" s="413"/>
      <c r="L50" s="413"/>
      <c r="M50" s="414"/>
      <c r="N50" s="415" t="s">
        <v>316</v>
      </c>
      <c r="O50" s="416"/>
      <c r="P50" s="416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/>
      <c r="AC50" s="416"/>
      <c r="AD50" s="417"/>
    </row>
    <row r="51" spans="1:32" ht="27" customHeight="1">
      <c r="A51" s="418" t="s">
        <v>2</v>
      </c>
      <c r="B51" s="419"/>
      <c r="C51" s="184" t="s">
        <v>46</v>
      </c>
      <c r="D51" s="184" t="s">
        <v>47</v>
      </c>
      <c r="E51" s="184" t="s">
        <v>107</v>
      </c>
      <c r="F51" s="420" t="s">
        <v>106</v>
      </c>
      <c r="G51" s="421"/>
      <c r="H51" s="421"/>
      <c r="I51" s="421"/>
      <c r="J51" s="421"/>
      <c r="K51" s="421"/>
      <c r="L51" s="421"/>
      <c r="M51" s="422"/>
      <c r="N51" s="67" t="s">
        <v>110</v>
      </c>
      <c r="O51" s="184" t="s">
        <v>46</v>
      </c>
      <c r="P51" s="420" t="s">
        <v>47</v>
      </c>
      <c r="Q51" s="423"/>
      <c r="R51" s="420" t="s">
        <v>38</v>
      </c>
      <c r="S51" s="421"/>
      <c r="T51" s="421"/>
      <c r="U51" s="423"/>
      <c r="V51" s="420" t="s">
        <v>48</v>
      </c>
      <c r="W51" s="421"/>
      <c r="X51" s="421"/>
      <c r="Y51" s="421"/>
      <c r="Z51" s="421"/>
      <c r="AA51" s="421"/>
      <c r="AB51" s="421"/>
      <c r="AC51" s="421"/>
      <c r="AD51" s="422"/>
    </row>
    <row r="52" spans="1:32" ht="27" customHeight="1">
      <c r="A52" s="434" t="s">
        <v>118</v>
      </c>
      <c r="B52" s="435"/>
      <c r="C52" s="180" t="s">
        <v>136</v>
      </c>
      <c r="D52" s="180" t="s">
        <v>115</v>
      </c>
      <c r="E52" s="180" t="s">
        <v>144</v>
      </c>
      <c r="F52" s="436" t="s">
        <v>297</v>
      </c>
      <c r="G52" s="437"/>
      <c r="H52" s="437"/>
      <c r="I52" s="437"/>
      <c r="J52" s="437"/>
      <c r="K52" s="437"/>
      <c r="L52" s="437"/>
      <c r="M52" s="438"/>
      <c r="N52" s="183" t="s">
        <v>139</v>
      </c>
      <c r="O52" s="177" t="s">
        <v>224</v>
      </c>
      <c r="P52" s="439" t="s">
        <v>285</v>
      </c>
      <c r="Q52" s="440"/>
      <c r="R52" s="439" t="s">
        <v>317</v>
      </c>
      <c r="S52" s="441"/>
      <c r="T52" s="441"/>
      <c r="U52" s="440"/>
      <c r="V52" s="442" t="s">
        <v>138</v>
      </c>
      <c r="W52" s="442"/>
      <c r="X52" s="442"/>
      <c r="Y52" s="442"/>
      <c r="Z52" s="442"/>
      <c r="AA52" s="442"/>
      <c r="AB52" s="442"/>
      <c r="AC52" s="442"/>
      <c r="AD52" s="443"/>
    </row>
    <row r="53" spans="1:32" ht="27" customHeight="1">
      <c r="A53" s="434" t="s">
        <v>139</v>
      </c>
      <c r="B53" s="435"/>
      <c r="C53" s="180" t="s">
        <v>127</v>
      </c>
      <c r="D53" s="180" t="s">
        <v>170</v>
      </c>
      <c r="E53" s="180" t="s">
        <v>183</v>
      </c>
      <c r="F53" s="436" t="s">
        <v>311</v>
      </c>
      <c r="G53" s="437"/>
      <c r="H53" s="437"/>
      <c r="I53" s="437"/>
      <c r="J53" s="437"/>
      <c r="K53" s="437"/>
      <c r="L53" s="437"/>
      <c r="M53" s="438"/>
      <c r="N53" s="183" t="s">
        <v>118</v>
      </c>
      <c r="O53" s="177" t="s">
        <v>136</v>
      </c>
      <c r="P53" s="439" t="s">
        <v>115</v>
      </c>
      <c r="Q53" s="440"/>
      <c r="R53" s="439" t="s">
        <v>144</v>
      </c>
      <c r="S53" s="441"/>
      <c r="T53" s="441"/>
      <c r="U53" s="440"/>
      <c r="V53" s="442" t="s">
        <v>124</v>
      </c>
      <c r="W53" s="442"/>
      <c r="X53" s="442"/>
      <c r="Y53" s="442"/>
      <c r="Z53" s="442"/>
      <c r="AA53" s="442"/>
      <c r="AB53" s="442"/>
      <c r="AC53" s="442"/>
      <c r="AD53" s="443"/>
    </row>
    <row r="54" spans="1:32" ht="27" customHeight="1">
      <c r="A54" s="434" t="s">
        <v>118</v>
      </c>
      <c r="B54" s="435"/>
      <c r="C54" s="180" t="s">
        <v>208</v>
      </c>
      <c r="D54" s="180" t="s">
        <v>115</v>
      </c>
      <c r="E54" s="180" t="s">
        <v>309</v>
      </c>
      <c r="F54" s="436" t="s">
        <v>312</v>
      </c>
      <c r="G54" s="437"/>
      <c r="H54" s="437"/>
      <c r="I54" s="437"/>
      <c r="J54" s="437"/>
      <c r="K54" s="437"/>
      <c r="L54" s="437"/>
      <c r="M54" s="438"/>
      <c r="N54" s="183" t="s">
        <v>118</v>
      </c>
      <c r="O54" s="177" t="s">
        <v>141</v>
      </c>
      <c r="P54" s="439" t="s">
        <v>228</v>
      </c>
      <c r="Q54" s="440"/>
      <c r="R54" s="439" t="s">
        <v>318</v>
      </c>
      <c r="S54" s="441"/>
      <c r="T54" s="441"/>
      <c r="U54" s="440"/>
      <c r="V54" s="442" t="s">
        <v>206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139</v>
      </c>
      <c r="B55" s="435"/>
      <c r="C55" s="180" t="s">
        <v>190</v>
      </c>
      <c r="D55" s="180" t="s">
        <v>115</v>
      </c>
      <c r="E55" s="180" t="s">
        <v>284</v>
      </c>
      <c r="F55" s="436" t="s">
        <v>313</v>
      </c>
      <c r="G55" s="437"/>
      <c r="H55" s="437"/>
      <c r="I55" s="437"/>
      <c r="J55" s="437"/>
      <c r="K55" s="437"/>
      <c r="L55" s="437"/>
      <c r="M55" s="438"/>
      <c r="N55" s="183"/>
      <c r="O55" s="177"/>
      <c r="P55" s="439"/>
      <c r="Q55" s="440"/>
      <c r="R55" s="439"/>
      <c r="S55" s="441"/>
      <c r="T55" s="441"/>
      <c r="U55" s="440"/>
      <c r="V55" s="442"/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139</v>
      </c>
      <c r="B56" s="435"/>
      <c r="C56" s="180" t="s">
        <v>141</v>
      </c>
      <c r="D56" s="180" t="s">
        <v>115</v>
      </c>
      <c r="E56" s="180" t="s">
        <v>276</v>
      </c>
      <c r="F56" s="436" t="s">
        <v>138</v>
      </c>
      <c r="G56" s="437"/>
      <c r="H56" s="437"/>
      <c r="I56" s="437"/>
      <c r="J56" s="437"/>
      <c r="K56" s="437"/>
      <c r="L56" s="437"/>
      <c r="M56" s="438"/>
      <c r="N56" s="183"/>
      <c r="O56" s="177"/>
      <c r="P56" s="439"/>
      <c r="Q56" s="440"/>
      <c r="R56" s="439"/>
      <c r="S56" s="441"/>
      <c r="T56" s="441"/>
      <c r="U56" s="440"/>
      <c r="V56" s="442"/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139</v>
      </c>
      <c r="B57" s="435"/>
      <c r="C57" s="180" t="s">
        <v>224</v>
      </c>
      <c r="D57" s="180" t="s">
        <v>285</v>
      </c>
      <c r="E57" s="180" t="s">
        <v>314</v>
      </c>
      <c r="F57" s="436" t="s">
        <v>315</v>
      </c>
      <c r="G57" s="437"/>
      <c r="H57" s="437"/>
      <c r="I57" s="437"/>
      <c r="J57" s="437"/>
      <c r="K57" s="437"/>
      <c r="L57" s="437"/>
      <c r="M57" s="438"/>
      <c r="N57" s="183"/>
      <c r="O57" s="177"/>
      <c r="P57" s="439"/>
      <c r="Q57" s="440"/>
      <c r="R57" s="439"/>
      <c r="S57" s="441"/>
      <c r="T57" s="441"/>
      <c r="U57" s="440"/>
      <c r="V57" s="442"/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139</v>
      </c>
      <c r="B58" s="435"/>
      <c r="C58" s="180" t="s">
        <v>141</v>
      </c>
      <c r="D58" s="180" t="s">
        <v>115</v>
      </c>
      <c r="E58" s="180" t="s">
        <v>276</v>
      </c>
      <c r="F58" s="436" t="s">
        <v>293</v>
      </c>
      <c r="G58" s="437"/>
      <c r="H58" s="437"/>
      <c r="I58" s="437"/>
      <c r="J58" s="437"/>
      <c r="K58" s="437"/>
      <c r="L58" s="437"/>
      <c r="M58" s="438"/>
      <c r="N58" s="183"/>
      <c r="O58" s="177"/>
      <c r="P58" s="439"/>
      <c r="Q58" s="440"/>
      <c r="R58" s="439"/>
      <c r="S58" s="441"/>
      <c r="T58" s="441"/>
      <c r="U58" s="440"/>
      <c r="V58" s="442"/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57" t="s">
        <v>112</v>
      </c>
      <c r="B59" s="458"/>
      <c r="C59" s="179" t="s">
        <v>201</v>
      </c>
      <c r="D59" s="179" t="s">
        <v>174</v>
      </c>
      <c r="E59" s="180" t="s">
        <v>175</v>
      </c>
      <c r="F59" s="436" t="s">
        <v>124</v>
      </c>
      <c r="G59" s="437"/>
      <c r="H59" s="437"/>
      <c r="I59" s="437"/>
      <c r="J59" s="437"/>
      <c r="K59" s="437"/>
      <c r="L59" s="437"/>
      <c r="M59" s="438"/>
      <c r="N59" s="183"/>
      <c r="O59" s="177"/>
      <c r="P59" s="439"/>
      <c r="Q59" s="440"/>
      <c r="R59" s="435"/>
      <c r="S59" s="435"/>
      <c r="T59" s="435"/>
      <c r="U59" s="435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57" t="s">
        <v>112</v>
      </c>
      <c r="B60" s="458"/>
      <c r="C60" s="179" t="s">
        <v>200</v>
      </c>
      <c r="D60" s="179" t="s">
        <v>130</v>
      </c>
      <c r="E60" s="180" t="s">
        <v>308</v>
      </c>
      <c r="F60" s="436" t="s">
        <v>138</v>
      </c>
      <c r="G60" s="437"/>
      <c r="H60" s="437"/>
      <c r="I60" s="437"/>
      <c r="J60" s="437"/>
      <c r="K60" s="437"/>
      <c r="L60" s="437"/>
      <c r="M60" s="438"/>
      <c r="N60" s="183"/>
      <c r="O60" s="177"/>
      <c r="P60" s="435"/>
      <c r="Q60" s="435"/>
      <c r="R60" s="435"/>
      <c r="S60" s="435"/>
      <c r="T60" s="435"/>
      <c r="U60" s="435"/>
      <c r="V60" s="442"/>
      <c r="W60" s="442"/>
      <c r="X60" s="442"/>
      <c r="Y60" s="442"/>
      <c r="Z60" s="442"/>
      <c r="AA60" s="442"/>
      <c r="AB60" s="442"/>
      <c r="AC60" s="442"/>
      <c r="AD60" s="443"/>
      <c r="AF60" s="84">
        <f>8*3000</f>
        <v>24000</v>
      </c>
    </row>
    <row r="61" spans="1:32" ht="27" customHeight="1" thickBot="1">
      <c r="A61" s="444"/>
      <c r="B61" s="445"/>
      <c r="C61" s="181"/>
      <c r="D61" s="182"/>
      <c r="E61" s="181"/>
      <c r="F61" s="446"/>
      <c r="G61" s="447"/>
      <c r="H61" s="447"/>
      <c r="I61" s="447"/>
      <c r="J61" s="447"/>
      <c r="K61" s="447"/>
      <c r="L61" s="447"/>
      <c r="M61" s="448"/>
      <c r="N61" s="111"/>
      <c r="O61" s="103"/>
      <c r="P61" s="449"/>
      <c r="Q61" s="449"/>
      <c r="R61" s="449"/>
      <c r="S61" s="449"/>
      <c r="T61" s="449"/>
      <c r="U61" s="449"/>
      <c r="V61" s="450"/>
      <c r="W61" s="450"/>
      <c r="X61" s="450"/>
      <c r="Y61" s="450"/>
      <c r="Z61" s="450"/>
      <c r="AA61" s="450"/>
      <c r="AB61" s="450"/>
      <c r="AC61" s="450"/>
      <c r="AD61" s="451"/>
      <c r="AF61" s="84">
        <f>16*3000</f>
        <v>48000</v>
      </c>
    </row>
    <row r="62" spans="1:32" ht="27.75" thickBot="1">
      <c r="A62" s="452" t="s">
        <v>319</v>
      </c>
      <c r="B62" s="452"/>
      <c r="C62" s="452"/>
      <c r="D62" s="452"/>
      <c r="E62" s="45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53" t="s">
        <v>111</v>
      </c>
      <c r="B63" s="454"/>
      <c r="C63" s="178" t="s">
        <v>2</v>
      </c>
      <c r="D63" s="178" t="s">
        <v>37</v>
      </c>
      <c r="E63" s="178" t="s">
        <v>3</v>
      </c>
      <c r="F63" s="454" t="s">
        <v>109</v>
      </c>
      <c r="G63" s="454"/>
      <c r="H63" s="454"/>
      <c r="I63" s="454"/>
      <c r="J63" s="454"/>
      <c r="K63" s="454" t="s">
        <v>39</v>
      </c>
      <c r="L63" s="454"/>
      <c r="M63" s="178" t="s">
        <v>40</v>
      </c>
      <c r="N63" s="454" t="s">
        <v>41</v>
      </c>
      <c r="O63" s="454"/>
      <c r="P63" s="455" t="s">
        <v>42</v>
      </c>
      <c r="Q63" s="456"/>
      <c r="R63" s="455" t="s">
        <v>43</v>
      </c>
      <c r="S63" s="459"/>
      <c r="T63" s="459"/>
      <c r="U63" s="459"/>
      <c r="V63" s="459"/>
      <c r="W63" s="459"/>
      <c r="X63" s="459"/>
      <c r="Y63" s="459"/>
      <c r="Z63" s="459"/>
      <c r="AA63" s="456"/>
      <c r="AB63" s="454" t="s">
        <v>44</v>
      </c>
      <c r="AC63" s="454"/>
      <c r="AD63" s="460"/>
      <c r="AF63" s="84">
        <f>SUM(AF60:AF62)</f>
        <v>96000</v>
      </c>
    </row>
    <row r="64" spans="1:32" ht="25.5" customHeight="1">
      <c r="A64" s="461">
        <v>1</v>
      </c>
      <c r="B64" s="462"/>
      <c r="C64" s="104" t="s">
        <v>112</v>
      </c>
      <c r="D64" s="173"/>
      <c r="E64" s="176" t="s">
        <v>251</v>
      </c>
      <c r="F64" s="463" t="s">
        <v>320</v>
      </c>
      <c r="G64" s="464"/>
      <c r="H64" s="464"/>
      <c r="I64" s="464"/>
      <c r="J64" s="465"/>
      <c r="K64" s="466" t="s">
        <v>132</v>
      </c>
      <c r="L64" s="466"/>
      <c r="M64" s="51" t="s">
        <v>230</v>
      </c>
      <c r="N64" s="467" t="s">
        <v>140</v>
      </c>
      <c r="O64" s="467"/>
      <c r="P64" s="468">
        <v>100</v>
      </c>
      <c r="Q64" s="468"/>
      <c r="R64" s="442" t="s">
        <v>321</v>
      </c>
      <c r="S64" s="442"/>
      <c r="T64" s="442"/>
      <c r="U64" s="442"/>
      <c r="V64" s="442"/>
      <c r="W64" s="442"/>
      <c r="X64" s="442"/>
      <c r="Y64" s="442"/>
      <c r="Z64" s="442"/>
      <c r="AA64" s="442"/>
      <c r="AB64" s="466"/>
      <c r="AC64" s="466"/>
      <c r="AD64" s="469"/>
      <c r="AF64" s="50"/>
    </row>
    <row r="65" spans="1:32" ht="25.5" customHeight="1">
      <c r="A65" s="461">
        <v>2</v>
      </c>
      <c r="B65" s="462"/>
      <c r="C65" s="104" t="s">
        <v>112</v>
      </c>
      <c r="D65" s="173"/>
      <c r="E65" s="176" t="s">
        <v>115</v>
      </c>
      <c r="F65" s="463" t="s">
        <v>322</v>
      </c>
      <c r="G65" s="464"/>
      <c r="H65" s="464"/>
      <c r="I65" s="464"/>
      <c r="J65" s="465"/>
      <c r="K65" s="466" t="s">
        <v>129</v>
      </c>
      <c r="L65" s="466"/>
      <c r="M65" s="51" t="s">
        <v>232</v>
      </c>
      <c r="N65" s="467" t="s">
        <v>208</v>
      </c>
      <c r="O65" s="467"/>
      <c r="P65" s="468">
        <v>100</v>
      </c>
      <c r="Q65" s="468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66"/>
      <c r="AC65" s="466"/>
      <c r="AD65" s="469"/>
      <c r="AF65" s="50"/>
    </row>
    <row r="66" spans="1:32" ht="25.5" customHeight="1">
      <c r="A66" s="461">
        <v>3</v>
      </c>
      <c r="B66" s="462"/>
      <c r="C66" s="104"/>
      <c r="D66" s="173"/>
      <c r="E66" s="176"/>
      <c r="F66" s="463"/>
      <c r="G66" s="464"/>
      <c r="H66" s="464"/>
      <c r="I66" s="464"/>
      <c r="J66" s="465"/>
      <c r="K66" s="466"/>
      <c r="L66" s="466"/>
      <c r="M66" s="51"/>
      <c r="N66" s="467"/>
      <c r="O66" s="467"/>
      <c r="P66" s="468"/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4</v>
      </c>
      <c r="B67" s="462"/>
      <c r="C67" s="104"/>
      <c r="D67" s="173"/>
      <c r="E67" s="176"/>
      <c r="F67" s="463"/>
      <c r="G67" s="464"/>
      <c r="H67" s="464"/>
      <c r="I67" s="464"/>
      <c r="J67" s="465"/>
      <c r="K67" s="466"/>
      <c r="L67" s="466"/>
      <c r="M67" s="51"/>
      <c r="N67" s="467"/>
      <c r="O67" s="467"/>
      <c r="P67" s="468"/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5</v>
      </c>
      <c r="B68" s="462"/>
      <c r="C68" s="104"/>
      <c r="D68" s="173"/>
      <c r="E68" s="176"/>
      <c r="F68" s="463"/>
      <c r="G68" s="464"/>
      <c r="H68" s="464"/>
      <c r="I68" s="464"/>
      <c r="J68" s="465"/>
      <c r="K68" s="466"/>
      <c r="L68" s="466"/>
      <c r="M68" s="51"/>
      <c r="N68" s="467"/>
      <c r="O68" s="467"/>
      <c r="P68" s="468"/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6</v>
      </c>
      <c r="B69" s="462"/>
      <c r="C69" s="104"/>
      <c r="D69" s="173"/>
      <c r="E69" s="176"/>
      <c r="F69" s="463"/>
      <c r="G69" s="464"/>
      <c r="H69" s="464"/>
      <c r="I69" s="464"/>
      <c r="J69" s="465"/>
      <c r="K69" s="466"/>
      <c r="L69" s="466"/>
      <c r="M69" s="51"/>
      <c r="N69" s="467"/>
      <c r="O69" s="467"/>
      <c r="P69" s="468"/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7</v>
      </c>
      <c r="B70" s="462"/>
      <c r="C70" s="104"/>
      <c r="D70" s="173"/>
      <c r="E70" s="176"/>
      <c r="F70" s="463"/>
      <c r="G70" s="464"/>
      <c r="H70" s="464"/>
      <c r="I70" s="464"/>
      <c r="J70" s="465"/>
      <c r="K70" s="466"/>
      <c r="L70" s="466"/>
      <c r="M70" s="51"/>
      <c r="N70" s="467"/>
      <c r="O70" s="467"/>
      <c r="P70" s="468"/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8</v>
      </c>
      <c r="B71" s="462"/>
      <c r="C71" s="104"/>
      <c r="D71" s="173"/>
      <c r="E71" s="176"/>
      <c r="F71" s="470"/>
      <c r="G71" s="466"/>
      <c r="H71" s="466"/>
      <c r="I71" s="466"/>
      <c r="J71" s="466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9</v>
      </c>
      <c r="B72" s="462"/>
      <c r="C72" s="104"/>
      <c r="D72" s="173"/>
      <c r="E72" s="176"/>
      <c r="F72" s="470"/>
      <c r="G72" s="466"/>
      <c r="H72" s="466"/>
      <c r="I72" s="466"/>
      <c r="J72" s="466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10</v>
      </c>
      <c r="B73" s="462"/>
      <c r="C73" s="104"/>
      <c r="D73" s="173"/>
      <c r="E73" s="176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6.25" customHeight="1" thickBot="1">
      <c r="A74" s="471" t="s">
        <v>323</v>
      </c>
      <c r="B74" s="471"/>
      <c r="C74" s="471"/>
      <c r="D74" s="471"/>
      <c r="E74" s="471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2" t="s">
        <v>126</v>
      </c>
      <c r="B75" s="473"/>
      <c r="C75" s="175" t="s">
        <v>2</v>
      </c>
      <c r="D75" s="175" t="s">
        <v>37</v>
      </c>
      <c r="E75" s="175" t="s">
        <v>125</v>
      </c>
      <c r="F75" s="473" t="s">
        <v>38</v>
      </c>
      <c r="G75" s="473"/>
      <c r="H75" s="473"/>
      <c r="I75" s="473"/>
      <c r="J75" s="473"/>
      <c r="K75" s="474" t="s">
        <v>58</v>
      </c>
      <c r="L75" s="475"/>
      <c r="M75" s="475"/>
      <c r="N75" s="475"/>
      <c r="O75" s="475"/>
      <c r="P75" s="475"/>
      <c r="Q75" s="475"/>
      <c r="R75" s="475"/>
      <c r="S75" s="476"/>
      <c r="T75" s="473" t="s">
        <v>49</v>
      </c>
      <c r="U75" s="473"/>
      <c r="V75" s="474" t="s">
        <v>50</v>
      </c>
      <c r="W75" s="476"/>
      <c r="X75" s="475" t="s">
        <v>51</v>
      </c>
      <c r="Y75" s="475"/>
      <c r="Z75" s="475"/>
      <c r="AA75" s="475"/>
      <c r="AB75" s="475"/>
      <c r="AC75" s="475"/>
      <c r="AD75" s="477"/>
      <c r="AF75" s="50"/>
    </row>
    <row r="76" spans="1:32" ht="33.75" customHeight="1">
      <c r="A76" s="486">
        <v>1</v>
      </c>
      <c r="B76" s="487"/>
      <c r="C76" s="174" t="s">
        <v>112</v>
      </c>
      <c r="D76" s="174"/>
      <c r="E76" s="65" t="s">
        <v>117</v>
      </c>
      <c r="F76" s="488" t="s">
        <v>116</v>
      </c>
      <c r="G76" s="489"/>
      <c r="H76" s="489"/>
      <c r="I76" s="489"/>
      <c r="J76" s="490"/>
      <c r="K76" s="491" t="s">
        <v>119</v>
      </c>
      <c r="L76" s="492"/>
      <c r="M76" s="492"/>
      <c r="N76" s="492"/>
      <c r="O76" s="492"/>
      <c r="P76" s="492"/>
      <c r="Q76" s="492"/>
      <c r="R76" s="492"/>
      <c r="S76" s="493"/>
      <c r="T76" s="494">
        <v>44118</v>
      </c>
      <c r="U76" s="495"/>
      <c r="V76" s="496"/>
      <c r="W76" s="496"/>
      <c r="X76" s="497"/>
      <c r="Y76" s="497"/>
      <c r="Z76" s="497"/>
      <c r="AA76" s="497"/>
      <c r="AB76" s="497"/>
      <c r="AC76" s="497"/>
      <c r="AD76" s="498"/>
      <c r="AF76" s="50"/>
    </row>
    <row r="77" spans="1:32" ht="30" customHeight="1">
      <c r="A77" s="478">
        <f>A76+1</f>
        <v>2</v>
      </c>
      <c r="B77" s="479"/>
      <c r="C77" s="173"/>
      <c r="D77" s="173"/>
      <c r="E77" s="32"/>
      <c r="F77" s="479"/>
      <c r="G77" s="479"/>
      <c r="H77" s="479"/>
      <c r="I77" s="479"/>
      <c r="J77" s="479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78">
        <f t="shared" ref="A78:A82" si="11">A77+1</f>
        <v>3</v>
      </c>
      <c r="B78" s="479"/>
      <c r="C78" s="173"/>
      <c r="D78" s="173"/>
      <c r="E78" s="32"/>
      <c r="F78" s="479"/>
      <c r="G78" s="479"/>
      <c r="H78" s="479"/>
      <c r="I78" s="479"/>
      <c r="J78" s="479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78">
        <f t="shared" si="11"/>
        <v>4</v>
      </c>
      <c r="B79" s="479"/>
      <c r="C79" s="173"/>
      <c r="D79" s="173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si="11"/>
        <v>5</v>
      </c>
      <c r="B80" s="479"/>
      <c r="C80" s="173"/>
      <c r="D80" s="173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11"/>
        <v>6</v>
      </c>
      <c r="B81" s="479"/>
      <c r="C81" s="173"/>
      <c r="D81" s="173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11"/>
        <v>7</v>
      </c>
      <c r="B82" s="479"/>
      <c r="C82" s="173"/>
      <c r="D82" s="173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1" t="s">
        <v>324</v>
      </c>
      <c r="B83" s="471"/>
      <c r="C83" s="471"/>
      <c r="D83" s="471"/>
      <c r="E83" s="47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2" t="s">
        <v>111</v>
      </c>
      <c r="B84" s="473"/>
      <c r="C84" s="499" t="s">
        <v>52</v>
      </c>
      <c r="D84" s="499"/>
      <c r="E84" s="499" t="s">
        <v>53</v>
      </c>
      <c r="F84" s="499"/>
      <c r="G84" s="499"/>
      <c r="H84" s="499"/>
      <c r="I84" s="499"/>
      <c r="J84" s="499"/>
      <c r="K84" s="499" t="s">
        <v>54</v>
      </c>
      <c r="L84" s="499"/>
      <c r="M84" s="499"/>
      <c r="N84" s="499"/>
      <c r="O84" s="499"/>
      <c r="P84" s="499"/>
      <c r="Q84" s="499"/>
      <c r="R84" s="499"/>
      <c r="S84" s="499"/>
      <c r="T84" s="499" t="s">
        <v>55</v>
      </c>
      <c r="U84" s="499"/>
      <c r="V84" s="499" t="s">
        <v>56</v>
      </c>
      <c r="W84" s="499"/>
      <c r="X84" s="499"/>
      <c r="Y84" s="499" t="s">
        <v>51</v>
      </c>
      <c r="Z84" s="499"/>
      <c r="AA84" s="499"/>
      <c r="AB84" s="499"/>
      <c r="AC84" s="499"/>
      <c r="AD84" s="500"/>
      <c r="AF84" s="50"/>
    </row>
    <row r="85" spans="1:32" ht="30.75" customHeight="1">
      <c r="A85" s="486">
        <v>1</v>
      </c>
      <c r="B85" s="487"/>
      <c r="C85" s="501">
        <v>9</v>
      </c>
      <c r="D85" s="501"/>
      <c r="E85" s="501" t="s">
        <v>149</v>
      </c>
      <c r="F85" s="501"/>
      <c r="G85" s="501"/>
      <c r="H85" s="501"/>
      <c r="I85" s="501"/>
      <c r="J85" s="501"/>
      <c r="K85" s="501" t="s">
        <v>150</v>
      </c>
      <c r="L85" s="501"/>
      <c r="M85" s="501"/>
      <c r="N85" s="501"/>
      <c r="O85" s="501"/>
      <c r="P85" s="501"/>
      <c r="Q85" s="501"/>
      <c r="R85" s="501"/>
      <c r="S85" s="501"/>
      <c r="T85" s="501" t="s">
        <v>151</v>
      </c>
      <c r="U85" s="501"/>
      <c r="V85" s="502" t="s">
        <v>265</v>
      </c>
      <c r="W85" s="502"/>
      <c r="X85" s="502"/>
      <c r="Y85" s="503" t="s">
        <v>239</v>
      </c>
      <c r="Z85" s="503"/>
      <c r="AA85" s="503"/>
      <c r="AB85" s="503"/>
      <c r="AC85" s="503"/>
      <c r="AD85" s="504"/>
      <c r="AF85" s="50"/>
    </row>
    <row r="86" spans="1:32" ht="30.75" customHeight="1">
      <c r="A86" s="478">
        <v>2</v>
      </c>
      <c r="B86" s="479"/>
      <c r="C86" s="512"/>
      <c r="D86" s="512"/>
      <c r="E86" s="512"/>
      <c r="F86" s="512"/>
      <c r="G86" s="512"/>
      <c r="H86" s="512"/>
      <c r="I86" s="512"/>
      <c r="J86" s="512"/>
      <c r="K86" s="512"/>
      <c r="L86" s="512"/>
      <c r="M86" s="512"/>
      <c r="N86" s="512"/>
      <c r="O86" s="512"/>
      <c r="P86" s="512"/>
      <c r="Q86" s="512"/>
      <c r="R86" s="512"/>
      <c r="S86" s="512"/>
      <c r="T86" s="513"/>
      <c r="U86" s="513"/>
      <c r="V86" s="514"/>
      <c r="W86" s="514"/>
      <c r="X86" s="514"/>
      <c r="Y86" s="505"/>
      <c r="Z86" s="505"/>
      <c r="AA86" s="505"/>
      <c r="AB86" s="505"/>
      <c r="AC86" s="505"/>
      <c r="AD86" s="506"/>
      <c r="AF86" s="50"/>
    </row>
    <row r="87" spans="1:32" ht="30.75" customHeight="1" thickBot="1">
      <c r="A87" s="507">
        <v>3</v>
      </c>
      <c r="B87" s="508"/>
      <c r="C87" s="509"/>
      <c r="D87" s="509"/>
      <c r="E87" s="509"/>
      <c r="F87" s="509"/>
      <c r="G87" s="509"/>
      <c r="H87" s="509"/>
      <c r="I87" s="509"/>
      <c r="J87" s="509"/>
      <c r="K87" s="509"/>
      <c r="L87" s="509"/>
      <c r="M87" s="509"/>
      <c r="N87" s="509"/>
      <c r="O87" s="509"/>
      <c r="P87" s="509"/>
      <c r="Q87" s="509"/>
      <c r="R87" s="509"/>
      <c r="S87" s="509"/>
      <c r="T87" s="509"/>
      <c r="U87" s="509"/>
      <c r="V87" s="509"/>
      <c r="W87" s="509"/>
      <c r="X87" s="509"/>
      <c r="Y87" s="510"/>
      <c r="Z87" s="510"/>
      <c r="AA87" s="510"/>
      <c r="AB87" s="510"/>
      <c r="AC87" s="510"/>
      <c r="AD87" s="511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4195-BC79-423B-805C-EDB0460090DB}"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325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186" t="s">
        <v>17</v>
      </c>
      <c r="L5" s="186" t="s">
        <v>18</v>
      </c>
      <c r="M5" s="186" t="s">
        <v>19</v>
      </c>
      <c r="N5" s="18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212</v>
      </c>
      <c r="E6" s="53" t="s">
        <v>298</v>
      </c>
      <c r="F6" s="30" t="s">
        <v>132</v>
      </c>
      <c r="G6" s="12">
        <v>1</v>
      </c>
      <c r="H6" s="13">
        <v>24</v>
      </c>
      <c r="I6" s="7">
        <v>4000</v>
      </c>
      <c r="J6" s="14">
        <v>3233</v>
      </c>
      <c r="K6" s="15">
        <f>L6+3233</f>
        <v>3233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0.46078431372549017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212</v>
      </c>
      <c r="E7" s="53" t="s">
        <v>256</v>
      </c>
      <c r="F7" s="30" t="s">
        <v>267</v>
      </c>
      <c r="G7" s="12">
        <v>1</v>
      </c>
      <c r="H7" s="13">
        <v>24</v>
      </c>
      <c r="I7" s="31">
        <v>2000</v>
      </c>
      <c r="J7" s="14">
        <v>885</v>
      </c>
      <c r="K7" s="15">
        <f>L7+3960</f>
        <v>3960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0.46078431372549017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139</v>
      </c>
      <c r="D8" s="52" t="s">
        <v>115</v>
      </c>
      <c r="E8" s="53" t="s">
        <v>284</v>
      </c>
      <c r="F8" s="30" t="s">
        <v>165</v>
      </c>
      <c r="G8" s="33">
        <v>3</v>
      </c>
      <c r="H8" s="35">
        <v>24</v>
      </c>
      <c r="I8" s="7">
        <v>50000</v>
      </c>
      <c r="J8" s="5">
        <v>19017</v>
      </c>
      <c r="K8" s="15">
        <f>L8+7224+14391</f>
        <v>40632</v>
      </c>
      <c r="L8" s="15">
        <f>3107*3+3232*3</f>
        <v>19017</v>
      </c>
      <c r="M8" s="15">
        <f t="shared" si="0"/>
        <v>19017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0.46078431372549017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134</v>
      </c>
      <c r="F9" s="30" t="s">
        <v>133</v>
      </c>
      <c r="G9" s="12">
        <v>1</v>
      </c>
      <c r="H9" s="13">
        <v>24</v>
      </c>
      <c r="I9" s="7">
        <v>50000</v>
      </c>
      <c r="J9" s="14">
        <v>5364</v>
      </c>
      <c r="K9" s="15">
        <f>L9+4441+5448+5546+5454+5474</f>
        <v>31727</v>
      </c>
      <c r="L9" s="15">
        <f>2715+2649</f>
        <v>5364</v>
      </c>
      <c r="M9" s="15">
        <f t="shared" si="0"/>
        <v>5364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0.46078431372549017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135</v>
      </c>
      <c r="E10" s="53" t="s">
        <v>268</v>
      </c>
      <c r="F10" s="30" t="s">
        <v>244</v>
      </c>
      <c r="G10" s="33">
        <v>1</v>
      </c>
      <c r="H10" s="35">
        <v>24</v>
      </c>
      <c r="I10" s="7">
        <v>2000</v>
      </c>
      <c r="J10" s="14">
        <v>2070</v>
      </c>
      <c r="K10" s="15">
        <f>L10+2070</f>
        <v>2070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0.46078431372549017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139</v>
      </c>
      <c r="D11" s="52" t="s">
        <v>285</v>
      </c>
      <c r="E11" s="53" t="s">
        <v>317</v>
      </c>
      <c r="F11" s="30" t="s">
        <v>244</v>
      </c>
      <c r="G11" s="33">
        <v>3</v>
      </c>
      <c r="H11" s="35">
        <v>24</v>
      </c>
      <c r="I11" s="7">
        <v>500</v>
      </c>
      <c r="J11" s="14">
        <v>281</v>
      </c>
      <c r="K11" s="15">
        <f>L11</f>
        <v>281</v>
      </c>
      <c r="L11" s="15">
        <v>281</v>
      </c>
      <c r="M11" s="15">
        <f t="shared" si="0"/>
        <v>281</v>
      </c>
      <c r="N11" s="15">
        <v>0</v>
      </c>
      <c r="O11" s="58">
        <f t="shared" si="1"/>
        <v>0</v>
      </c>
      <c r="P11" s="39">
        <f t="shared" si="2"/>
        <v>4</v>
      </c>
      <c r="Q11" s="40">
        <f t="shared" si="3"/>
        <v>20</v>
      </c>
      <c r="R11" s="7"/>
      <c r="S11" s="6">
        <v>20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0.16666666666666666</v>
      </c>
      <c r="AD11" s="10">
        <f t="shared" si="6"/>
        <v>0.16666666666666666</v>
      </c>
      <c r="AE11" s="36">
        <f t="shared" si="7"/>
        <v>0.46078431372549017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144</v>
      </c>
      <c r="F12" s="30" t="s">
        <v>145</v>
      </c>
      <c r="G12" s="12">
        <v>1</v>
      </c>
      <c r="H12" s="13">
        <v>22</v>
      </c>
      <c r="I12" s="31">
        <v>120000</v>
      </c>
      <c r="J12" s="5">
        <v>3445</v>
      </c>
      <c r="K12" s="15">
        <f>L12+4597+5041+5597+5567+5537+3364+5103+4208+3250+4473+4603+3900+3271+5266+5310+2806+4497+4981+4384+3503</f>
        <v>92703</v>
      </c>
      <c r="L12" s="15">
        <f>762+2683</f>
        <v>3445</v>
      </c>
      <c r="M12" s="15">
        <f t="shared" si="0"/>
        <v>3445</v>
      </c>
      <c r="N12" s="15">
        <v>0</v>
      </c>
      <c r="O12" s="58">
        <f t="shared" si="1"/>
        <v>0</v>
      </c>
      <c r="P12" s="39">
        <f t="shared" si="2"/>
        <v>15</v>
      </c>
      <c r="Q12" s="40">
        <f t="shared" si="3"/>
        <v>9</v>
      </c>
      <c r="R12" s="7"/>
      <c r="S12" s="6">
        <v>9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0.625</v>
      </c>
      <c r="AD12" s="10">
        <f t="shared" si="6"/>
        <v>0.625</v>
      </c>
      <c r="AE12" s="36">
        <f t="shared" si="7"/>
        <v>0.46078431372549017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139</v>
      </c>
      <c r="D13" s="52" t="s">
        <v>166</v>
      </c>
      <c r="E13" s="53" t="s">
        <v>167</v>
      </c>
      <c r="F13" s="30" t="s">
        <v>168</v>
      </c>
      <c r="G13" s="33" t="s">
        <v>169</v>
      </c>
      <c r="H13" s="35">
        <v>24</v>
      </c>
      <c r="I13" s="7">
        <v>9000</v>
      </c>
      <c r="J13" s="14">
        <v>2679</v>
      </c>
      <c r="K13" s="15">
        <f>L13+1314+2556+2750+1287+3407</f>
        <v>13993</v>
      </c>
      <c r="L13" s="15">
        <f>2145+534</f>
        <v>2679</v>
      </c>
      <c r="M13" s="15">
        <f t="shared" si="0"/>
        <v>2679</v>
      </c>
      <c r="N13" s="15">
        <v>0</v>
      </c>
      <c r="O13" s="58">
        <f t="shared" si="1"/>
        <v>0</v>
      </c>
      <c r="P13" s="39">
        <f t="shared" si="2"/>
        <v>17</v>
      </c>
      <c r="Q13" s="40">
        <f t="shared" si="3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0.70833333333333337</v>
      </c>
      <c r="AD13" s="10">
        <f t="shared" si="6"/>
        <v>0.70833333333333337</v>
      </c>
      <c r="AE13" s="36">
        <f t="shared" si="7"/>
        <v>0.46078431372549017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218</v>
      </c>
      <c r="F14" s="30" t="s">
        <v>245</v>
      </c>
      <c r="G14" s="33">
        <v>1</v>
      </c>
      <c r="H14" s="35">
        <v>50</v>
      </c>
      <c r="I14" s="7">
        <v>300</v>
      </c>
      <c r="J14" s="5">
        <v>572</v>
      </c>
      <c r="K14" s="15">
        <f>L14+572</f>
        <v>572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0.46078431372549017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/>
      <c r="E15" s="53" t="s">
        <v>137</v>
      </c>
      <c r="F15" s="12" t="s">
        <v>128</v>
      </c>
      <c r="G15" s="12">
        <v>1</v>
      </c>
      <c r="H15" s="13">
        <v>24</v>
      </c>
      <c r="I15" s="31">
        <v>2000</v>
      </c>
      <c r="J15" s="14">
        <v>4493</v>
      </c>
      <c r="K15" s="15">
        <f>L15+3470+4493</f>
        <v>7963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0.46078431372549017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228</v>
      </c>
      <c r="E16" s="53" t="s">
        <v>318</v>
      </c>
      <c r="F16" s="30" t="s">
        <v>153</v>
      </c>
      <c r="G16" s="12">
        <v>1</v>
      </c>
      <c r="H16" s="13">
        <v>24</v>
      </c>
      <c r="I16" s="7">
        <v>900</v>
      </c>
      <c r="J16" s="14">
        <v>900</v>
      </c>
      <c r="K16" s="15">
        <f>L16</f>
        <v>900</v>
      </c>
      <c r="L16" s="15">
        <v>900</v>
      </c>
      <c r="M16" s="15">
        <f t="shared" si="0"/>
        <v>900</v>
      </c>
      <c r="N16" s="15">
        <v>0</v>
      </c>
      <c r="O16" s="58">
        <f t="shared" si="1"/>
        <v>0</v>
      </c>
      <c r="P16" s="39">
        <f t="shared" si="2"/>
        <v>6</v>
      </c>
      <c r="Q16" s="40">
        <f t="shared" si="3"/>
        <v>18</v>
      </c>
      <c r="R16" s="7"/>
      <c r="S16" s="6"/>
      <c r="T16" s="16"/>
      <c r="U16" s="16"/>
      <c r="V16" s="17"/>
      <c r="W16" s="5">
        <v>18</v>
      </c>
      <c r="X16" s="16"/>
      <c r="Y16" s="16"/>
      <c r="Z16" s="16"/>
      <c r="AA16" s="18"/>
      <c r="AB16" s="8">
        <f t="shared" si="4"/>
        <v>1</v>
      </c>
      <c r="AC16" s="9">
        <f t="shared" si="5"/>
        <v>0.25</v>
      </c>
      <c r="AD16" s="10">
        <f t="shared" si="6"/>
        <v>0.25</v>
      </c>
      <c r="AE16" s="36">
        <f t="shared" si="7"/>
        <v>0.46078431372549017</v>
      </c>
      <c r="AF16" s="84">
        <f t="shared" si="8"/>
        <v>11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326</v>
      </c>
      <c r="E17" s="53" t="s">
        <v>327</v>
      </c>
      <c r="F17" s="30" t="s">
        <v>245</v>
      </c>
      <c r="G17" s="12">
        <v>1</v>
      </c>
      <c r="H17" s="13">
        <v>24</v>
      </c>
      <c r="I17" s="7">
        <v>900</v>
      </c>
      <c r="J17" s="14">
        <v>950</v>
      </c>
      <c r="K17" s="15">
        <f>L17</f>
        <v>950</v>
      </c>
      <c r="L17" s="15">
        <v>950</v>
      </c>
      <c r="M17" s="15">
        <f t="shared" ref="M17" si="9">L17-N17</f>
        <v>950</v>
      </c>
      <c r="N17" s="15">
        <v>0</v>
      </c>
      <c r="O17" s="58">
        <f t="shared" ref="O17" si="10">IF(L17=0,"0",N17/L17)</f>
        <v>0</v>
      </c>
      <c r="P17" s="39">
        <f t="shared" ref="P17" si="11">IF(L17=0,"0",(24-Q17))</f>
        <v>6</v>
      </c>
      <c r="Q17" s="40">
        <f t="shared" ref="Q17" si="12">SUM(R17:AA17)</f>
        <v>18</v>
      </c>
      <c r="R17" s="7"/>
      <c r="S17" s="6"/>
      <c r="T17" s="16"/>
      <c r="U17" s="16"/>
      <c r="V17" s="17"/>
      <c r="W17" s="5">
        <v>18</v>
      </c>
      <c r="X17" s="16"/>
      <c r="Y17" s="16"/>
      <c r="Z17" s="16"/>
      <c r="AA17" s="18"/>
      <c r="AB17" s="8">
        <f t="shared" ref="AB17" si="13">IF(J17=0,"0",(L17/J17))</f>
        <v>1</v>
      </c>
      <c r="AC17" s="9">
        <f t="shared" ref="AC17" si="14">IF(P17=0,"0",(P17/24))</f>
        <v>0.25</v>
      </c>
      <c r="AD17" s="10">
        <f t="shared" ref="AD17" si="15">AC17*AB17*(1-O17)</f>
        <v>0.25</v>
      </c>
      <c r="AE17" s="36">
        <f t="shared" si="7"/>
        <v>0.46078431372549017</v>
      </c>
      <c r="AF17" s="84">
        <f t="shared" ref="AF17" si="16">A17</f>
        <v>11</v>
      </c>
    </row>
    <row r="18" spans="1:32" ht="30" customHeight="1">
      <c r="A18" s="95">
        <v>12</v>
      </c>
      <c r="B18" s="11" t="s">
        <v>57</v>
      </c>
      <c r="C18" s="34" t="s">
        <v>159</v>
      </c>
      <c r="D18" s="52" t="s">
        <v>170</v>
      </c>
      <c r="E18" s="53" t="s">
        <v>171</v>
      </c>
      <c r="F18" s="30" t="s">
        <v>172</v>
      </c>
      <c r="G18" s="12">
        <v>2</v>
      </c>
      <c r="H18" s="13">
        <v>24</v>
      </c>
      <c r="I18" s="7">
        <v>60000</v>
      </c>
      <c r="J18" s="14">
        <v>14162</v>
      </c>
      <c r="K18" s="15">
        <f>L18+11416+12356+12738+13852+13988</f>
        <v>78512</v>
      </c>
      <c r="L18" s="15">
        <f>3626*2+3455*2</f>
        <v>14162</v>
      </c>
      <c r="M18" s="15">
        <f t="shared" si="0"/>
        <v>14162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0.46078431372549017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115</v>
      </c>
      <c r="E19" s="53" t="s">
        <v>322</v>
      </c>
      <c r="F19" s="30" t="s">
        <v>129</v>
      </c>
      <c r="G19" s="33">
        <v>1</v>
      </c>
      <c r="H19" s="35">
        <v>24</v>
      </c>
      <c r="I19" s="7">
        <v>8000</v>
      </c>
      <c r="J19" s="14">
        <v>5341</v>
      </c>
      <c r="K19" s="15">
        <f>L19</f>
        <v>5341</v>
      </c>
      <c r="L19" s="15">
        <f>2855+2486</f>
        <v>5341</v>
      </c>
      <c r="M19" s="15">
        <f t="shared" si="0"/>
        <v>5341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0.46078431372549017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174</v>
      </c>
      <c r="E20" s="53" t="s">
        <v>175</v>
      </c>
      <c r="F20" s="30" t="s">
        <v>153</v>
      </c>
      <c r="G20" s="33">
        <v>1</v>
      </c>
      <c r="H20" s="35">
        <v>24</v>
      </c>
      <c r="I20" s="7">
        <v>10000</v>
      </c>
      <c r="J20" s="14">
        <v>4094</v>
      </c>
      <c r="K20" s="15">
        <f>L20+5105+4782+3399+4635+3029</f>
        <v>25044</v>
      </c>
      <c r="L20" s="15">
        <f>1522+2572</f>
        <v>4094</v>
      </c>
      <c r="M20" s="15">
        <f t="shared" si="0"/>
        <v>4094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>
        <v>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6"/>
        <v>0.83333333333333337</v>
      </c>
      <c r="AE20" s="36">
        <f t="shared" si="7"/>
        <v>0.46078431372549017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118</v>
      </c>
      <c r="D21" s="52" t="s">
        <v>115</v>
      </c>
      <c r="E21" s="53" t="s">
        <v>309</v>
      </c>
      <c r="F21" s="30" t="s">
        <v>129</v>
      </c>
      <c r="G21" s="12">
        <v>4</v>
      </c>
      <c r="H21" s="13">
        <v>24</v>
      </c>
      <c r="I21" s="7">
        <v>130000</v>
      </c>
      <c r="J21" s="14">
        <v>20408</v>
      </c>
      <c r="K21" s="15">
        <f>L21+13156</f>
        <v>33564</v>
      </c>
      <c r="L21" s="15">
        <f>2605*4+2497*4</f>
        <v>20408</v>
      </c>
      <c r="M21" s="15">
        <f t="shared" si="0"/>
        <v>20408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0.46078431372549017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180</v>
      </c>
      <c r="F22" s="12" t="s">
        <v>114</v>
      </c>
      <c r="G22" s="12">
        <v>3</v>
      </c>
      <c r="H22" s="35">
        <v>20</v>
      </c>
      <c r="I22" s="7">
        <v>200000</v>
      </c>
      <c r="J22" s="14">
        <v>44649</v>
      </c>
      <c r="K22" s="15">
        <f>L22+39891+45588+46440+45777+44649</f>
        <v>222345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0.46078431372549017</v>
      </c>
      <c r="AF22" s="84">
        <f t="shared" si="8"/>
        <v>16</v>
      </c>
    </row>
    <row r="23" spans="1:32" ht="31.5" customHeight="1" thickBot="1">
      <c r="A23" s="408" t="s">
        <v>34</v>
      </c>
      <c r="B23" s="409"/>
      <c r="C23" s="409"/>
      <c r="D23" s="409"/>
      <c r="E23" s="409"/>
      <c r="F23" s="409"/>
      <c r="G23" s="409"/>
      <c r="H23" s="410"/>
      <c r="I23" s="22">
        <f t="shared" ref="I23:N23" si="17">SUM(I6:I22)</f>
        <v>649600</v>
      </c>
      <c r="J23" s="19">
        <f t="shared" si="17"/>
        <v>132543</v>
      </c>
      <c r="K23" s="20">
        <f t="shared" si="17"/>
        <v>563790</v>
      </c>
      <c r="L23" s="21">
        <f t="shared" si="17"/>
        <v>76641</v>
      </c>
      <c r="M23" s="20">
        <f t="shared" si="17"/>
        <v>76641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188</v>
      </c>
      <c r="Q23" s="43">
        <f t="shared" si="18"/>
        <v>196</v>
      </c>
      <c r="R23" s="23">
        <f t="shared" si="18"/>
        <v>0</v>
      </c>
      <c r="S23" s="24">
        <f t="shared" si="18"/>
        <v>40</v>
      </c>
      <c r="T23" s="24">
        <f t="shared" si="18"/>
        <v>0</v>
      </c>
      <c r="U23" s="24">
        <f t="shared" si="18"/>
        <v>0</v>
      </c>
      <c r="V23" s="25">
        <f t="shared" si="18"/>
        <v>0</v>
      </c>
      <c r="W23" s="26">
        <f t="shared" si="18"/>
        <v>132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24</v>
      </c>
      <c r="AB23" s="28">
        <f>AVERAGE(AB6:AB22)</f>
        <v>0.6470588235294118</v>
      </c>
      <c r="AC23" s="4">
        <f>AVERAGE(AC6:AC22)</f>
        <v>0.46078431372549017</v>
      </c>
      <c r="AD23" s="4">
        <f>AVERAGE(AD6:AD22)</f>
        <v>0.46078431372549017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11" t="s">
        <v>45</v>
      </c>
      <c r="B50" s="411"/>
      <c r="C50" s="411"/>
      <c r="D50" s="411"/>
      <c r="E50" s="411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12" t="s">
        <v>328</v>
      </c>
      <c r="B51" s="413"/>
      <c r="C51" s="413"/>
      <c r="D51" s="413"/>
      <c r="E51" s="413"/>
      <c r="F51" s="413"/>
      <c r="G51" s="413"/>
      <c r="H51" s="413"/>
      <c r="I51" s="413"/>
      <c r="J51" s="413"/>
      <c r="K51" s="413"/>
      <c r="L51" s="413"/>
      <c r="M51" s="414"/>
      <c r="N51" s="415" t="s">
        <v>331</v>
      </c>
      <c r="O51" s="416"/>
      <c r="P51" s="416"/>
      <c r="Q51" s="416"/>
      <c r="R51" s="416"/>
      <c r="S51" s="416"/>
      <c r="T51" s="416"/>
      <c r="U51" s="416"/>
      <c r="V51" s="416"/>
      <c r="W51" s="416"/>
      <c r="X51" s="416"/>
      <c r="Y51" s="416"/>
      <c r="Z51" s="416"/>
      <c r="AA51" s="416"/>
      <c r="AB51" s="416"/>
      <c r="AC51" s="416"/>
      <c r="AD51" s="417"/>
    </row>
    <row r="52" spans="1:32" ht="27" customHeight="1">
      <c r="A52" s="418" t="s">
        <v>2</v>
      </c>
      <c r="B52" s="419"/>
      <c r="C52" s="187" t="s">
        <v>46</v>
      </c>
      <c r="D52" s="187" t="s">
        <v>47</v>
      </c>
      <c r="E52" s="187" t="s">
        <v>107</v>
      </c>
      <c r="F52" s="420" t="s">
        <v>106</v>
      </c>
      <c r="G52" s="421"/>
      <c r="H52" s="421"/>
      <c r="I52" s="421"/>
      <c r="J52" s="421"/>
      <c r="K52" s="421"/>
      <c r="L52" s="421"/>
      <c r="M52" s="422"/>
      <c r="N52" s="67" t="s">
        <v>110</v>
      </c>
      <c r="O52" s="187" t="s">
        <v>46</v>
      </c>
      <c r="P52" s="420" t="s">
        <v>47</v>
      </c>
      <c r="Q52" s="423"/>
      <c r="R52" s="420" t="s">
        <v>38</v>
      </c>
      <c r="S52" s="421"/>
      <c r="T52" s="421"/>
      <c r="U52" s="423"/>
      <c r="V52" s="420" t="s">
        <v>48</v>
      </c>
      <c r="W52" s="421"/>
      <c r="X52" s="421"/>
      <c r="Y52" s="421"/>
      <c r="Z52" s="421"/>
      <c r="AA52" s="421"/>
      <c r="AB52" s="421"/>
      <c r="AC52" s="421"/>
      <c r="AD52" s="422"/>
    </row>
    <row r="53" spans="1:32" ht="27" customHeight="1">
      <c r="A53" s="434" t="s">
        <v>118</v>
      </c>
      <c r="B53" s="435"/>
      <c r="C53" s="189" t="s">
        <v>136</v>
      </c>
      <c r="D53" s="189" t="s">
        <v>115</v>
      </c>
      <c r="E53" s="189" t="s">
        <v>144</v>
      </c>
      <c r="F53" s="436" t="s">
        <v>329</v>
      </c>
      <c r="G53" s="437"/>
      <c r="H53" s="437"/>
      <c r="I53" s="437"/>
      <c r="J53" s="437"/>
      <c r="K53" s="437"/>
      <c r="L53" s="437"/>
      <c r="M53" s="438"/>
      <c r="N53" s="188" t="s">
        <v>139</v>
      </c>
      <c r="O53" s="195" t="s">
        <v>127</v>
      </c>
      <c r="P53" s="439" t="s">
        <v>285</v>
      </c>
      <c r="Q53" s="440"/>
      <c r="R53" s="439" t="s">
        <v>183</v>
      </c>
      <c r="S53" s="441"/>
      <c r="T53" s="441"/>
      <c r="U53" s="440"/>
      <c r="V53" s="442" t="s">
        <v>138</v>
      </c>
      <c r="W53" s="442"/>
      <c r="X53" s="442"/>
      <c r="Y53" s="442"/>
      <c r="Z53" s="442"/>
      <c r="AA53" s="442"/>
      <c r="AB53" s="442"/>
      <c r="AC53" s="442"/>
      <c r="AD53" s="443"/>
    </row>
    <row r="54" spans="1:32" ht="27" customHeight="1">
      <c r="A54" s="434" t="s">
        <v>139</v>
      </c>
      <c r="B54" s="435"/>
      <c r="C54" s="189" t="s">
        <v>127</v>
      </c>
      <c r="D54" s="189" t="s">
        <v>170</v>
      </c>
      <c r="E54" s="189" t="s">
        <v>183</v>
      </c>
      <c r="F54" s="436" t="s">
        <v>297</v>
      </c>
      <c r="G54" s="437"/>
      <c r="H54" s="437"/>
      <c r="I54" s="437"/>
      <c r="J54" s="437"/>
      <c r="K54" s="437"/>
      <c r="L54" s="437"/>
      <c r="M54" s="438"/>
      <c r="N54" s="188" t="s">
        <v>118</v>
      </c>
      <c r="O54" s="195" t="s">
        <v>204</v>
      </c>
      <c r="P54" s="439" t="s">
        <v>332</v>
      </c>
      <c r="Q54" s="440"/>
      <c r="R54" s="439" t="s">
        <v>333</v>
      </c>
      <c r="S54" s="441"/>
      <c r="T54" s="441"/>
      <c r="U54" s="440"/>
      <c r="V54" s="442" t="s">
        <v>138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139</v>
      </c>
      <c r="B55" s="435"/>
      <c r="C55" s="189" t="s">
        <v>224</v>
      </c>
      <c r="D55" s="189" t="s">
        <v>285</v>
      </c>
      <c r="E55" s="189" t="s">
        <v>317</v>
      </c>
      <c r="F55" s="436" t="s">
        <v>292</v>
      </c>
      <c r="G55" s="437"/>
      <c r="H55" s="437"/>
      <c r="I55" s="437"/>
      <c r="J55" s="437"/>
      <c r="K55" s="437"/>
      <c r="L55" s="437"/>
      <c r="M55" s="438"/>
      <c r="N55" s="188" t="s">
        <v>118</v>
      </c>
      <c r="O55" s="195" t="s">
        <v>141</v>
      </c>
      <c r="P55" s="439" t="s">
        <v>115</v>
      </c>
      <c r="Q55" s="440"/>
      <c r="R55" s="439" t="s">
        <v>334</v>
      </c>
      <c r="S55" s="441"/>
      <c r="T55" s="441"/>
      <c r="U55" s="440"/>
      <c r="V55" s="442" t="s">
        <v>138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112</v>
      </c>
      <c r="B56" s="435"/>
      <c r="C56" s="189" t="s">
        <v>200</v>
      </c>
      <c r="D56" s="189" t="s">
        <v>115</v>
      </c>
      <c r="E56" s="189" t="s">
        <v>322</v>
      </c>
      <c r="F56" s="436" t="s">
        <v>138</v>
      </c>
      <c r="G56" s="437"/>
      <c r="H56" s="437"/>
      <c r="I56" s="437"/>
      <c r="J56" s="437"/>
      <c r="K56" s="437"/>
      <c r="L56" s="437"/>
      <c r="M56" s="438"/>
      <c r="N56" s="188" t="s">
        <v>118</v>
      </c>
      <c r="O56" s="195" t="s">
        <v>201</v>
      </c>
      <c r="P56" s="439" t="s">
        <v>326</v>
      </c>
      <c r="Q56" s="440"/>
      <c r="R56" s="439" t="s">
        <v>335</v>
      </c>
      <c r="S56" s="441"/>
      <c r="T56" s="441"/>
      <c r="U56" s="440"/>
      <c r="V56" s="442" t="s">
        <v>138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118</v>
      </c>
      <c r="B57" s="435"/>
      <c r="C57" s="189" t="s">
        <v>141</v>
      </c>
      <c r="D57" s="189" t="s">
        <v>228</v>
      </c>
      <c r="E57" s="189" t="s">
        <v>318</v>
      </c>
      <c r="F57" s="436" t="s">
        <v>138</v>
      </c>
      <c r="G57" s="437"/>
      <c r="H57" s="437"/>
      <c r="I57" s="437"/>
      <c r="J57" s="437"/>
      <c r="K57" s="437"/>
      <c r="L57" s="437"/>
      <c r="M57" s="438"/>
      <c r="N57" s="188" t="s">
        <v>113</v>
      </c>
      <c r="O57" s="195" t="s">
        <v>337</v>
      </c>
      <c r="P57" s="439"/>
      <c r="Q57" s="440"/>
      <c r="R57" s="439" t="s">
        <v>336</v>
      </c>
      <c r="S57" s="441"/>
      <c r="T57" s="441"/>
      <c r="U57" s="440"/>
      <c r="V57" s="442" t="s">
        <v>138</v>
      </c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118</v>
      </c>
      <c r="B58" s="435"/>
      <c r="C58" s="189" t="s">
        <v>141</v>
      </c>
      <c r="D58" s="189" t="s">
        <v>326</v>
      </c>
      <c r="E58" s="189" t="s">
        <v>330</v>
      </c>
      <c r="F58" s="436" t="s">
        <v>138</v>
      </c>
      <c r="G58" s="437"/>
      <c r="H58" s="437"/>
      <c r="I58" s="437"/>
      <c r="J58" s="437"/>
      <c r="K58" s="437"/>
      <c r="L58" s="437"/>
      <c r="M58" s="438"/>
      <c r="N58" s="188" t="s">
        <v>118</v>
      </c>
      <c r="O58" s="195" t="s">
        <v>140</v>
      </c>
      <c r="P58" s="439" t="s">
        <v>228</v>
      </c>
      <c r="Q58" s="440"/>
      <c r="R58" s="439" t="s">
        <v>299</v>
      </c>
      <c r="S58" s="441"/>
      <c r="T58" s="441"/>
      <c r="U58" s="440"/>
      <c r="V58" s="442" t="s">
        <v>138</v>
      </c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/>
      <c r="B59" s="435"/>
      <c r="C59" s="189"/>
      <c r="D59" s="189"/>
      <c r="E59" s="189"/>
      <c r="F59" s="436"/>
      <c r="G59" s="437"/>
      <c r="H59" s="437"/>
      <c r="I59" s="437"/>
      <c r="J59" s="437"/>
      <c r="K59" s="437"/>
      <c r="L59" s="437"/>
      <c r="M59" s="438"/>
      <c r="N59" s="188"/>
      <c r="O59" s="195"/>
      <c r="P59" s="439"/>
      <c r="Q59" s="440"/>
      <c r="R59" s="439"/>
      <c r="S59" s="441"/>
      <c r="T59" s="441"/>
      <c r="U59" s="440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57"/>
      <c r="B60" s="458"/>
      <c r="C60" s="193"/>
      <c r="D60" s="193"/>
      <c r="E60" s="189"/>
      <c r="F60" s="436"/>
      <c r="G60" s="437"/>
      <c r="H60" s="437"/>
      <c r="I60" s="437"/>
      <c r="J60" s="437"/>
      <c r="K60" s="437"/>
      <c r="L60" s="437"/>
      <c r="M60" s="438"/>
      <c r="N60" s="188"/>
      <c r="O60" s="195"/>
      <c r="P60" s="439"/>
      <c r="Q60" s="440"/>
      <c r="R60" s="435"/>
      <c r="S60" s="435"/>
      <c r="T60" s="435"/>
      <c r="U60" s="435"/>
      <c r="V60" s="442"/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57"/>
      <c r="B61" s="458"/>
      <c r="C61" s="193"/>
      <c r="D61" s="193"/>
      <c r="E61" s="189"/>
      <c r="F61" s="436"/>
      <c r="G61" s="437"/>
      <c r="H61" s="437"/>
      <c r="I61" s="437"/>
      <c r="J61" s="437"/>
      <c r="K61" s="437"/>
      <c r="L61" s="437"/>
      <c r="M61" s="438"/>
      <c r="N61" s="188"/>
      <c r="O61" s="195"/>
      <c r="P61" s="435"/>
      <c r="Q61" s="435"/>
      <c r="R61" s="435"/>
      <c r="S61" s="435"/>
      <c r="T61" s="435"/>
      <c r="U61" s="435"/>
      <c r="V61" s="442"/>
      <c r="W61" s="442"/>
      <c r="X61" s="442"/>
      <c r="Y61" s="442"/>
      <c r="Z61" s="442"/>
      <c r="AA61" s="442"/>
      <c r="AB61" s="442"/>
      <c r="AC61" s="442"/>
      <c r="AD61" s="443"/>
      <c r="AF61" s="84">
        <f>8*3000</f>
        <v>24000</v>
      </c>
    </row>
    <row r="62" spans="1:32" ht="27" customHeight="1" thickBot="1">
      <c r="A62" s="444"/>
      <c r="B62" s="445"/>
      <c r="C62" s="190"/>
      <c r="D62" s="191"/>
      <c r="E62" s="190"/>
      <c r="F62" s="446"/>
      <c r="G62" s="447"/>
      <c r="H62" s="447"/>
      <c r="I62" s="447"/>
      <c r="J62" s="447"/>
      <c r="K62" s="447"/>
      <c r="L62" s="447"/>
      <c r="M62" s="448"/>
      <c r="N62" s="111"/>
      <c r="O62" s="103"/>
      <c r="P62" s="449"/>
      <c r="Q62" s="449"/>
      <c r="R62" s="449"/>
      <c r="S62" s="449"/>
      <c r="T62" s="449"/>
      <c r="U62" s="449"/>
      <c r="V62" s="450"/>
      <c r="W62" s="450"/>
      <c r="X62" s="450"/>
      <c r="Y62" s="450"/>
      <c r="Z62" s="450"/>
      <c r="AA62" s="450"/>
      <c r="AB62" s="450"/>
      <c r="AC62" s="450"/>
      <c r="AD62" s="451"/>
      <c r="AF62" s="84">
        <f>16*3000</f>
        <v>48000</v>
      </c>
    </row>
    <row r="63" spans="1:32" ht="27.75" thickBot="1">
      <c r="A63" s="452" t="s">
        <v>338</v>
      </c>
      <c r="B63" s="452"/>
      <c r="C63" s="452"/>
      <c r="D63" s="452"/>
      <c r="E63" s="45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3" t="s">
        <v>111</v>
      </c>
      <c r="B64" s="454"/>
      <c r="C64" s="192" t="s">
        <v>2</v>
      </c>
      <c r="D64" s="192" t="s">
        <v>37</v>
      </c>
      <c r="E64" s="192" t="s">
        <v>3</v>
      </c>
      <c r="F64" s="454" t="s">
        <v>109</v>
      </c>
      <c r="G64" s="454"/>
      <c r="H64" s="454"/>
      <c r="I64" s="454"/>
      <c r="J64" s="454"/>
      <c r="K64" s="454" t="s">
        <v>39</v>
      </c>
      <c r="L64" s="454"/>
      <c r="M64" s="192" t="s">
        <v>40</v>
      </c>
      <c r="N64" s="454" t="s">
        <v>41</v>
      </c>
      <c r="O64" s="454"/>
      <c r="P64" s="455" t="s">
        <v>42</v>
      </c>
      <c r="Q64" s="456"/>
      <c r="R64" s="455" t="s">
        <v>43</v>
      </c>
      <c r="S64" s="459"/>
      <c r="T64" s="459"/>
      <c r="U64" s="459"/>
      <c r="V64" s="459"/>
      <c r="W64" s="459"/>
      <c r="X64" s="459"/>
      <c r="Y64" s="459"/>
      <c r="Z64" s="459"/>
      <c r="AA64" s="456"/>
      <c r="AB64" s="454" t="s">
        <v>44</v>
      </c>
      <c r="AC64" s="454"/>
      <c r="AD64" s="460"/>
      <c r="AF64" s="84">
        <f>SUM(AF61:AF63)</f>
        <v>96000</v>
      </c>
    </row>
    <row r="65" spans="1:32" ht="25.5" customHeight="1">
      <c r="A65" s="461">
        <v>1</v>
      </c>
      <c r="B65" s="462"/>
      <c r="C65" s="104" t="s">
        <v>118</v>
      </c>
      <c r="D65" s="197"/>
      <c r="E65" s="194" t="s">
        <v>228</v>
      </c>
      <c r="F65" s="463" t="s">
        <v>318</v>
      </c>
      <c r="G65" s="464"/>
      <c r="H65" s="464"/>
      <c r="I65" s="464"/>
      <c r="J65" s="465"/>
      <c r="K65" s="466" t="s">
        <v>339</v>
      </c>
      <c r="L65" s="466"/>
      <c r="M65" s="51" t="s">
        <v>340</v>
      </c>
      <c r="N65" s="467" t="s">
        <v>141</v>
      </c>
      <c r="O65" s="467"/>
      <c r="P65" s="468">
        <v>50</v>
      </c>
      <c r="Q65" s="468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66"/>
      <c r="AC65" s="466"/>
      <c r="AD65" s="469"/>
      <c r="AF65" s="50"/>
    </row>
    <row r="66" spans="1:32" ht="25.5" customHeight="1">
      <c r="A66" s="461">
        <v>2</v>
      </c>
      <c r="B66" s="462"/>
      <c r="C66" s="104" t="s">
        <v>118</v>
      </c>
      <c r="D66" s="197"/>
      <c r="E66" s="194" t="s">
        <v>326</v>
      </c>
      <c r="F66" s="463" t="s">
        <v>330</v>
      </c>
      <c r="G66" s="464"/>
      <c r="H66" s="464"/>
      <c r="I66" s="464"/>
      <c r="J66" s="465"/>
      <c r="K66" s="466">
        <v>7301</v>
      </c>
      <c r="L66" s="466"/>
      <c r="M66" s="51" t="s">
        <v>340</v>
      </c>
      <c r="N66" s="467" t="s">
        <v>141</v>
      </c>
      <c r="O66" s="467"/>
      <c r="P66" s="468">
        <v>50</v>
      </c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3</v>
      </c>
      <c r="B67" s="462"/>
      <c r="C67" s="104"/>
      <c r="D67" s="197"/>
      <c r="E67" s="194"/>
      <c r="F67" s="463"/>
      <c r="G67" s="464"/>
      <c r="H67" s="464"/>
      <c r="I67" s="464"/>
      <c r="J67" s="465"/>
      <c r="K67" s="466"/>
      <c r="L67" s="466"/>
      <c r="M67" s="51"/>
      <c r="N67" s="467"/>
      <c r="O67" s="467"/>
      <c r="P67" s="468"/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4</v>
      </c>
      <c r="B68" s="462"/>
      <c r="C68" s="104"/>
      <c r="D68" s="197"/>
      <c r="E68" s="194"/>
      <c r="F68" s="463"/>
      <c r="G68" s="464"/>
      <c r="H68" s="464"/>
      <c r="I68" s="464"/>
      <c r="J68" s="465"/>
      <c r="K68" s="466"/>
      <c r="L68" s="466"/>
      <c r="M68" s="51"/>
      <c r="N68" s="467"/>
      <c r="O68" s="467"/>
      <c r="P68" s="468"/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5</v>
      </c>
      <c r="B69" s="462"/>
      <c r="C69" s="104"/>
      <c r="D69" s="197"/>
      <c r="E69" s="194"/>
      <c r="F69" s="463"/>
      <c r="G69" s="464"/>
      <c r="H69" s="464"/>
      <c r="I69" s="464"/>
      <c r="J69" s="465"/>
      <c r="K69" s="466"/>
      <c r="L69" s="466"/>
      <c r="M69" s="51"/>
      <c r="N69" s="467"/>
      <c r="O69" s="467"/>
      <c r="P69" s="468"/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6</v>
      </c>
      <c r="B70" s="462"/>
      <c r="C70" s="104"/>
      <c r="D70" s="197"/>
      <c r="E70" s="194"/>
      <c r="F70" s="463"/>
      <c r="G70" s="464"/>
      <c r="H70" s="464"/>
      <c r="I70" s="464"/>
      <c r="J70" s="465"/>
      <c r="K70" s="466"/>
      <c r="L70" s="466"/>
      <c r="M70" s="51"/>
      <c r="N70" s="467"/>
      <c r="O70" s="467"/>
      <c r="P70" s="468"/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7</v>
      </c>
      <c r="B71" s="462"/>
      <c r="C71" s="104"/>
      <c r="D71" s="197"/>
      <c r="E71" s="194"/>
      <c r="F71" s="463"/>
      <c r="G71" s="464"/>
      <c r="H71" s="464"/>
      <c r="I71" s="464"/>
      <c r="J71" s="465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8</v>
      </c>
      <c r="B72" s="462"/>
      <c r="C72" s="104"/>
      <c r="D72" s="197"/>
      <c r="E72" s="194"/>
      <c r="F72" s="470"/>
      <c r="G72" s="466"/>
      <c r="H72" s="466"/>
      <c r="I72" s="466"/>
      <c r="J72" s="466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9</v>
      </c>
      <c r="B73" s="462"/>
      <c r="C73" s="104"/>
      <c r="D73" s="197"/>
      <c r="E73" s="194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10</v>
      </c>
      <c r="B74" s="462"/>
      <c r="C74" s="104"/>
      <c r="D74" s="197"/>
      <c r="E74" s="194"/>
      <c r="F74" s="470"/>
      <c r="G74" s="466"/>
      <c r="H74" s="466"/>
      <c r="I74" s="466"/>
      <c r="J74" s="466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6.25" customHeight="1" thickBot="1">
      <c r="A75" s="471" t="s">
        <v>341</v>
      </c>
      <c r="B75" s="471"/>
      <c r="C75" s="471"/>
      <c r="D75" s="471"/>
      <c r="E75" s="471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2" t="s">
        <v>126</v>
      </c>
      <c r="B76" s="473"/>
      <c r="C76" s="196" t="s">
        <v>2</v>
      </c>
      <c r="D76" s="196" t="s">
        <v>37</v>
      </c>
      <c r="E76" s="196" t="s">
        <v>125</v>
      </c>
      <c r="F76" s="473" t="s">
        <v>38</v>
      </c>
      <c r="G76" s="473"/>
      <c r="H76" s="473"/>
      <c r="I76" s="473"/>
      <c r="J76" s="473"/>
      <c r="K76" s="474" t="s">
        <v>58</v>
      </c>
      <c r="L76" s="475"/>
      <c r="M76" s="475"/>
      <c r="N76" s="475"/>
      <c r="O76" s="475"/>
      <c r="P76" s="475"/>
      <c r="Q76" s="475"/>
      <c r="R76" s="475"/>
      <c r="S76" s="476"/>
      <c r="T76" s="473" t="s">
        <v>49</v>
      </c>
      <c r="U76" s="473"/>
      <c r="V76" s="474" t="s">
        <v>50</v>
      </c>
      <c r="W76" s="476"/>
      <c r="X76" s="475" t="s">
        <v>51</v>
      </c>
      <c r="Y76" s="475"/>
      <c r="Z76" s="475"/>
      <c r="AA76" s="475"/>
      <c r="AB76" s="475"/>
      <c r="AC76" s="475"/>
      <c r="AD76" s="477"/>
      <c r="AF76" s="50"/>
    </row>
    <row r="77" spans="1:32" ht="33.75" customHeight="1">
      <c r="A77" s="486">
        <v>1</v>
      </c>
      <c r="B77" s="487"/>
      <c r="C77" s="198" t="s">
        <v>112</v>
      </c>
      <c r="D77" s="198"/>
      <c r="E77" s="65" t="s">
        <v>117</v>
      </c>
      <c r="F77" s="488" t="s">
        <v>116</v>
      </c>
      <c r="G77" s="489"/>
      <c r="H77" s="489"/>
      <c r="I77" s="489"/>
      <c r="J77" s="490"/>
      <c r="K77" s="491" t="s">
        <v>119</v>
      </c>
      <c r="L77" s="492"/>
      <c r="M77" s="492"/>
      <c r="N77" s="492"/>
      <c r="O77" s="492"/>
      <c r="P77" s="492"/>
      <c r="Q77" s="492"/>
      <c r="R77" s="492"/>
      <c r="S77" s="493"/>
      <c r="T77" s="494">
        <v>44118</v>
      </c>
      <c r="U77" s="495"/>
      <c r="V77" s="496"/>
      <c r="W77" s="496"/>
      <c r="X77" s="497"/>
      <c r="Y77" s="497"/>
      <c r="Z77" s="497"/>
      <c r="AA77" s="497"/>
      <c r="AB77" s="497"/>
      <c r="AC77" s="497"/>
      <c r="AD77" s="498"/>
      <c r="AF77" s="50"/>
    </row>
    <row r="78" spans="1:32" ht="30" customHeight="1">
      <c r="A78" s="478">
        <f>A77+1</f>
        <v>2</v>
      </c>
      <c r="B78" s="479"/>
      <c r="C78" s="197"/>
      <c r="D78" s="197"/>
      <c r="E78" s="32"/>
      <c r="F78" s="479"/>
      <c r="G78" s="479"/>
      <c r="H78" s="479"/>
      <c r="I78" s="479"/>
      <c r="J78" s="479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78">
        <f t="shared" ref="A79:A83" si="19">A78+1</f>
        <v>3</v>
      </c>
      <c r="B79" s="479"/>
      <c r="C79" s="197"/>
      <c r="D79" s="197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si="19"/>
        <v>4</v>
      </c>
      <c r="B80" s="479"/>
      <c r="C80" s="197"/>
      <c r="D80" s="197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19"/>
        <v>5</v>
      </c>
      <c r="B81" s="479"/>
      <c r="C81" s="197"/>
      <c r="D81" s="197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19"/>
        <v>6</v>
      </c>
      <c r="B82" s="479"/>
      <c r="C82" s="197"/>
      <c r="D82" s="197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19"/>
        <v>7</v>
      </c>
      <c r="B83" s="479"/>
      <c r="C83" s="197"/>
      <c r="D83" s="197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1" t="s">
        <v>342</v>
      </c>
      <c r="B84" s="471"/>
      <c r="C84" s="471"/>
      <c r="D84" s="471"/>
      <c r="E84" s="471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2" t="s">
        <v>111</v>
      </c>
      <c r="B85" s="473"/>
      <c r="C85" s="499" t="s">
        <v>52</v>
      </c>
      <c r="D85" s="499"/>
      <c r="E85" s="499" t="s">
        <v>53</v>
      </c>
      <c r="F85" s="499"/>
      <c r="G85" s="499"/>
      <c r="H85" s="499"/>
      <c r="I85" s="499"/>
      <c r="J85" s="499"/>
      <c r="K85" s="499" t="s">
        <v>54</v>
      </c>
      <c r="L85" s="499"/>
      <c r="M85" s="499"/>
      <c r="N85" s="499"/>
      <c r="O85" s="499"/>
      <c r="P85" s="499"/>
      <c r="Q85" s="499"/>
      <c r="R85" s="499"/>
      <c r="S85" s="499"/>
      <c r="T85" s="499" t="s">
        <v>55</v>
      </c>
      <c r="U85" s="499"/>
      <c r="V85" s="499" t="s">
        <v>56</v>
      </c>
      <c r="W85" s="499"/>
      <c r="X85" s="499"/>
      <c r="Y85" s="499" t="s">
        <v>51</v>
      </c>
      <c r="Z85" s="499"/>
      <c r="AA85" s="499"/>
      <c r="AB85" s="499"/>
      <c r="AC85" s="499"/>
      <c r="AD85" s="500"/>
      <c r="AF85" s="50"/>
    </row>
    <row r="86" spans="1:32" ht="30.75" customHeight="1">
      <c r="A86" s="486">
        <v>1</v>
      </c>
      <c r="B86" s="487"/>
      <c r="C86" s="501">
        <v>9</v>
      </c>
      <c r="D86" s="501"/>
      <c r="E86" s="501" t="s">
        <v>149</v>
      </c>
      <c r="F86" s="501"/>
      <c r="G86" s="501"/>
      <c r="H86" s="501"/>
      <c r="I86" s="501"/>
      <c r="J86" s="501"/>
      <c r="K86" s="501" t="s">
        <v>150</v>
      </c>
      <c r="L86" s="501"/>
      <c r="M86" s="501"/>
      <c r="N86" s="501"/>
      <c r="O86" s="501"/>
      <c r="P86" s="501"/>
      <c r="Q86" s="501"/>
      <c r="R86" s="501"/>
      <c r="S86" s="501"/>
      <c r="T86" s="501" t="s">
        <v>151</v>
      </c>
      <c r="U86" s="501"/>
      <c r="V86" s="502" t="s">
        <v>265</v>
      </c>
      <c r="W86" s="502"/>
      <c r="X86" s="502"/>
      <c r="Y86" s="503" t="s">
        <v>239</v>
      </c>
      <c r="Z86" s="503"/>
      <c r="AA86" s="503"/>
      <c r="AB86" s="503"/>
      <c r="AC86" s="503"/>
      <c r="AD86" s="504"/>
      <c r="AF86" s="50"/>
    </row>
    <row r="87" spans="1:32" ht="30.75" customHeight="1">
      <c r="A87" s="478">
        <v>2</v>
      </c>
      <c r="B87" s="479"/>
      <c r="C87" s="512"/>
      <c r="D87" s="512"/>
      <c r="E87" s="512"/>
      <c r="F87" s="512"/>
      <c r="G87" s="512"/>
      <c r="H87" s="512"/>
      <c r="I87" s="512"/>
      <c r="J87" s="512"/>
      <c r="K87" s="512"/>
      <c r="L87" s="512"/>
      <c r="M87" s="512"/>
      <c r="N87" s="512"/>
      <c r="O87" s="512"/>
      <c r="P87" s="512"/>
      <c r="Q87" s="512"/>
      <c r="R87" s="512"/>
      <c r="S87" s="512"/>
      <c r="T87" s="513"/>
      <c r="U87" s="513"/>
      <c r="V87" s="514"/>
      <c r="W87" s="514"/>
      <c r="X87" s="514"/>
      <c r="Y87" s="505"/>
      <c r="Z87" s="505"/>
      <c r="AA87" s="505"/>
      <c r="AB87" s="505"/>
      <c r="AC87" s="505"/>
      <c r="AD87" s="506"/>
      <c r="AF87" s="50"/>
    </row>
    <row r="88" spans="1:32" ht="30.75" customHeight="1" thickBot="1">
      <c r="A88" s="507">
        <v>3</v>
      </c>
      <c r="B88" s="508"/>
      <c r="C88" s="509"/>
      <c r="D88" s="509"/>
      <c r="E88" s="509"/>
      <c r="F88" s="509"/>
      <c r="G88" s="509"/>
      <c r="H88" s="509"/>
      <c r="I88" s="509"/>
      <c r="J88" s="509"/>
      <c r="K88" s="509"/>
      <c r="L88" s="509"/>
      <c r="M88" s="509"/>
      <c r="N88" s="509"/>
      <c r="O88" s="509"/>
      <c r="P88" s="509"/>
      <c r="Q88" s="509"/>
      <c r="R88" s="509"/>
      <c r="S88" s="509"/>
      <c r="T88" s="509"/>
      <c r="U88" s="509"/>
      <c r="V88" s="509"/>
      <c r="W88" s="509"/>
      <c r="X88" s="509"/>
      <c r="Y88" s="510"/>
      <c r="Z88" s="510"/>
      <c r="AA88" s="510"/>
      <c r="AB88" s="510"/>
      <c r="AC88" s="510"/>
      <c r="AD88" s="511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4E8E-8A09-473C-B6CD-6485C8ADDC99}">
  <dimension ref="A1:AF87"/>
  <sheetViews>
    <sheetView view="pageBreakPreview" zoomScale="70" zoomScaleNormal="72" zoomScaleSheetLayoutView="70" workbookViewId="0">
      <selection activeCell="F81" sqref="F81:J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343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211" t="s">
        <v>17</v>
      </c>
      <c r="L5" s="211" t="s">
        <v>18</v>
      </c>
      <c r="M5" s="211" t="s">
        <v>19</v>
      </c>
      <c r="N5" s="21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212</v>
      </c>
      <c r="E6" s="53" t="s">
        <v>298</v>
      </c>
      <c r="F6" s="30" t="s">
        <v>132</v>
      </c>
      <c r="G6" s="12">
        <v>1</v>
      </c>
      <c r="H6" s="13">
        <v>24</v>
      </c>
      <c r="I6" s="7">
        <v>4000</v>
      </c>
      <c r="J6" s="14">
        <v>3233</v>
      </c>
      <c r="K6" s="15">
        <f>L6+3233</f>
        <v>3233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0.5625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228</v>
      </c>
      <c r="E7" s="53" t="s">
        <v>299</v>
      </c>
      <c r="F7" s="30" t="s">
        <v>344</v>
      </c>
      <c r="G7" s="12">
        <v>1</v>
      </c>
      <c r="H7" s="13">
        <v>24</v>
      </c>
      <c r="I7" s="31">
        <v>130000</v>
      </c>
      <c r="J7" s="14">
        <v>20667</v>
      </c>
      <c r="K7" s="15">
        <f>L7</f>
        <v>20667</v>
      </c>
      <c r="L7" s="15">
        <f>2730*4+3249*3</f>
        <v>20667</v>
      </c>
      <c r="M7" s="15">
        <f t="shared" si="0"/>
        <v>20667</v>
      </c>
      <c r="N7" s="15">
        <v>0</v>
      </c>
      <c r="O7" s="58">
        <f t="shared" si="1"/>
        <v>0</v>
      </c>
      <c r="P7" s="39">
        <f t="shared" si="2"/>
        <v>22</v>
      </c>
      <c r="Q7" s="40">
        <f t="shared" si="3"/>
        <v>2</v>
      </c>
      <c r="R7" s="7"/>
      <c r="S7" s="6"/>
      <c r="T7" s="16">
        <v>2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0.91666666666666663</v>
      </c>
      <c r="AD7" s="10">
        <f t="shared" si="6"/>
        <v>0.91666666666666663</v>
      </c>
      <c r="AE7" s="36">
        <f t="shared" si="7"/>
        <v>0.5625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139</v>
      </c>
      <c r="D8" s="52" t="s">
        <v>115</v>
      </c>
      <c r="E8" s="53" t="s">
        <v>284</v>
      </c>
      <c r="F8" s="30" t="s">
        <v>165</v>
      </c>
      <c r="G8" s="33">
        <v>3</v>
      </c>
      <c r="H8" s="35">
        <v>24</v>
      </c>
      <c r="I8" s="7">
        <v>50000</v>
      </c>
      <c r="J8" s="5">
        <v>12060</v>
      </c>
      <c r="K8" s="15">
        <f>L8+7224+14391+19017</f>
        <v>52692</v>
      </c>
      <c r="L8" s="15">
        <f>1139*3+2881*3</f>
        <v>12060</v>
      </c>
      <c r="M8" s="15">
        <f t="shared" si="0"/>
        <v>12060</v>
      </c>
      <c r="N8" s="15">
        <v>0</v>
      </c>
      <c r="O8" s="58">
        <f t="shared" si="1"/>
        <v>0</v>
      </c>
      <c r="P8" s="39">
        <f t="shared" si="2"/>
        <v>18</v>
      </c>
      <c r="Q8" s="40">
        <f t="shared" si="3"/>
        <v>6</v>
      </c>
      <c r="R8" s="7"/>
      <c r="S8" s="6"/>
      <c r="T8" s="16"/>
      <c r="U8" s="16"/>
      <c r="V8" s="17"/>
      <c r="W8" s="5">
        <v>6</v>
      </c>
      <c r="X8" s="16"/>
      <c r="Y8" s="16"/>
      <c r="Z8" s="16"/>
      <c r="AA8" s="18"/>
      <c r="AB8" s="8">
        <f t="shared" si="4"/>
        <v>1</v>
      </c>
      <c r="AC8" s="9">
        <f t="shared" si="5"/>
        <v>0.75</v>
      </c>
      <c r="AD8" s="10">
        <f t="shared" si="6"/>
        <v>0.75</v>
      </c>
      <c r="AE8" s="36">
        <f t="shared" si="7"/>
        <v>0.5625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134</v>
      </c>
      <c r="F9" s="30" t="s">
        <v>133</v>
      </c>
      <c r="G9" s="12">
        <v>1</v>
      </c>
      <c r="H9" s="13">
        <v>24</v>
      </c>
      <c r="I9" s="7">
        <v>50000</v>
      </c>
      <c r="J9" s="14">
        <v>5279</v>
      </c>
      <c r="K9" s="15">
        <f>L9+4441+5448+5546+5454+5474+5364</f>
        <v>37006</v>
      </c>
      <c r="L9" s="15">
        <f>2764+2515</f>
        <v>5279</v>
      </c>
      <c r="M9" s="15">
        <f t="shared" si="0"/>
        <v>5279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0.5625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135</v>
      </c>
      <c r="E10" s="53" t="s">
        <v>268</v>
      </c>
      <c r="F10" s="30" t="s">
        <v>244</v>
      </c>
      <c r="G10" s="33">
        <v>1</v>
      </c>
      <c r="H10" s="35">
        <v>24</v>
      </c>
      <c r="I10" s="7">
        <v>2000</v>
      </c>
      <c r="J10" s="14">
        <v>2070</v>
      </c>
      <c r="K10" s="15">
        <f>L10+2070</f>
        <v>2070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0.5625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135</v>
      </c>
      <c r="E11" s="53" t="s">
        <v>345</v>
      </c>
      <c r="F11" s="30" t="s">
        <v>244</v>
      </c>
      <c r="G11" s="33">
        <v>2</v>
      </c>
      <c r="H11" s="35">
        <v>24</v>
      </c>
      <c r="I11" s="7">
        <v>3000</v>
      </c>
      <c r="J11" s="14">
        <v>3522</v>
      </c>
      <c r="K11" s="15">
        <f>L11</f>
        <v>3522</v>
      </c>
      <c r="L11" s="15">
        <f>397*2+1364*2</f>
        <v>3522</v>
      </c>
      <c r="M11" s="15">
        <f t="shared" si="0"/>
        <v>3522</v>
      </c>
      <c r="N11" s="15">
        <v>0</v>
      </c>
      <c r="O11" s="58">
        <f t="shared" si="1"/>
        <v>0</v>
      </c>
      <c r="P11" s="39">
        <f t="shared" si="2"/>
        <v>12</v>
      </c>
      <c r="Q11" s="40">
        <f t="shared" si="3"/>
        <v>12</v>
      </c>
      <c r="R11" s="7"/>
      <c r="S11" s="6">
        <v>4</v>
      </c>
      <c r="T11" s="16">
        <v>3</v>
      </c>
      <c r="U11" s="16"/>
      <c r="V11" s="17"/>
      <c r="W11" s="5">
        <v>5</v>
      </c>
      <c r="X11" s="16"/>
      <c r="Y11" s="16"/>
      <c r="Z11" s="16"/>
      <c r="AA11" s="18"/>
      <c r="AB11" s="8">
        <f t="shared" si="4"/>
        <v>1</v>
      </c>
      <c r="AC11" s="9">
        <f t="shared" si="5"/>
        <v>0.5</v>
      </c>
      <c r="AD11" s="10">
        <f t="shared" si="6"/>
        <v>0.5</v>
      </c>
      <c r="AE11" s="36">
        <f t="shared" si="7"/>
        <v>0.5625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144</v>
      </c>
      <c r="F12" s="30" t="s">
        <v>145</v>
      </c>
      <c r="G12" s="12">
        <v>1</v>
      </c>
      <c r="H12" s="13">
        <v>22</v>
      </c>
      <c r="I12" s="31">
        <v>120000</v>
      </c>
      <c r="J12" s="5">
        <v>4608</v>
      </c>
      <c r="K12" s="15">
        <f>L12+4597+5041+5597+5567+5537+3364+5103+4208+3250+4473+4603+3900+3271+5266+5310+2806+4497+4981+4384+3503+3445</f>
        <v>97311</v>
      </c>
      <c r="L12" s="15">
        <f>2052+2556</f>
        <v>4608</v>
      </c>
      <c r="M12" s="15">
        <f t="shared" si="0"/>
        <v>4608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6">
        <f t="shared" si="7"/>
        <v>0.5625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139</v>
      </c>
      <c r="D13" s="52" t="s">
        <v>285</v>
      </c>
      <c r="E13" s="53" t="s">
        <v>167</v>
      </c>
      <c r="F13" s="30" t="s">
        <v>168</v>
      </c>
      <c r="G13" s="33" t="s">
        <v>169</v>
      </c>
      <c r="H13" s="35">
        <v>24</v>
      </c>
      <c r="I13" s="7">
        <v>9000</v>
      </c>
      <c r="J13" s="14">
        <v>3121</v>
      </c>
      <c r="K13" s="15">
        <f>L13</f>
        <v>3121</v>
      </c>
      <c r="L13" s="15">
        <f>1206+1915</f>
        <v>3121</v>
      </c>
      <c r="M13" s="15">
        <f t="shared" si="0"/>
        <v>3121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6">
        <f t="shared" si="7"/>
        <v>0.5625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218</v>
      </c>
      <c r="F14" s="30" t="s">
        <v>245</v>
      </c>
      <c r="G14" s="33">
        <v>1</v>
      </c>
      <c r="H14" s="35">
        <v>50</v>
      </c>
      <c r="I14" s="7">
        <v>300</v>
      </c>
      <c r="J14" s="5">
        <v>572</v>
      </c>
      <c r="K14" s="15">
        <f>L14+572</f>
        <v>572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0.5625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/>
      <c r="E15" s="53" t="s">
        <v>137</v>
      </c>
      <c r="F15" s="12" t="s">
        <v>128</v>
      </c>
      <c r="G15" s="12">
        <v>1</v>
      </c>
      <c r="H15" s="13">
        <v>24</v>
      </c>
      <c r="I15" s="31">
        <v>2000</v>
      </c>
      <c r="J15" s="14">
        <v>4493</v>
      </c>
      <c r="K15" s="15">
        <f>L15+3470+4493</f>
        <v>7963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0.5625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228</v>
      </c>
      <c r="E16" s="53" t="s">
        <v>318</v>
      </c>
      <c r="F16" s="30" t="s">
        <v>153</v>
      </c>
      <c r="G16" s="12">
        <v>1</v>
      </c>
      <c r="H16" s="13">
        <v>24</v>
      </c>
      <c r="I16" s="7">
        <v>900</v>
      </c>
      <c r="J16" s="14">
        <v>900</v>
      </c>
      <c r="K16" s="15">
        <f>L16+900</f>
        <v>900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0.5625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159</v>
      </c>
      <c r="D17" s="52" t="s">
        <v>170</v>
      </c>
      <c r="E17" s="53" t="s">
        <v>171</v>
      </c>
      <c r="F17" s="30" t="s">
        <v>172</v>
      </c>
      <c r="G17" s="12">
        <v>2</v>
      </c>
      <c r="H17" s="13">
        <v>24</v>
      </c>
      <c r="I17" s="7">
        <v>60000</v>
      </c>
      <c r="J17" s="14">
        <v>13878</v>
      </c>
      <c r="K17" s="15">
        <f>L17+11416+12356+12738+13852+13988+14162</f>
        <v>92390</v>
      </c>
      <c r="L17" s="15">
        <f>3776*2+3163*2</f>
        <v>13878</v>
      </c>
      <c r="M17" s="15">
        <f t="shared" si="0"/>
        <v>13878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0.5625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322</v>
      </c>
      <c r="F18" s="30" t="s">
        <v>129</v>
      </c>
      <c r="G18" s="33">
        <v>1</v>
      </c>
      <c r="H18" s="35">
        <v>24</v>
      </c>
      <c r="I18" s="7">
        <v>8000</v>
      </c>
      <c r="J18" s="14">
        <v>3757</v>
      </c>
      <c r="K18" s="15">
        <f>L18+5341</f>
        <v>9098</v>
      </c>
      <c r="L18" s="15">
        <f>1067+2690</f>
        <v>3757</v>
      </c>
      <c r="M18" s="15">
        <f t="shared" si="0"/>
        <v>3757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/>
      <c r="T18" s="16"/>
      <c r="U18" s="16"/>
      <c r="V18" s="17"/>
      <c r="W18" s="5">
        <v>4</v>
      </c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6">
        <f t="shared" si="7"/>
        <v>0.5625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326</v>
      </c>
      <c r="E19" s="53" t="s">
        <v>335</v>
      </c>
      <c r="F19" s="30" t="s">
        <v>153</v>
      </c>
      <c r="G19" s="33">
        <v>4</v>
      </c>
      <c r="H19" s="35">
        <v>24</v>
      </c>
      <c r="I19" s="7">
        <v>130000</v>
      </c>
      <c r="J19" s="14">
        <v>21680</v>
      </c>
      <c r="K19" s="15">
        <f>L19</f>
        <v>21680</v>
      </c>
      <c r="L19" s="15">
        <f>2532*4+2888*4</f>
        <v>21680</v>
      </c>
      <c r="M19" s="15">
        <f t="shared" si="0"/>
        <v>21680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0.5625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309</v>
      </c>
      <c r="F20" s="30" t="s">
        <v>129</v>
      </c>
      <c r="G20" s="12">
        <v>4</v>
      </c>
      <c r="H20" s="13">
        <v>24</v>
      </c>
      <c r="I20" s="7">
        <v>130000</v>
      </c>
      <c r="J20" s="14">
        <v>13276</v>
      </c>
      <c r="K20" s="15">
        <f>L20+13156+20408</f>
        <v>46840</v>
      </c>
      <c r="L20" s="15">
        <f>2542*4+777*4</f>
        <v>13276</v>
      </c>
      <c r="M20" s="15">
        <f t="shared" si="0"/>
        <v>13276</v>
      </c>
      <c r="N20" s="15">
        <v>0</v>
      </c>
      <c r="O20" s="58">
        <f t="shared" si="1"/>
        <v>0</v>
      </c>
      <c r="P20" s="39">
        <f t="shared" si="2"/>
        <v>16</v>
      </c>
      <c r="Q20" s="40">
        <f t="shared" si="3"/>
        <v>8</v>
      </c>
      <c r="R20" s="7"/>
      <c r="S20" s="6">
        <v>8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0.66666666666666663</v>
      </c>
      <c r="AD20" s="10">
        <f t="shared" si="6"/>
        <v>0.66666666666666663</v>
      </c>
      <c r="AE20" s="36">
        <f t="shared" si="7"/>
        <v>0.5625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346</v>
      </c>
      <c r="F21" s="12" t="s">
        <v>114</v>
      </c>
      <c r="G21" s="12">
        <v>3</v>
      </c>
      <c r="H21" s="35">
        <v>20</v>
      </c>
      <c r="I21" s="7">
        <v>1000000</v>
      </c>
      <c r="J21" s="14">
        <v>28316</v>
      </c>
      <c r="K21" s="15">
        <f>L21</f>
        <v>28316</v>
      </c>
      <c r="L21" s="15">
        <f>7079*4</f>
        <v>28316</v>
      </c>
      <c r="M21" s="15">
        <f t="shared" si="0"/>
        <v>28316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>
        <v>10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0.5625</v>
      </c>
      <c r="AF21" s="84">
        <f t="shared" si="8"/>
        <v>16</v>
      </c>
    </row>
    <row r="22" spans="1:32" ht="31.5" customHeight="1" thickBot="1">
      <c r="A22" s="408" t="s">
        <v>34</v>
      </c>
      <c r="B22" s="409"/>
      <c r="C22" s="409"/>
      <c r="D22" s="409"/>
      <c r="E22" s="409"/>
      <c r="F22" s="409"/>
      <c r="G22" s="409"/>
      <c r="H22" s="410"/>
      <c r="I22" s="22">
        <f t="shared" ref="I22:N22" si="9">SUM(I6:I21)</f>
        <v>1699200</v>
      </c>
      <c r="J22" s="19">
        <f t="shared" si="9"/>
        <v>141432</v>
      </c>
      <c r="K22" s="20">
        <f t="shared" si="9"/>
        <v>427381</v>
      </c>
      <c r="L22" s="21">
        <f t="shared" si="9"/>
        <v>130164</v>
      </c>
      <c r="M22" s="20">
        <f t="shared" si="9"/>
        <v>130164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216</v>
      </c>
      <c r="Q22" s="43">
        <f t="shared" si="10"/>
        <v>168</v>
      </c>
      <c r="R22" s="23">
        <f t="shared" si="10"/>
        <v>0</v>
      </c>
      <c r="S22" s="24">
        <f t="shared" si="10"/>
        <v>28</v>
      </c>
      <c r="T22" s="24">
        <f t="shared" si="10"/>
        <v>5</v>
      </c>
      <c r="U22" s="24">
        <f t="shared" si="10"/>
        <v>0</v>
      </c>
      <c r="V22" s="25">
        <f t="shared" si="10"/>
        <v>0</v>
      </c>
      <c r="W22" s="26">
        <f t="shared" si="10"/>
        <v>111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0.6875</v>
      </c>
      <c r="AC22" s="4">
        <f>AVERAGE(AC6:AC21)</f>
        <v>0.5625</v>
      </c>
      <c r="AD22" s="4">
        <f>AVERAGE(AD6:AD21)</f>
        <v>0.5625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11" t="s">
        <v>45</v>
      </c>
      <c r="B49" s="411"/>
      <c r="C49" s="411"/>
      <c r="D49" s="411"/>
      <c r="E49" s="411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12" t="s">
        <v>347</v>
      </c>
      <c r="B50" s="413"/>
      <c r="C50" s="413"/>
      <c r="D50" s="413"/>
      <c r="E50" s="413"/>
      <c r="F50" s="413"/>
      <c r="G50" s="413"/>
      <c r="H50" s="413"/>
      <c r="I50" s="413"/>
      <c r="J50" s="413"/>
      <c r="K50" s="413"/>
      <c r="L50" s="413"/>
      <c r="M50" s="414"/>
      <c r="N50" s="415" t="s">
        <v>353</v>
      </c>
      <c r="O50" s="416"/>
      <c r="P50" s="416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/>
      <c r="AC50" s="416"/>
      <c r="AD50" s="417"/>
    </row>
    <row r="51" spans="1:32" ht="27" customHeight="1">
      <c r="A51" s="418" t="s">
        <v>2</v>
      </c>
      <c r="B51" s="419"/>
      <c r="C51" s="210" t="s">
        <v>46</v>
      </c>
      <c r="D51" s="210" t="s">
        <v>47</v>
      </c>
      <c r="E51" s="210" t="s">
        <v>107</v>
      </c>
      <c r="F51" s="420" t="s">
        <v>106</v>
      </c>
      <c r="G51" s="421"/>
      <c r="H51" s="421"/>
      <c r="I51" s="421"/>
      <c r="J51" s="421"/>
      <c r="K51" s="421"/>
      <c r="L51" s="421"/>
      <c r="M51" s="422"/>
      <c r="N51" s="67" t="s">
        <v>110</v>
      </c>
      <c r="O51" s="210" t="s">
        <v>46</v>
      </c>
      <c r="P51" s="420" t="s">
        <v>47</v>
      </c>
      <c r="Q51" s="423"/>
      <c r="R51" s="420" t="s">
        <v>38</v>
      </c>
      <c r="S51" s="421"/>
      <c r="T51" s="421"/>
      <c r="U51" s="423"/>
      <c r="V51" s="420" t="s">
        <v>48</v>
      </c>
      <c r="W51" s="421"/>
      <c r="X51" s="421"/>
      <c r="Y51" s="421"/>
      <c r="Z51" s="421"/>
      <c r="AA51" s="421"/>
      <c r="AB51" s="421"/>
      <c r="AC51" s="421"/>
      <c r="AD51" s="422"/>
    </row>
    <row r="52" spans="1:32" ht="27" customHeight="1">
      <c r="A52" s="434" t="s">
        <v>118</v>
      </c>
      <c r="B52" s="435"/>
      <c r="C52" s="206" t="s">
        <v>136</v>
      </c>
      <c r="D52" s="206" t="s">
        <v>115</v>
      </c>
      <c r="E52" s="206" t="s">
        <v>144</v>
      </c>
      <c r="F52" s="436" t="s">
        <v>348</v>
      </c>
      <c r="G52" s="437"/>
      <c r="H52" s="437"/>
      <c r="I52" s="437"/>
      <c r="J52" s="437"/>
      <c r="K52" s="437"/>
      <c r="L52" s="437"/>
      <c r="M52" s="438"/>
      <c r="N52" s="209" t="s">
        <v>139</v>
      </c>
      <c r="O52" s="203" t="s">
        <v>224</v>
      </c>
      <c r="P52" s="439" t="s">
        <v>162</v>
      </c>
      <c r="Q52" s="440"/>
      <c r="R52" s="439" t="s">
        <v>354</v>
      </c>
      <c r="S52" s="441"/>
      <c r="T52" s="441"/>
      <c r="U52" s="440"/>
      <c r="V52" s="442" t="s">
        <v>138</v>
      </c>
      <c r="W52" s="442"/>
      <c r="X52" s="442"/>
      <c r="Y52" s="442"/>
      <c r="Z52" s="442"/>
      <c r="AA52" s="442"/>
      <c r="AB52" s="442"/>
      <c r="AC52" s="442"/>
      <c r="AD52" s="443"/>
    </row>
    <row r="53" spans="1:32" ht="27" customHeight="1">
      <c r="A53" s="434" t="s">
        <v>139</v>
      </c>
      <c r="B53" s="435"/>
      <c r="C53" s="206" t="s">
        <v>127</v>
      </c>
      <c r="D53" s="206" t="s">
        <v>285</v>
      </c>
      <c r="E53" s="206" t="s">
        <v>183</v>
      </c>
      <c r="F53" s="436" t="s">
        <v>348</v>
      </c>
      <c r="G53" s="437"/>
      <c r="H53" s="437"/>
      <c r="I53" s="437"/>
      <c r="J53" s="437"/>
      <c r="K53" s="437"/>
      <c r="L53" s="437"/>
      <c r="M53" s="438"/>
      <c r="N53" s="209" t="s">
        <v>118</v>
      </c>
      <c r="O53" s="203" t="s">
        <v>204</v>
      </c>
      <c r="P53" s="439" t="s">
        <v>332</v>
      </c>
      <c r="Q53" s="440"/>
      <c r="R53" s="439" t="s">
        <v>333</v>
      </c>
      <c r="S53" s="441"/>
      <c r="T53" s="441"/>
      <c r="U53" s="440"/>
      <c r="V53" s="442" t="s">
        <v>138</v>
      </c>
      <c r="W53" s="442"/>
      <c r="X53" s="442"/>
      <c r="Y53" s="442"/>
      <c r="Z53" s="442"/>
      <c r="AA53" s="442"/>
      <c r="AB53" s="442"/>
      <c r="AC53" s="442"/>
      <c r="AD53" s="443"/>
    </row>
    <row r="54" spans="1:32" ht="27" customHeight="1">
      <c r="A54" s="434" t="s">
        <v>112</v>
      </c>
      <c r="B54" s="435"/>
      <c r="C54" s="206" t="s">
        <v>224</v>
      </c>
      <c r="D54" s="206" t="s">
        <v>216</v>
      </c>
      <c r="E54" s="206" t="s">
        <v>345</v>
      </c>
      <c r="F54" s="436" t="s">
        <v>349</v>
      </c>
      <c r="G54" s="437"/>
      <c r="H54" s="437"/>
      <c r="I54" s="437"/>
      <c r="J54" s="437"/>
      <c r="K54" s="437"/>
      <c r="L54" s="437"/>
      <c r="M54" s="438"/>
      <c r="N54" s="209" t="s">
        <v>118</v>
      </c>
      <c r="O54" s="203" t="s">
        <v>141</v>
      </c>
      <c r="P54" s="439" t="s">
        <v>115</v>
      </c>
      <c r="Q54" s="440"/>
      <c r="R54" s="439" t="s">
        <v>334</v>
      </c>
      <c r="S54" s="441"/>
      <c r="T54" s="441"/>
      <c r="U54" s="440"/>
      <c r="V54" s="442" t="s">
        <v>138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118</v>
      </c>
      <c r="B55" s="435"/>
      <c r="C55" s="206" t="s">
        <v>140</v>
      </c>
      <c r="D55" s="206" t="s">
        <v>228</v>
      </c>
      <c r="E55" s="206" t="s">
        <v>299</v>
      </c>
      <c r="F55" s="436" t="s">
        <v>350</v>
      </c>
      <c r="G55" s="437"/>
      <c r="H55" s="437"/>
      <c r="I55" s="437"/>
      <c r="J55" s="437"/>
      <c r="K55" s="437"/>
      <c r="L55" s="437"/>
      <c r="M55" s="438"/>
      <c r="N55" s="209" t="s">
        <v>139</v>
      </c>
      <c r="O55" s="203" t="s">
        <v>250</v>
      </c>
      <c r="P55" s="439" t="s">
        <v>355</v>
      </c>
      <c r="Q55" s="440"/>
      <c r="R55" s="439" t="s">
        <v>356</v>
      </c>
      <c r="S55" s="441"/>
      <c r="T55" s="441"/>
      <c r="U55" s="440"/>
      <c r="V55" s="442" t="s">
        <v>138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118</v>
      </c>
      <c r="B56" s="435"/>
      <c r="C56" s="206" t="s">
        <v>141</v>
      </c>
      <c r="D56" s="206" t="s">
        <v>115</v>
      </c>
      <c r="E56" s="206" t="s">
        <v>334</v>
      </c>
      <c r="F56" s="436" t="s">
        <v>351</v>
      </c>
      <c r="G56" s="437"/>
      <c r="H56" s="437"/>
      <c r="I56" s="437"/>
      <c r="J56" s="437"/>
      <c r="K56" s="437"/>
      <c r="L56" s="437"/>
      <c r="M56" s="438"/>
      <c r="N56" s="209" t="s">
        <v>139</v>
      </c>
      <c r="O56" s="203" t="s">
        <v>200</v>
      </c>
      <c r="P56" s="439" t="s">
        <v>115</v>
      </c>
      <c r="Q56" s="440"/>
      <c r="R56" s="439" t="s">
        <v>261</v>
      </c>
      <c r="S56" s="441"/>
      <c r="T56" s="441"/>
      <c r="U56" s="440"/>
      <c r="V56" s="442" t="s">
        <v>138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118</v>
      </c>
      <c r="B57" s="435"/>
      <c r="C57" s="206" t="s">
        <v>201</v>
      </c>
      <c r="D57" s="206" t="s">
        <v>326</v>
      </c>
      <c r="E57" s="206" t="s">
        <v>335</v>
      </c>
      <c r="F57" s="436" t="s">
        <v>138</v>
      </c>
      <c r="G57" s="437"/>
      <c r="H57" s="437"/>
      <c r="I57" s="437"/>
      <c r="J57" s="437"/>
      <c r="K57" s="437"/>
      <c r="L57" s="437"/>
      <c r="M57" s="438"/>
      <c r="N57" s="209" t="s">
        <v>139</v>
      </c>
      <c r="O57" s="203" t="s">
        <v>357</v>
      </c>
      <c r="P57" s="439" t="s">
        <v>130</v>
      </c>
      <c r="Q57" s="440"/>
      <c r="R57" s="439" t="s">
        <v>358</v>
      </c>
      <c r="S57" s="441"/>
      <c r="T57" s="441"/>
      <c r="U57" s="440"/>
      <c r="V57" s="442" t="s">
        <v>138</v>
      </c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113</v>
      </c>
      <c r="B58" s="435"/>
      <c r="C58" s="206" t="s">
        <v>337</v>
      </c>
      <c r="D58" s="206"/>
      <c r="E58" s="206" t="s">
        <v>346</v>
      </c>
      <c r="F58" s="436" t="s">
        <v>352</v>
      </c>
      <c r="G58" s="437"/>
      <c r="H58" s="437"/>
      <c r="I58" s="437"/>
      <c r="J58" s="437"/>
      <c r="K58" s="437"/>
      <c r="L58" s="437"/>
      <c r="M58" s="438"/>
      <c r="N58" s="209"/>
      <c r="O58" s="203"/>
      <c r="P58" s="439"/>
      <c r="Q58" s="440"/>
      <c r="R58" s="439"/>
      <c r="S58" s="441"/>
      <c r="T58" s="441"/>
      <c r="U58" s="440"/>
      <c r="V58" s="442"/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57"/>
      <c r="B59" s="458"/>
      <c r="C59" s="205"/>
      <c r="D59" s="205"/>
      <c r="E59" s="206"/>
      <c r="F59" s="436"/>
      <c r="G59" s="437"/>
      <c r="H59" s="437"/>
      <c r="I59" s="437"/>
      <c r="J59" s="437"/>
      <c r="K59" s="437"/>
      <c r="L59" s="437"/>
      <c r="M59" s="438"/>
      <c r="N59" s="209"/>
      <c r="O59" s="203"/>
      <c r="P59" s="439"/>
      <c r="Q59" s="440"/>
      <c r="R59" s="435"/>
      <c r="S59" s="435"/>
      <c r="T59" s="435"/>
      <c r="U59" s="435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57"/>
      <c r="B60" s="458"/>
      <c r="C60" s="205"/>
      <c r="D60" s="205"/>
      <c r="E60" s="206"/>
      <c r="F60" s="436"/>
      <c r="G60" s="437"/>
      <c r="H60" s="437"/>
      <c r="I60" s="437"/>
      <c r="J60" s="437"/>
      <c r="K60" s="437"/>
      <c r="L60" s="437"/>
      <c r="M60" s="438"/>
      <c r="N60" s="209"/>
      <c r="O60" s="203"/>
      <c r="P60" s="435"/>
      <c r="Q60" s="435"/>
      <c r="R60" s="435"/>
      <c r="S60" s="435"/>
      <c r="T60" s="435"/>
      <c r="U60" s="435"/>
      <c r="V60" s="442"/>
      <c r="W60" s="442"/>
      <c r="X60" s="442"/>
      <c r="Y60" s="442"/>
      <c r="Z60" s="442"/>
      <c r="AA60" s="442"/>
      <c r="AB60" s="442"/>
      <c r="AC60" s="442"/>
      <c r="AD60" s="443"/>
      <c r="AF60" s="84">
        <f>8*3000</f>
        <v>24000</v>
      </c>
    </row>
    <row r="61" spans="1:32" ht="27" customHeight="1" thickBot="1">
      <c r="A61" s="444"/>
      <c r="B61" s="445"/>
      <c r="C61" s="207"/>
      <c r="D61" s="208"/>
      <c r="E61" s="207"/>
      <c r="F61" s="446"/>
      <c r="G61" s="447"/>
      <c r="H61" s="447"/>
      <c r="I61" s="447"/>
      <c r="J61" s="447"/>
      <c r="K61" s="447"/>
      <c r="L61" s="447"/>
      <c r="M61" s="448"/>
      <c r="N61" s="111"/>
      <c r="O61" s="103"/>
      <c r="P61" s="449"/>
      <c r="Q61" s="449"/>
      <c r="R61" s="449"/>
      <c r="S61" s="449"/>
      <c r="T61" s="449"/>
      <c r="U61" s="449"/>
      <c r="V61" s="450"/>
      <c r="W61" s="450"/>
      <c r="X61" s="450"/>
      <c r="Y61" s="450"/>
      <c r="Z61" s="450"/>
      <c r="AA61" s="450"/>
      <c r="AB61" s="450"/>
      <c r="AC61" s="450"/>
      <c r="AD61" s="451"/>
      <c r="AF61" s="84">
        <f>16*3000</f>
        <v>48000</v>
      </c>
    </row>
    <row r="62" spans="1:32" ht="27.75" thickBot="1">
      <c r="A62" s="452" t="s">
        <v>359</v>
      </c>
      <c r="B62" s="452"/>
      <c r="C62" s="452"/>
      <c r="D62" s="452"/>
      <c r="E62" s="45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53" t="s">
        <v>111</v>
      </c>
      <c r="B63" s="454"/>
      <c r="C63" s="204" t="s">
        <v>2</v>
      </c>
      <c r="D63" s="204" t="s">
        <v>37</v>
      </c>
      <c r="E63" s="204" t="s">
        <v>3</v>
      </c>
      <c r="F63" s="454" t="s">
        <v>109</v>
      </c>
      <c r="G63" s="454"/>
      <c r="H63" s="454"/>
      <c r="I63" s="454"/>
      <c r="J63" s="454"/>
      <c r="K63" s="454" t="s">
        <v>39</v>
      </c>
      <c r="L63" s="454"/>
      <c r="M63" s="204" t="s">
        <v>40</v>
      </c>
      <c r="N63" s="454" t="s">
        <v>41</v>
      </c>
      <c r="O63" s="454"/>
      <c r="P63" s="455" t="s">
        <v>42</v>
      </c>
      <c r="Q63" s="456"/>
      <c r="R63" s="455" t="s">
        <v>43</v>
      </c>
      <c r="S63" s="459"/>
      <c r="T63" s="459"/>
      <c r="U63" s="459"/>
      <c r="V63" s="459"/>
      <c r="W63" s="459"/>
      <c r="X63" s="459"/>
      <c r="Y63" s="459"/>
      <c r="Z63" s="459"/>
      <c r="AA63" s="456"/>
      <c r="AB63" s="454" t="s">
        <v>44</v>
      </c>
      <c r="AC63" s="454"/>
      <c r="AD63" s="460"/>
      <c r="AF63" s="84">
        <f>SUM(AF60:AF62)</f>
        <v>96000</v>
      </c>
    </row>
    <row r="64" spans="1:32" ht="25.5" customHeight="1">
      <c r="A64" s="461">
        <v>1</v>
      </c>
      <c r="B64" s="462"/>
      <c r="C64" s="104" t="s">
        <v>118</v>
      </c>
      <c r="D64" s="199"/>
      <c r="E64" s="202" t="s">
        <v>115</v>
      </c>
      <c r="F64" s="463" t="s">
        <v>334</v>
      </c>
      <c r="G64" s="464"/>
      <c r="H64" s="464"/>
      <c r="I64" s="464"/>
      <c r="J64" s="465"/>
      <c r="K64" s="466">
        <v>7301</v>
      </c>
      <c r="L64" s="466"/>
      <c r="M64" s="51" t="s">
        <v>340</v>
      </c>
      <c r="N64" s="467" t="s">
        <v>141</v>
      </c>
      <c r="O64" s="467"/>
      <c r="P64" s="468"/>
      <c r="Q64" s="468"/>
      <c r="R64" s="442" t="s">
        <v>360</v>
      </c>
      <c r="S64" s="442"/>
      <c r="T64" s="442"/>
      <c r="U64" s="442"/>
      <c r="V64" s="442"/>
      <c r="W64" s="442"/>
      <c r="X64" s="442"/>
      <c r="Y64" s="442"/>
      <c r="Z64" s="442"/>
      <c r="AA64" s="442"/>
      <c r="AB64" s="466"/>
      <c r="AC64" s="466"/>
      <c r="AD64" s="469"/>
      <c r="AF64" s="50"/>
    </row>
    <row r="65" spans="1:32" ht="25.5" customHeight="1">
      <c r="A65" s="461">
        <v>2</v>
      </c>
      <c r="B65" s="462"/>
      <c r="C65" s="104" t="s">
        <v>120</v>
      </c>
      <c r="D65" s="199"/>
      <c r="E65" s="202"/>
      <c r="F65" s="463" t="s">
        <v>361</v>
      </c>
      <c r="G65" s="464"/>
      <c r="H65" s="464"/>
      <c r="I65" s="464"/>
      <c r="J65" s="465"/>
      <c r="K65" s="466" t="s">
        <v>128</v>
      </c>
      <c r="L65" s="466"/>
      <c r="M65" s="51" t="s">
        <v>362</v>
      </c>
      <c r="N65" s="467" t="s">
        <v>250</v>
      </c>
      <c r="O65" s="467"/>
      <c r="P65" s="468">
        <v>200</v>
      </c>
      <c r="Q65" s="468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66"/>
      <c r="AC65" s="466"/>
      <c r="AD65" s="469"/>
      <c r="AF65" s="50"/>
    </row>
    <row r="66" spans="1:32" ht="25.5" customHeight="1">
      <c r="A66" s="461">
        <v>3</v>
      </c>
      <c r="B66" s="462"/>
      <c r="C66" s="104"/>
      <c r="D66" s="199"/>
      <c r="E66" s="202"/>
      <c r="F66" s="463"/>
      <c r="G66" s="464"/>
      <c r="H66" s="464"/>
      <c r="I66" s="464"/>
      <c r="J66" s="465"/>
      <c r="K66" s="466"/>
      <c r="L66" s="466"/>
      <c r="M66" s="51"/>
      <c r="N66" s="467"/>
      <c r="O66" s="467"/>
      <c r="P66" s="468"/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4</v>
      </c>
      <c r="B67" s="462"/>
      <c r="C67" s="104"/>
      <c r="D67" s="199"/>
      <c r="E67" s="202"/>
      <c r="F67" s="463"/>
      <c r="G67" s="464"/>
      <c r="H67" s="464"/>
      <c r="I67" s="464"/>
      <c r="J67" s="465"/>
      <c r="K67" s="466"/>
      <c r="L67" s="466"/>
      <c r="M67" s="51"/>
      <c r="N67" s="467"/>
      <c r="O67" s="467"/>
      <c r="P67" s="468"/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5</v>
      </c>
      <c r="B68" s="462"/>
      <c r="C68" s="104"/>
      <c r="D68" s="199"/>
      <c r="E68" s="202"/>
      <c r="F68" s="463"/>
      <c r="G68" s="464"/>
      <c r="H68" s="464"/>
      <c r="I68" s="464"/>
      <c r="J68" s="465"/>
      <c r="K68" s="466"/>
      <c r="L68" s="466"/>
      <c r="M68" s="51"/>
      <c r="N68" s="467"/>
      <c r="O68" s="467"/>
      <c r="P68" s="468"/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6</v>
      </c>
      <c r="B69" s="462"/>
      <c r="C69" s="104"/>
      <c r="D69" s="199"/>
      <c r="E69" s="202"/>
      <c r="F69" s="463"/>
      <c r="G69" s="464"/>
      <c r="H69" s="464"/>
      <c r="I69" s="464"/>
      <c r="J69" s="465"/>
      <c r="K69" s="466"/>
      <c r="L69" s="466"/>
      <c r="M69" s="51"/>
      <c r="N69" s="467"/>
      <c r="O69" s="467"/>
      <c r="P69" s="468"/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7</v>
      </c>
      <c r="B70" s="462"/>
      <c r="C70" s="104"/>
      <c r="D70" s="199"/>
      <c r="E70" s="202"/>
      <c r="F70" s="463"/>
      <c r="G70" s="464"/>
      <c r="H70" s="464"/>
      <c r="I70" s="464"/>
      <c r="J70" s="465"/>
      <c r="K70" s="466"/>
      <c r="L70" s="466"/>
      <c r="M70" s="51"/>
      <c r="N70" s="467"/>
      <c r="O70" s="467"/>
      <c r="P70" s="468"/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8</v>
      </c>
      <c r="B71" s="462"/>
      <c r="C71" s="104"/>
      <c r="D71" s="199"/>
      <c r="E71" s="202"/>
      <c r="F71" s="470"/>
      <c r="G71" s="466"/>
      <c r="H71" s="466"/>
      <c r="I71" s="466"/>
      <c r="J71" s="466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9</v>
      </c>
      <c r="B72" s="462"/>
      <c r="C72" s="104"/>
      <c r="D72" s="199"/>
      <c r="E72" s="202"/>
      <c r="F72" s="470"/>
      <c r="G72" s="466"/>
      <c r="H72" s="466"/>
      <c r="I72" s="466"/>
      <c r="J72" s="466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10</v>
      </c>
      <c r="B73" s="462"/>
      <c r="C73" s="104"/>
      <c r="D73" s="199"/>
      <c r="E73" s="202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6.25" customHeight="1" thickBot="1">
      <c r="A74" s="471" t="s">
        <v>363</v>
      </c>
      <c r="B74" s="471"/>
      <c r="C74" s="471"/>
      <c r="D74" s="471"/>
      <c r="E74" s="471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2" t="s">
        <v>126</v>
      </c>
      <c r="B75" s="473"/>
      <c r="C75" s="201" t="s">
        <v>2</v>
      </c>
      <c r="D75" s="201" t="s">
        <v>37</v>
      </c>
      <c r="E75" s="201" t="s">
        <v>125</v>
      </c>
      <c r="F75" s="473" t="s">
        <v>38</v>
      </c>
      <c r="G75" s="473"/>
      <c r="H75" s="473"/>
      <c r="I75" s="473"/>
      <c r="J75" s="473"/>
      <c r="K75" s="474" t="s">
        <v>58</v>
      </c>
      <c r="L75" s="475"/>
      <c r="M75" s="475"/>
      <c r="N75" s="475"/>
      <c r="O75" s="475"/>
      <c r="P75" s="475"/>
      <c r="Q75" s="475"/>
      <c r="R75" s="475"/>
      <c r="S75" s="476"/>
      <c r="T75" s="473" t="s">
        <v>49</v>
      </c>
      <c r="U75" s="473"/>
      <c r="V75" s="474" t="s">
        <v>50</v>
      </c>
      <c r="W75" s="476"/>
      <c r="X75" s="475" t="s">
        <v>51</v>
      </c>
      <c r="Y75" s="475"/>
      <c r="Z75" s="475"/>
      <c r="AA75" s="475"/>
      <c r="AB75" s="475"/>
      <c r="AC75" s="475"/>
      <c r="AD75" s="477"/>
      <c r="AF75" s="50"/>
    </row>
    <row r="76" spans="1:32" ht="33.75" customHeight="1">
      <c r="A76" s="486">
        <v>1</v>
      </c>
      <c r="B76" s="487"/>
      <c r="C76" s="200" t="s">
        <v>112</v>
      </c>
      <c r="D76" s="200"/>
      <c r="E76" s="65" t="s">
        <v>117</v>
      </c>
      <c r="F76" s="488" t="s">
        <v>116</v>
      </c>
      <c r="G76" s="489"/>
      <c r="H76" s="489"/>
      <c r="I76" s="489"/>
      <c r="J76" s="490"/>
      <c r="K76" s="491" t="s">
        <v>119</v>
      </c>
      <c r="L76" s="492"/>
      <c r="M76" s="492"/>
      <c r="N76" s="492"/>
      <c r="O76" s="492"/>
      <c r="P76" s="492"/>
      <c r="Q76" s="492"/>
      <c r="R76" s="492"/>
      <c r="S76" s="493"/>
      <c r="T76" s="494">
        <v>44118</v>
      </c>
      <c r="U76" s="495"/>
      <c r="V76" s="496"/>
      <c r="W76" s="496"/>
      <c r="X76" s="497"/>
      <c r="Y76" s="497"/>
      <c r="Z76" s="497"/>
      <c r="AA76" s="497"/>
      <c r="AB76" s="497"/>
      <c r="AC76" s="497"/>
      <c r="AD76" s="498"/>
      <c r="AF76" s="50"/>
    </row>
    <row r="77" spans="1:32" ht="30" customHeight="1">
      <c r="A77" s="478">
        <f>A76+1</f>
        <v>2</v>
      </c>
      <c r="B77" s="479"/>
      <c r="C77" s="199"/>
      <c r="D77" s="199"/>
      <c r="E77" s="32"/>
      <c r="F77" s="479"/>
      <c r="G77" s="479"/>
      <c r="H77" s="479"/>
      <c r="I77" s="479"/>
      <c r="J77" s="479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78">
        <f t="shared" ref="A78:A82" si="11">A77+1</f>
        <v>3</v>
      </c>
      <c r="B78" s="479"/>
      <c r="C78" s="199"/>
      <c r="D78" s="199"/>
      <c r="E78" s="32"/>
      <c r="F78" s="479"/>
      <c r="G78" s="479"/>
      <c r="H78" s="479"/>
      <c r="I78" s="479"/>
      <c r="J78" s="479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78">
        <f t="shared" si="11"/>
        <v>4</v>
      </c>
      <c r="B79" s="479"/>
      <c r="C79" s="199"/>
      <c r="D79" s="199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si="11"/>
        <v>5</v>
      </c>
      <c r="B80" s="479"/>
      <c r="C80" s="199"/>
      <c r="D80" s="199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11"/>
        <v>6</v>
      </c>
      <c r="B81" s="479"/>
      <c r="C81" s="199"/>
      <c r="D81" s="199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11"/>
        <v>7</v>
      </c>
      <c r="B82" s="479"/>
      <c r="C82" s="199"/>
      <c r="D82" s="199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1" t="s">
        <v>364</v>
      </c>
      <c r="B83" s="471"/>
      <c r="C83" s="471"/>
      <c r="D83" s="471"/>
      <c r="E83" s="47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2" t="s">
        <v>111</v>
      </c>
      <c r="B84" s="473"/>
      <c r="C84" s="499" t="s">
        <v>52</v>
      </c>
      <c r="D84" s="499"/>
      <c r="E84" s="499" t="s">
        <v>53</v>
      </c>
      <c r="F84" s="499"/>
      <c r="G84" s="499"/>
      <c r="H84" s="499"/>
      <c r="I84" s="499"/>
      <c r="J84" s="499"/>
      <c r="K84" s="499" t="s">
        <v>54</v>
      </c>
      <c r="L84" s="499"/>
      <c r="M84" s="499"/>
      <c r="N84" s="499"/>
      <c r="O84" s="499"/>
      <c r="P84" s="499"/>
      <c r="Q84" s="499"/>
      <c r="R84" s="499"/>
      <c r="S84" s="499"/>
      <c r="T84" s="499" t="s">
        <v>55</v>
      </c>
      <c r="U84" s="499"/>
      <c r="V84" s="499" t="s">
        <v>56</v>
      </c>
      <c r="W84" s="499"/>
      <c r="X84" s="499"/>
      <c r="Y84" s="499" t="s">
        <v>51</v>
      </c>
      <c r="Z84" s="499"/>
      <c r="AA84" s="499"/>
      <c r="AB84" s="499"/>
      <c r="AC84" s="499"/>
      <c r="AD84" s="500"/>
      <c r="AF84" s="50"/>
    </row>
    <row r="85" spans="1:32" ht="30.75" customHeight="1">
      <c r="A85" s="486">
        <v>1</v>
      </c>
      <c r="B85" s="487"/>
      <c r="C85" s="501">
        <v>9</v>
      </c>
      <c r="D85" s="501"/>
      <c r="E85" s="501" t="s">
        <v>149</v>
      </c>
      <c r="F85" s="501"/>
      <c r="G85" s="501"/>
      <c r="H85" s="501"/>
      <c r="I85" s="501"/>
      <c r="J85" s="501"/>
      <c r="K85" s="501" t="s">
        <v>150</v>
      </c>
      <c r="L85" s="501"/>
      <c r="M85" s="501"/>
      <c r="N85" s="501"/>
      <c r="O85" s="501"/>
      <c r="P85" s="501"/>
      <c r="Q85" s="501"/>
      <c r="R85" s="501"/>
      <c r="S85" s="501"/>
      <c r="T85" s="501" t="s">
        <v>151</v>
      </c>
      <c r="U85" s="501"/>
      <c r="V85" s="502" t="s">
        <v>265</v>
      </c>
      <c r="W85" s="502"/>
      <c r="X85" s="502"/>
      <c r="Y85" s="503" t="s">
        <v>239</v>
      </c>
      <c r="Z85" s="503"/>
      <c r="AA85" s="503"/>
      <c r="AB85" s="503"/>
      <c r="AC85" s="503"/>
      <c r="AD85" s="504"/>
      <c r="AF85" s="50"/>
    </row>
    <row r="86" spans="1:32" ht="30.75" customHeight="1">
      <c r="A86" s="478">
        <v>2</v>
      </c>
      <c r="B86" s="479"/>
      <c r="C86" s="512"/>
      <c r="D86" s="512"/>
      <c r="E86" s="512"/>
      <c r="F86" s="512"/>
      <c r="G86" s="512"/>
      <c r="H86" s="512"/>
      <c r="I86" s="512"/>
      <c r="J86" s="512"/>
      <c r="K86" s="512"/>
      <c r="L86" s="512"/>
      <c r="M86" s="512"/>
      <c r="N86" s="512"/>
      <c r="O86" s="512"/>
      <c r="P86" s="512"/>
      <c r="Q86" s="512"/>
      <c r="R86" s="512"/>
      <c r="S86" s="512"/>
      <c r="T86" s="513"/>
      <c r="U86" s="513"/>
      <c r="V86" s="514"/>
      <c r="W86" s="514"/>
      <c r="X86" s="514"/>
      <c r="Y86" s="505"/>
      <c r="Z86" s="505"/>
      <c r="AA86" s="505"/>
      <c r="AB86" s="505"/>
      <c r="AC86" s="505"/>
      <c r="AD86" s="506"/>
      <c r="AF86" s="50"/>
    </row>
    <row r="87" spans="1:32" ht="30.75" customHeight="1" thickBot="1">
      <c r="A87" s="507">
        <v>3</v>
      </c>
      <c r="B87" s="508"/>
      <c r="C87" s="509"/>
      <c r="D87" s="509"/>
      <c r="E87" s="509"/>
      <c r="F87" s="509"/>
      <c r="G87" s="509"/>
      <c r="H87" s="509"/>
      <c r="I87" s="509"/>
      <c r="J87" s="509"/>
      <c r="K87" s="509"/>
      <c r="L87" s="509"/>
      <c r="M87" s="509"/>
      <c r="N87" s="509"/>
      <c r="O87" s="509"/>
      <c r="P87" s="509"/>
      <c r="Q87" s="509"/>
      <c r="R87" s="509"/>
      <c r="S87" s="509"/>
      <c r="T87" s="509"/>
      <c r="U87" s="509"/>
      <c r="V87" s="509"/>
      <c r="W87" s="509"/>
      <c r="X87" s="509"/>
      <c r="Y87" s="510"/>
      <c r="Z87" s="510"/>
      <c r="AA87" s="510"/>
      <c r="AB87" s="510"/>
      <c r="AC87" s="510"/>
      <c r="AD87" s="511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0240-C6C3-46BA-A6FC-E2535CDF6B91}">
  <dimension ref="A1:AF87"/>
  <sheetViews>
    <sheetView view="pageBreakPreview" zoomScale="70" zoomScaleNormal="72" zoomScaleSheetLayoutView="70" workbookViewId="0">
      <selection activeCell="V11" sqref="V1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365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212" t="s">
        <v>17</v>
      </c>
      <c r="L5" s="212" t="s">
        <v>18</v>
      </c>
      <c r="M5" s="212" t="s">
        <v>19</v>
      </c>
      <c r="N5" s="21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30" customHeight="1">
      <c r="A6" s="96">
        <v>1</v>
      </c>
      <c r="B6" s="11" t="s">
        <v>57</v>
      </c>
      <c r="C6" s="34" t="s">
        <v>139</v>
      </c>
      <c r="D6" s="52" t="s">
        <v>355</v>
      </c>
      <c r="E6" s="53" t="s">
        <v>366</v>
      </c>
      <c r="F6" s="30" t="s">
        <v>367</v>
      </c>
      <c r="G6" s="12">
        <v>1</v>
      </c>
      <c r="H6" s="13">
        <v>24</v>
      </c>
      <c r="I6" s="7">
        <v>2500</v>
      </c>
      <c r="J6" s="14">
        <v>2931</v>
      </c>
      <c r="K6" s="15">
        <f>L6</f>
        <v>2931</v>
      </c>
      <c r="L6" s="15">
        <f>431+2500</f>
        <v>2931</v>
      </c>
      <c r="M6" s="15">
        <f t="shared" ref="M6:M21" si="0">L6-N6</f>
        <v>2931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15</v>
      </c>
      <c r="Q6" s="40">
        <f t="shared" ref="Q6:Q21" si="3">SUM(R6:AA6)</f>
        <v>9</v>
      </c>
      <c r="R6" s="7"/>
      <c r="S6" s="6">
        <v>9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0.625</v>
      </c>
      <c r="AD6" s="10">
        <f t="shared" ref="AD6:AD21" si="6">AC6*AB6*(1-O6)</f>
        <v>0.625</v>
      </c>
      <c r="AE6" s="36">
        <f t="shared" ref="AE6:AE21" si="7">$AD$22</f>
        <v>0.62239583333333326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228</v>
      </c>
      <c r="E7" s="53" t="s">
        <v>299</v>
      </c>
      <c r="F7" s="30" t="s">
        <v>344</v>
      </c>
      <c r="G7" s="12">
        <v>2</v>
      </c>
      <c r="H7" s="13">
        <v>24</v>
      </c>
      <c r="I7" s="31">
        <v>130000</v>
      </c>
      <c r="J7" s="14">
        <v>13102</v>
      </c>
      <c r="K7" s="15">
        <f>L7+20667</f>
        <v>33769</v>
      </c>
      <c r="L7" s="15">
        <f>3116*2+170*2+3265*2</f>
        <v>13102</v>
      </c>
      <c r="M7" s="15">
        <f t="shared" si="0"/>
        <v>13102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0.62239583333333326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139</v>
      </c>
      <c r="D8" s="52" t="s">
        <v>115</v>
      </c>
      <c r="E8" s="53" t="s">
        <v>284</v>
      </c>
      <c r="F8" s="30" t="s">
        <v>165</v>
      </c>
      <c r="G8" s="33">
        <v>3</v>
      </c>
      <c r="H8" s="35">
        <v>24</v>
      </c>
      <c r="I8" s="7">
        <v>50000</v>
      </c>
      <c r="J8" s="5">
        <v>12060</v>
      </c>
      <c r="K8" s="15">
        <f>L8+7224+14391+19017+12060</f>
        <v>52692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0.62239583333333326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134</v>
      </c>
      <c r="F9" s="30" t="s">
        <v>133</v>
      </c>
      <c r="G9" s="12">
        <v>1</v>
      </c>
      <c r="H9" s="13">
        <v>24</v>
      </c>
      <c r="I9" s="7">
        <v>50000</v>
      </c>
      <c r="J9" s="14">
        <v>1939</v>
      </c>
      <c r="K9" s="15">
        <f>L9+4441+5448+5546+5454+5474+5364+5279</f>
        <v>38945</v>
      </c>
      <c r="L9" s="15">
        <f>1939</f>
        <v>1939</v>
      </c>
      <c r="M9" s="15">
        <f t="shared" si="0"/>
        <v>1939</v>
      </c>
      <c r="N9" s="15">
        <v>0</v>
      </c>
      <c r="O9" s="58">
        <f t="shared" si="1"/>
        <v>0</v>
      </c>
      <c r="P9" s="39">
        <f t="shared" si="2"/>
        <v>10</v>
      </c>
      <c r="Q9" s="40">
        <f t="shared" si="3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6">
        <f t="shared" si="7"/>
        <v>0.62239583333333326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332</v>
      </c>
      <c r="E10" s="53" t="s">
        <v>333</v>
      </c>
      <c r="F10" s="30" t="s">
        <v>131</v>
      </c>
      <c r="G10" s="33">
        <v>1</v>
      </c>
      <c r="H10" s="35">
        <v>24</v>
      </c>
      <c r="I10" s="7">
        <v>34000</v>
      </c>
      <c r="J10" s="14">
        <v>3378</v>
      </c>
      <c r="K10" s="15">
        <f>L10</f>
        <v>3378</v>
      </c>
      <c r="L10" s="15">
        <f>3378</f>
        <v>3378</v>
      </c>
      <c r="M10" s="15">
        <f t="shared" si="0"/>
        <v>3378</v>
      </c>
      <c r="N10" s="15">
        <v>0</v>
      </c>
      <c r="O10" s="58">
        <f t="shared" si="1"/>
        <v>0</v>
      </c>
      <c r="P10" s="39">
        <f t="shared" si="2"/>
        <v>14</v>
      </c>
      <c r="Q10" s="40">
        <f t="shared" si="3"/>
        <v>10</v>
      </c>
      <c r="R10" s="7"/>
      <c r="S10" s="6">
        <v>10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0.58333333333333337</v>
      </c>
      <c r="AD10" s="10">
        <f t="shared" si="6"/>
        <v>0.58333333333333337</v>
      </c>
      <c r="AE10" s="36">
        <f t="shared" si="7"/>
        <v>0.62239583333333326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139</v>
      </c>
      <c r="D11" s="52" t="s">
        <v>162</v>
      </c>
      <c r="E11" s="53" t="s">
        <v>368</v>
      </c>
      <c r="F11" s="30" t="s">
        <v>165</v>
      </c>
      <c r="G11" s="33">
        <v>1</v>
      </c>
      <c r="H11" s="35">
        <v>24</v>
      </c>
      <c r="I11" s="7">
        <v>2500</v>
      </c>
      <c r="J11" s="14">
        <v>3021</v>
      </c>
      <c r="K11" s="15">
        <f>L11</f>
        <v>3021</v>
      </c>
      <c r="L11" s="15">
        <f>2013+1008</f>
        <v>3021</v>
      </c>
      <c r="M11" s="15">
        <f t="shared" si="0"/>
        <v>3021</v>
      </c>
      <c r="N11" s="15">
        <v>0</v>
      </c>
      <c r="O11" s="58">
        <f t="shared" si="1"/>
        <v>0</v>
      </c>
      <c r="P11" s="39">
        <f t="shared" si="2"/>
        <v>19</v>
      </c>
      <c r="Q11" s="40">
        <f t="shared" si="3"/>
        <v>5</v>
      </c>
      <c r="R11" s="7"/>
      <c r="S11" s="6">
        <v>5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0.79166666666666663</v>
      </c>
      <c r="AD11" s="10">
        <f t="shared" si="6"/>
        <v>0.79166666666666663</v>
      </c>
      <c r="AE11" s="36">
        <f t="shared" si="7"/>
        <v>0.62239583333333326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144</v>
      </c>
      <c r="F12" s="30" t="s">
        <v>145</v>
      </c>
      <c r="G12" s="12">
        <v>1</v>
      </c>
      <c r="H12" s="13">
        <v>22</v>
      </c>
      <c r="I12" s="31">
        <v>120000</v>
      </c>
      <c r="J12" s="5">
        <v>5518</v>
      </c>
      <c r="K12" s="15">
        <f>L12+4597+5041+5597+5567+5537+3364+5103+4208+3250+4473+4603+3900+3271+5266+5310+2806+4497+4981+4384+3503+3445+4608</f>
        <v>102829</v>
      </c>
      <c r="L12" s="15">
        <f>2717+2801</f>
        <v>5518</v>
      </c>
      <c r="M12" s="15">
        <f t="shared" si="0"/>
        <v>5518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0.62239583333333326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139</v>
      </c>
      <c r="D13" s="52" t="s">
        <v>285</v>
      </c>
      <c r="E13" s="53" t="s">
        <v>167</v>
      </c>
      <c r="F13" s="30" t="s">
        <v>168</v>
      </c>
      <c r="G13" s="33" t="s">
        <v>169</v>
      </c>
      <c r="H13" s="35">
        <v>24</v>
      </c>
      <c r="I13" s="7">
        <v>9000</v>
      </c>
      <c r="J13" s="14">
        <v>2207</v>
      </c>
      <c r="K13" s="15">
        <f>L13+3121</f>
        <v>5328</v>
      </c>
      <c r="L13" s="15">
        <f>2207</f>
        <v>2207</v>
      </c>
      <c r="M13" s="15">
        <f t="shared" si="0"/>
        <v>2207</v>
      </c>
      <c r="N13" s="15">
        <v>0</v>
      </c>
      <c r="O13" s="58">
        <f t="shared" si="1"/>
        <v>0</v>
      </c>
      <c r="P13" s="39">
        <f t="shared" si="2"/>
        <v>12</v>
      </c>
      <c r="Q13" s="40">
        <f t="shared" si="3"/>
        <v>12</v>
      </c>
      <c r="R13" s="7"/>
      <c r="S13" s="6">
        <v>12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</v>
      </c>
      <c r="AD13" s="10">
        <f t="shared" si="6"/>
        <v>0.5</v>
      </c>
      <c r="AE13" s="36">
        <f t="shared" si="7"/>
        <v>0.62239583333333326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218</v>
      </c>
      <c r="F14" s="30" t="s">
        <v>245</v>
      </c>
      <c r="G14" s="33">
        <v>1</v>
      </c>
      <c r="H14" s="35">
        <v>50</v>
      </c>
      <c r="I14" s="7">
        <v>300</v>
      </c>
      <c r="J14" s="5">
        <v>572</v>
      </c>
      <c r="K14" s="15">
        <f>L14+572</f>
        <v>572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0.62239583333333326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139</v>
      </c>
      <c r="D15" s="52" t="s">
        <v>130</v>
      </c>
      <c r="E15" s="53" t="s">
        <v>369</v>
      </c>
      <c r="F15" s="12" t="s">
        <v>367</v>
      </c>
      <c r="G15" s="12">
        <v>1</v>
      </c>
      <c r="H15" s="13">
        <v>24</v>
      </c>
      <c r="I15" s="31">
        <v>2500</v>
      </c>
      <c r="J15" s="14">
        <v>2700</v>
      </c>
      <c r="K15" s="15">
        <f>L15</f>
        <v>2700</v>
      </c>
      <c r="L15" s="15">
        <f>2479+221</f>
        <v>2700</v>
      </c>
      <c r="M15" s="15">
        <f t="shared" si="0"/>
        <v>2700</v>
      </c>
      <c r="N15" s="15">
        <v>0</v>
      </c>
      <c r="O15" s="58">
        <f t="shared" si="1"/>
        <v>0</v>
      </c>
      <c r="P15" s="39">
        <f t="shared" si="2"/>
        <v>15</v>
      </c>
      <c r="Q15" s="40">
        <f t="shared" si="3"/>
        <v>9</v>
      </c>
      <c r="R15" s="7"/>
      <c r="S15" s="6"/>
      <c r="T15" s="16">
        <v>9</v>
      </c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0.625</v>
      </c>
      <c r="AD15" s="10">
        <f t="shared" si="6"/>
        <v>0.625</v>
      </c>
      <c r="AE15" s="36">
        <f t="shared" si="7"/>
        <v>0.62239583333333326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228</v>
      </c>
      <c r="E16" s="53" t="s">
        <v>318</v>
      </c>
      <c r="F16" s="30" t="s">
        <v>153</v>
      </c>
      <c r="G16" s="12">
        <v>1</v>
      </c>
      <c r="H16" s="13">
        <v>24</v>
      </c>
      <c r="I16" s="7">
        <v>900</v>
      </c>
      <c r="J16" s="14">
        <v>900</v>
      </c>
      <c r="K16" s="15">
        <f>L16+900</f>
        <v>900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0.62239583333333326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159</v>
      </c>
      <c r="D17" s="52" t="s">
        <v>170</v>
      </c>
      <c r="E17" s="53" t="s">
        <v>171</v>
      </c>
      <c r="F17" s="30" t="s">
        <v>172</v>
      </c>
      <c r="G17" s="12">
        <v>2</v>
      </c>
      <c r="H17" s="13">
        <v>24</v>
      </c>
      <c r="I17" s="7">
        <v>60000</v>
      </c>
      <c r="J17" s="14">
        <v>15320</v>
      </c>
      <c r="K17" s="15">
        <f>L17+11416+12356+12738+13852+13988+14162+13878</f>
        <v>107710</v>
      </c>
      <c r="L17" s="15">
        <f>3881*2+3779*2</f>
        <v>15320</v>
      </c>
      <c r="M17" s="15">
        <f t="shared" si="0"/>
        <v>15320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0.62239583333333326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139</v>
      </c>
      <c r="D18" s="52" t="s">
        <v>115</v>
      </c>
      <c r="E18" s="53" t="s">
        <v>370</v>
      </c>
      <c r="F18" s="30" t="s">
        <v>165</v>
      </c>
      <c r="G18" s="33">
        <v>1</v>
      </c>
      <c r="H18" s="35">
        <v>24</v>
      </c>
      <c r="I18" s="7">
        <v>2500</v>
      </c>
      <c r="J18" s="14">
        <v>1897</v>
      </c>
      <c r="K18" s="15">
        <f>L18</f>
        <v>1897</v>
      </c>
      <c r="L18" s="15">
        <f>1412+485</f>
        <v>1897</v>
      </c>
      <c r="M18" s="15">
        <f t="shared" si="0"/>
        <v>1897</v>
      </c>
      <c r="N18" s="15">
        <v>0</v>
      </c>
      <c r="O18" s="58">
        <f t="shared" si="1"/>
        <v>0</v>
      </c>
      <c r="P18" s="39">
        <f t="shared" si="2"/>
        <v>10</v>
      </c>
      <c r="Q18" s="40">
        <f t="shared" si="3"/>
        <v>14</v>
      </c>
      <c r="R18" s="7"/>
      <c r="S18" s="6">
        <v>10</v>
      </c>
      <c r="T18" s="16">
        <v>4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6">
        <f t="shared" si="7"/>
        <v>0.62239583333333326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326</v>
      </c>
      <c r="E19" s="53" t="s">
        <v>335</v>
      </c>
      <c r="F19" s="30" t="s">
        <v>153</v>
      </c>
      <c r="G19" s="33">
        <v>4</v>
      </c>
      <c r="H19" s="35">
        <v>24</v>
      </c>
      <c r="I19" s="7">
        <v>130000</v>
      </c>
      <c r="J19" s="14">
        <v>25132</v>
      </c>
      <c r="K19" s="15">
        <f>L19+21680</f>
        <v>46812</v>
      </c>
      <c r="L19" s="15">
        <f>2836*4+550*4+2897*4</f>
        <v>25132</v>
      </c>
      <c r="M19" s="15">
        <f t="shared" si="0"/>
        <v>25132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0.62239583333333326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309</v>
      </c>
      <c r="F20" s="30" t="s">
        <v>129</v>
      </c>
      <c r="G20" s="12">
        <v>4</v>
      </c>
      <c r="H20" s="13">
        <v>24</v>
      </c>
      <c r="I20" s="7">
        <v>130000</v>
      </c>
      <c r="J20" s="14">
        <v>22084</v>
      </c>
      <c r="K20" s="15">
        <f>L20+13156+20408+13276</f>
        <v>68924</v>
      </c>
      <c r="L20" s="15">
        <f>2566*4+2475*4+480*4</f>
        <v>22084</v>
      </c>
      <c r="M20" s="15">
        <f t="shared" si="0"/>
        <v>22084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0.62239583333333326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346</v>
      </c>
      <c r="F21" s="12" t="s">
        <v>114</v>
      </c>
      <c r="G21" s="12">
        <v>3</v>
      </c>
      <c r="H21" s="35">
        <v>20</v>
      </c>
      <c r="I21" s="7">
        <v>1000000</v>
      </c>
      <c r="J21" s="14">
        <v>74820</v>
      </c>
      <c r="K21" s="15">
        <f>L21+28316</f>
        <v>103136</v>
      </c>
      <c r="L21" s="15">
        <f>9343*4+9362*4</f>
        <v>74820</v>
      </c>
      <c r="M21" s="15">
        <f t="shared" si="0"/>
        <v>74820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0.62239583333333326</v>
      </c>
      <c r="AF21" s="84">
        <f t="shared" si="8"/>
        <v>16</v>
      </c>
    </row>
    <row r="22" spans="1:32" ht="31.5" customHeight="1" thickBot="1">
      <c r="A22" s="408" t="s">
        <v>34</v>
      </c>
      <c r="B22" s="409"/>
      <c r="C22" s="409"/>
      <c r="D22" s="409"/>
      <c r="E22" s="409"/>
      <c r="F22" s="409"/>
      <c r="G22" s="409"/>
      <c r="H22" s="410"/>
      <c r="I22" s="22">
        <f t="shared" ref="I22:N22" si="9">SUM(I6:I21)</f>
        <v>1724200</v>
      </c>
      <c r="J22" s="19">
        <f t="shared" si="9"/>
        <v>187581</v>
      </c>
      <c r="K22" s="20">
        <f t="shared" si="9"/>
        <v>575544</v>
      </c>
      <c r="L22" s="21">
        <f t="shared" si="9"/>
        <v>174049</v>
      </c>
      <c r="M22" s="20">
        <f t="shared" si="9"/>
        <v>174049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239</v>
      </c>
      <c r="Q22" s="43">
        <f t="shared" si="10"/>
        <v>145</v>
      </c>
      <c r="R22" s="23">
        <f t="shared" si="10"/>
        <v>0</v>
      </c>
      <c r="S22" s="24">
        <f t="shared" si="10"/>
        <v>60</v>
      </c>
      <c r="T22" s="24">
        <f t="shared" si="10"/>
        <v>13</v>
      </c>
      <c r="U22" s="24">
        <f t="shared" si="10"/>
        <v>0</v>
      </c>
      <c r="V22" s="25">
        <f t="shared" si="10"/>
        <v>0</v>
      </c>
      <c r="W22" s="26">
        <f t="shared" si="10"/>
        <v>24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48</v>
      </c>
      <c r="AB22" s="28">
        <f>AVERAGE(AB6:AB21)</f>
        <v>0.8125</v>
      </c>
      <c r="AC22" s="4">
        <f>AVERAGE(AC6:AC21)</f>
        <v>0.62239583333333326</v>
      </c>
      <c r="AD22" s="4">
        <f>AVERAGE(AD6:AD21)</f>
        <v>0.62239583333333326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11" t="s">
        <v>45</v>
      </c>
      <c r="B49" s="411"/>
      <c r="C49" s="411"/>
      <c r="D49" s="411"/>
      <c r="E49" s="411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12" t="s">
        <v>371</v>
      </c>
      <c r="B50" s="413"/>
      <c r="C50" s="413"/>
      <c r="D50" s="413"/>
      <c r="E50" s="413"/>
      <c r="F50" s="413"/>
      <c r="G50" s="413"/>
      <c r="H50" s="413"/>
      <c r="I50" s="413"/>
      <c r="J50" s="413"/>
      <c r="K50" s="413"/>
      <c r="L50" s="413"/>
      <c r="M50" s="414"/>
      <c r="N50" s="415" t="s">
        <v>374</v>
      </c>
      <c r="O50" s="416"/>
      <c r="P50" s="416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/>
      <c r="AC50" s="416"/>
      <c r="AD50" s="417"/>
    </row>
    <row r="51" spans="1:32" ht="27" customHeight="1">
      <c r="A51" s="418" t="s">
        <v>2</v>
      </c>
      <c r="B51" s="419"/>
      <c r="C51" s="213" t="s">
        <v>46</v>
      </c>
      <c r="D51" s="213" t="s">
        <v>47</v>
      </c>
      <c r="E51" s="213" t="s">
        <v>107</v>
      </c>
      <c r="F51" s="420" t="s">
        <v>106</v>
      </c>
      <c r="G51" s="421"/>
      <c r="H51" s="421"/>
      <c r="I51" s="421"/>
      <c r="J51" s="421"/>
      <c r="K51" s="421"/>
      <c r="L51" s="421"/>
      <c r="M51" s="422"/>
      <c r="N51" s="67" t="s">
        <v>110</v>
      </c>
      <c r="O51" s="213" t="s">
        <v>46</v>
      </c>
      <c r="P51" s="420" t="s">
        <v>47</v>
      </c>
      <c r="Q51" s="423"/>
      <c r="R51" s="420" t="s">
        <v>38</v>
      </c>
      <c r="S51" s="421"/>
      <c r="T51" s="421"/>
      <c r="U51" s="423"/>
      <c r="V51" s="420" t="s">
        <v>48</v>
      </c>
      <c r="W51" s="421"/>
      <c r="X51" s="421"/>
      <c r="Y51" s="421"/>
      <c r="Z51" s="421"/>
      <c r="AA51" s="421"/>
      <c r="AB51" s="421"/>
      <c r="AC51" s="421"/>
      <c r="AD51" s="422"/>
    </row>
    <row r="52" spans="1:32" ht="27" customHeight="1">
      <c r="A52" s="434" t="s">
        <v>139</v>
      </c>
      <c r="B52" s="435"/>
      <c r="C52" s="215" t="s">
        <v>250</v>
      </c>
      <c r="D52" s="215" t="s">
        <v>355</v>
      </c>
      <c r="E52" s="215" t="s">
        <v>366</v>
      </c>
      <c r="F52" s="436" t="s">
        <v>372</v>
      </c>
      <c r="G52" s="437"/>
      <c r="H52" s="437"/>
      <c r="I52" s="437"/>
      <c r="J52" s="437"/>
      <c r="K52" s="437"/>
      <c r="L52" s="437"/>
      <c r="M52" s="438"/>
      <c r="N52" s="214" t="s">
        <v>139</v>
      </c>
      <c r="O52" s="221" t="s">
        <v>200</v>
      </c>
      <c r="P52" s="439" t="s">
        <v>115</v>
      </c>
      <c r="Q52" s="440"/>
      <c r="R52" s="439" t="s">
        <v>261</v>
      </c>
      <c r="S52" s="441"/>
      <c r="T52" s="441"/>
      <c r="U52" s="440"/>
      <c r="V52" s="442" t="s">
        <v>124</v>
      </c>
      <c r="W52" s="442"/>
      <c r="X52" s="442"/>
      <c r="Y52" s="442"/>
      <c r="Z52" s="442"/>
      <c r="AA52" s="442"/>
      <c r="AB52" s="442"/>
      <c r="AC52" s="442"/>
      <c r="AD52" s="443"/>
    </row>
    <row r="53" spans="1:32" ht="27" customHeight="1">
      <c r="A53" s="434" t="s">
        <v>139</v>
      </c>
      <c r="B53" s="435"/>
      <c r="C53" s="215" t="s">
        <v>127</v>
      </c>
      <c r="D53" s="215" t="s">
        <v>285</v>
      </c>
      <c r="E53" s="215" t="s">
        <v>183</v>
      </c>
      <c r="F53" s="436" t="s">
        <v>297</v>
      </c>
      <c r="G53" s="437"/>
      <c r="H53" s="437"/>
      <c r="I53" s="437"/>
      <c r="J53" s="437"/>
      <c r="K53" s="437"/>
      <c r="L53" s="437"/>
      <c r="M53" s="438"/>
      <c r="N53" s="214" t="s">
        <v>118</v>
      </c>
      <c r="O53" s="221" t="s">
        <v>385</v>
      </c>
      <c r="P53" s="439" t="s">
        <v>216</v>
      </c>
      <c r="Q53" s="440"/>
      <c r="R53" s="439" t="s">
        <v>384</v>
      </c>
      <c r="S53" s="441"/>
      <c r="T53" s="441"/>
      <c r="U53" s="440"/>
      <c r="V53" s="442" t="s">
        <v>124</v>
      </c>
      <c r="W53" s="442"/>
      <c r="X53" s="442"/>
      <c r="Y53" s="442"/>
      <c r="Z53" s="442"/>
      <c r="AA53" s="442"/>
      <c r="AB53" s="442"/>
      <c r="AC53" s="442"/>
      <c r="AD53" s="443"/>
    </row>
    <row r="54" spans="1:32" ht="27" customHeight="1">
      <c r="A54" s="434" t="s">
        <v>139</v>
      </c>
      <c r="B54" s="435"/>
      <c r="C54" s="215" t="s">
        <v>357</v>
      </c>
      <c r="D54" s="215" t="s">
        <v>130</v>
      </c>
      <c r="E54" s="215" t="s">
        <v>369</v>
      </c>
      <c r="F54" s="436" t="s">
        <v>138</v>
      </c>
      <c r="G54" s="437"/>
      <c r="H54" s="437"/>
      <c r="I54" s="437"/>
      <c r="J54" s="437"/>
      <c r="K54" s="437"/>
      <c r="L54" s="437"/>
      <c r="M54" s="438"/>
      <c r="N54" s="214" t="s">
        <v>159</v>
      </c>
      <c r="O54" s="221" t="s">
        <v>224</v>
      </c>
      <c r="P54" s="439"/>
      <c r="Q54" s="440"/>
      <c r="R54" s="439" t="s">
        <v>386</v>
      </c>
      <c r="S54" s="441"/>
      <c r="T54" s="441"/>
      <c r="U54" s="440"/>
      <c r="V54" s="442" t="s">
        <v>138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118</v>
      </c>
      <c r="B55" s="435"/>
      <c r="C55" s="215" t="s">
        <v>140</v>
      </c>
      <c r="D55" s="215" t="s">
        <v>228</v>
      </c>
      <c r="E55" s="215" t="s">
        <v>299</v>
      </c>
      <c r="F55" s="436" t="s">
        <v>297</v>
      </c>
      <c r="G55" s="437"/>
      <c r="H55" s="437"/>
      <c r="I55" s="437"/>
      <c r="J55" s="437"/>
      <c r="K55" s="437"/>
      <c r="L55" s="437"/>
      <c r="M55" s="438"/>
      <c r="N55" s="214" t="s">
        <v>139</v>
      </c>
      <c r="O55" s="221" t="s">
        <v>127</v>
      </c>
      <c r="P55" s="439" t="s">
        <v>285</v>
      </c>
      <c r="Q55" s="440"/>
      <c r="R55" s="439" t="s">
        <v>183</v>
      </c>
      <c r="S55" s="441"/>
      <c r="T55" s="441"/>
      <c r="U55" s="440"/>
      <c r="V55" s="442" t="s">
        <v>124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139</v>
      </c>
      <c r="B56" s="435"/>
      <c r="C56" s="215" t="s">
        <v>200</v>
      </c>
      <c r="D56" s="215" t="s">
        <v>115</v>
      </c>
      <c r="E56" s="215" t="s">
        <v>370</v>
      </c>
      <c r="F56" s="436" t="s">
        <v>373</v>
      </c>
      <c r="G56" s="437"/>
      <c r="H56" s="437"/>
      <c r="I56" s="437"/>
      <c r="J56" s="437"/>
      <c r="K56" s="437"/>
      <c r="L56" s="437"/>
      <c r="M56" s="438"/>
      <c r="N56" s="214"/>
      <c r="O56" s="221"/>
      <c r="P56" s="439"/>
      <c r="Q56" s="440"/>
      <c r="R56" s="439"/>
      <c r="S56" s="441"/>
      <c r="T56" s="441"/>
      <c r="U56" s="440"/>
      <c r="V56" s="442"/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118</v>
      </c>
      <c r="B57" s="435"/>
      <c r="C57" s="215" t="s">
        <v>204</v>
      </c>
      <c r="D57" s="215" t="s">
        <v>332</v>
      </c>
      <c r="E57" s="215" t="s">
        <v>333</v>
      </c>
      <c r="F57" s="436" t="s">
        <v>375</v>
      </c>
      <c r="G57" s="437"/>
      <c r="H57" s="437"/>
      <c r="I57" s="437"/>
      <c r="J57" s="437"/>
      <c r="K57" s="437"/>
      <c r="L57" s="437"/>
      <c r="M57" s="438"/>
      <c r="N57" s="214"/>
      <c r="O57" s="221"/>
      <c r="P57" s="439"/>
      <c r="Q57" s="440"/>
      <c r="R57" s="439"/>
      <c r="S57" s="441"/>
      <c r="T57" s="441"/>
      <c r="U57" s="440"/>
      <c r="V57" s="442"/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118</v>
      </c>
      <c r="B58" s="435"/>
      <c r="C58" s="215" t="s">
        <v>141</v>
      </c>
      <c r="D58" s="215" t="s">
        <v>115</v>
      </c>
      <c r="E58" s="215" t="s">
        <v>334</v>
      </c>
      <c r="F58" s="436" t="s">
        <v>376</v>
      </c>
      <c r="G58" s="437"/>
      <c r="H58" s="437"/>
      <c r="I58" s="437"/>
      <c r="J58" s="437"/>
      <c r="K58" s="437"/>
      <c r="L58" s="437"/>
      <c r="M58" s="438"/>
      <c r="N58" s="214"/>
      <c r="O58" s="221"/>
      <c r="P58" s="439"/>
      <c r="Q58" s="440"/>
      <c r="R58" s="439"/>
      <c r="S58" s="441"/>
      <c r="T58" s="441"/>
      <c r="U58" s="440"/>
      <c r="V58" s="442"/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57"/>
      <c r="B59" s="458"/>
      <c r="C59" s="219"/>
      <c r="D59" s="219"/>
      <c r="E59" s="215"/>
      <c r="F59" s="436"/>
      <c r="G59" s="437"/>
      <c r="H59" s="437"/>
      <c r="I59" s="437"/>
      <c r="J59" s="437"/>
      <c r="K59" s="437"/>
      <c r="L59" s="437"/>
      <c r="M59" s="438"/>
      <c r="N59" s="214"/>
      <c r="O59" s="221"/>
      <c r="P59" s="439"/>
      <c r="Q59" s="440"/>
      <c r="R59" s="435"/>
      <c r="S59" s="435"/>
      <c r="T59" s="435"/>
      <c r="U59" s="435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57"/>
      <c r="B60" s="458"/>
      <c r="C60" s="219"/>
      <c r="D60" s="219"/>
      <c r="E60" s="215"/>
      <c r="F60" s="436"/>
      <c r="G60" s="437"/>
      <c r="H60" s="437"/>
      <c r="I60" s="437"/>
      <c r="J60" s="437"/>
      <c r="K60" s="437"/>
      <c r="L60" s="437"/>
      <c r="M60" s="438"/>
      <c r="N60" s="214"/>
      <c r="O60" s="221"/>
      <c r="P60" s="435"/>
      <c r="Q60" s="435"/>
      <c r="R60" s="435"/>
      <c r="S60" s="435"/>
      <c r="T60" s="435"/>
      <c r="U60" s="435"/>
      <c r="V60" s="442"/>
      <c r="W60" s="442"/>
      <c r="X60" s="442"/>
      <c r="Y60" s="442"/>
      <c r="Z60" s="442"/>
      <c r="AA60" s="442"/>
      <c r="AB60" s="442"/>
      <c r="AC60" s="442"/>
      <c r="AD60" s="443"/>
      <c r="AF60" s="84">
        <f>8*3000</f>
        <v>24000</v>
      </c>
    </row>
    <row r="61" spans="1:32" ht="27" customHeight="1" thickBot="1">
      <c r="A61" s="444"/>
      <c r="B61" s="445"/>
      <c r="C61" s="216"/>
      <c r="D61" s="217"/>
      <c r="E61" s="216"/>
      <c r="F61" s="446"/>
      <c r="G61" s="447"/>
      <c r="H61" s="447"/>
      <c r="I61" s="447"/>
      <c r="J61" s="447"/>
      <c r="K61" s="447"/>
      <c r="L61" s="447"/>
      <c r="M61" s="448"/>
      <c r="N61" s="111"/>
      <c r="O61" s="103"/>
      <c r="P61" s="449"/>
      <c r="Q61" s="449"/>
      <c r="R61" s="449"/>
      <c r="S61" s="449"/>
      <c r="T61" s="449"/>
      <c r="U61" s="449"/>
      <c r="V61" s="450"/>
      <c r="W61" s="450"/>
      <c r="X61" s="450"/>
      <c r="Y61" s="450"/>
      <c r="Z61" s="450"/>
      <c r="AA61" s="450"/>
      <c r="AB61" s="450"/>
      <c r="AC61" s="450"/>
      <c r="AD61" s="451"/>
      <c r="AF61" s="84">
        <f>16*3000</f>
        <v>48000</v>
      </c>
    </row>
    <row r="62" spans="1:32" ht="27.75" thickBot="1">
      <c r="A62" s="452" t="s">
        <v>381</v>
      </c>
      <c r="B62" s="452"/>
      <c r="C62" s="452"/>
      <c r="D62" s="452"/>
      <c r="E62" s="45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53" t="s">
        <v>111</v>
      </c>
      <c r="B63" s="454"/>
      <c r="C63" s="218" t="s">
        <v>2</v>
      </c>
      <c r="D63" s="218" t="s">
        <v>37</v>
      </c>
      <c r="E63" s="218" t="s">
        <v>3</v>
      </c>
      <c r="F63" s="454" t="s">
        <v>109</v>
      </c>
      <c r="G63" s="454"/>
      <c r="H63" s="454"/>
      <c r="I63" s="454"/>
      <c r="J63" s="454"/>
      <c r="K63" s="454" t="s">
        <v>39</v>
      </c>
      <c r="L63" s="454"/>
      <c r="M63" s="218" t="s">
        <v>40</v>
      </c>
      <c r="N63" s="454" t="s">
        <v>41</v>
      </c>
      <c r="O63" s="454"/>
      <c r="P63" s="455" t="s">
        <v>42</v>
      </c>
      <c r="Q63" s="456"/>
      <c r="R63" s="455" t="s">
        <v>43</v>
      </c>
      <c r="S63" s="459"/>
      <c r="T63" s="459"/>
      <c r="U63" s="459"/>
      <c r="V63" s="459"/>
      <c r="W63" s="459"/>
      <c r="X63" s="459"/>
      <c r="Y63" s="459"/>
      <c r="Z63" s="459"/>
      <c r="AA63" s="456"/>
      <c r="AB63" s="454" t="s">
        <v>44</v>
      </c>
      <c r="AC63" s="454"/>
      <c r="AD63" s="460"/>
      <c r="AF63" s="84">
        <f>SUM(AF60:AF62)</f>
        <v>96000</v>
      </c>
    </row>
    <row r="64" spans="1:32" ht="25.5" customHeight="1">
      <c r="A64" s="461">
        <v>1</v>
      </c>
      <c r="B64" s="462"/>
      <c r="C64" s="104" t="s">
        <v>118</v>
      </c>
      <c r="D64" s="223"/>
      <c r="E64" s="220" t="s">
        <v>115</v>
      </c>
      <c r="F64" s="463" t="s">
        <v>334</v>
      </c>
      <c r="G64" s="464"/>
      <c r="H64" s="464"/>
      <c r="I64" s="464"/>
      <c r="J64" s="465"/>
      <c r="K64" s="466">
        <v>7301</v>
      </c>
      <c r="L64" s="466"/>
      <c r="M64" s="51" t="s">
        <v>340</v>
      </c>
      <c r="N64" s="467" t="s">
        <v>141</v>
      </c>
      <c r="O64" s="467"/>
      <c r="P64" s="468"/>
      <c r="Q64" s="468"/>
      <c r="R64" s="442" t="s">
        <v>377</v>
      </c>
      <c r="S64" s="442"/>
      <c r="T64" s="442"/>
      <c r="U64" s="442"/>
      <c r="V64" s="442"/>
      <c r="W64" s="442"/>
      <c r="X64" s="442"/>
      <c r="Y64" s="442"/>
      <c r="Z64" s="442"/>
      <c r="AA64" s="442"/>
      <c r="AB64" s="466"/>
      <c r="AC64" s="466"/>
      <c r="AD64" s="469"/>
      <c r="AF64" s="50"/>
    </row>
    <row r="65" spans="1:32" ht="25.5" customHeight="1">
      <c r="A65" s="461">
        <v>2</v>
      </c>
      <c r="B65" s="462"/>
      <c r="C65" s="104" t="s">
        <v>112</v>
      </c>
      <c r="D65" s="223"/>
      <c r="E65" s="220" t="s">
        <v>115</v>
      </c>
      <c r="F65" s="463" t="s">
        <v>220</v>
      </c>
      <c r="G65" s="464"/>
      <c r="H65" s="464"/>
      <c r="I65" s="464"/>
      <c r="J65" s="465"/>
      <c r="K65" s="466" t="s">
        <v>244</v>
      </c>
      <c r="L65" s="466"/>
      <c r="M65" s="51" t="s">
        <v>302</v>
      </c>
      <c r="N65" s="467" t="s">
        <v>190</v>
      </c>
      <c r="O65" s="467"/>
      <c r="P65" s="468">
        <v>200</v>
      </c>
      <c r="Q65" s="468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66"/>
      <c r="AC65" s="466"/>
      <c r="AD65" s="469"/>
      <c r="AF65" s="50"/>
    </row>
    <row r="66" spans="1:32" ht="25.5" customHeight="1">
      <c r="A66" s="461">
        <v>3</v>
      </c>
      <c r="B66" s="462"/>
      <c r="C66" s="104" t="s">
        <v>120</v>
      </c>
      <c r="D66" s="223"/>
      <c r="E66" s="220"/>
      <c r="F66" s="463" t="s">
        <v>173</v>
      </c>
      <c r="G66" s="464"/>
      <c r="H66" s="464"/>
      <c r="I66" s="464"/>
      <c r="J66" s="465"/>
      <c r="K66" s="466" t="s">
        <v>142</v>
      </c>
      <c r="L66" s="466"/>
      <c r="M66" s="51" t="s">
        <v>230</v>
      </c>
      <c r="N66" s="467" t="s">
        <v>190</v>
      </c>
      <c r="O66" s="467"/>
      <c r="P66" s="468">
        <v>100</v>
      </c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4</v>
      </c>
      <c r="B67" s="462"/>
      <c r="C67" s="104" t="s">
        <v>118</v>
      </c>
      <c r="D67" s="223"/>
      <c r="E67" s="220" t="s">
        <v>228</v>
      </c>
      <c r="F67" s="463" t="s">
        <v>378</v>
      </c>
      <c r="G67" s="464"/>
      <c r="H67" s="464"/>
      <c r="I67" s="464"/>
      <c r="J67" s="465"/>
      <c r="K67" s="466" t="s">
        <v>339</v>
      </c>
      <c r="L67" s="466"/>
      <c r="M67" s="51" t="s">
        <v>379</v>
      </c>
      <c r="N67" s="467" t="s">
        <v>190</v>
      </c>
      <c r="O67" s="467"/>
      <c r="P67" s="468"/>
      <c r="Q67" s="468"/>
      <c r="R67" s="442" t="s">
        <v>380</v>
      </c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5</v>
      </c>
      <c r="B68" s="462"/>
      <c r="C68" s="104"/>
      <c r="D68" s="223"/>
      <c r="E68" s="220"/>
      <c r="F68" s="463"/>
      <c r="G68" s="464"/>
      <c r="H68" s="464"/>
      <c r="I68" s="464"/>
      <c r="J68" s="465"/>
      <c r="K68" s="466"/>
      <c r="L68" s="466"/>
      <c r="M68" s="51"/>
      <c r="N68" s="467"/>
      <c r="O68" s="467"/>
      <c r="P68" s="468"/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6</v>
      </c>
      <c r="B69" s="462"/>
      <c r="C69" s="104"/>
      <c r="D69" s="223"/>
      <c r="E69" s="220"/>
      <c r="F69" s="463"/>
      <c r="G69" s="464"/>
      <c r="H69" s="464"/>
      <c r="I69" s="464"/>
      <c r="J69" s="465"/>
      <c r="K69" s="466"/>
      <c r="L69" s="466"/>
      <c r="M69" s="51"/>
      <c r="N69" s="467"/>
      <c r="O69" s="467"/>
      <c r="P69" s="468"/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7</v>
      </c>
      <c r="B70" s="462"/>
      <c r="C70" s="104"/>
      <c r="D70" s="223"/>
      <c r="E70" s="220"/>
      <c r="F70" s="463"/>
      <c r="G70" s="464"/>
      <c r="H70" s="464"/>
      <c r="I70" s="464"/>
      <c r="J70" s="465"/>
      <c r="K70" s="466"/>
      <c r="L70" s="466"/>
      <c r="M70" s="51"/>
      <c r="N70" s="467"/>
      <c r="O70" s="467"/>
      <c r="P70" s="468"/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8</v>
      </c>
      <c r="B71" s="462"/>
      <c r="C71" s="104"/>
      <c r="D71" s="223"/>
      <c r="E71" s="220"/>
      <c r="F71" s="470"/>
      <c r="G71" s="466"/>
      <c r="H71" s="466"/>
      <c r="I71" s="466"/>
      <c r="J71" s="466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9</v>
      </c>
      <c r="B72" s="462"/>
      <c r="C72" s="104"/>
      <c r="D72" s="223"/>
      <c r="E72" s="220"/>
      <c r="F72" s="470"/>
      <c r="G72" s="466"/>
      <c r="H72" s="466"/>
      <c r="I72" s="466"/>
      <c r="J72" s="466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10</v>
      </c>
      <c r="B73" s="462"/>
      <c r="C73" s="104"/>
      <c r="D73" s="223"/>
      <c r="E73" s="220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6.25" customHeight="1" thickBot="1">
      <c r="A74" s="471" t="s">
        <v>382</v>
      </c>
      <c r="B74" s="471"/>
      <c r="C74" s="471"/>
      <c r="D74" s="471"/>
      <c r="E74" s="471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2" t="s">
        <v>126</v>
      </c>
      <c r="B75" s="473"/>
      <c r="C75" s="222" t="s">
        <v>2</v>
      </c>
      <c r="D75" s="222" t="s">
        <v>37</v>
      </c>
      <c r="E75" s="222" t="s">
        <v>125</v>
      </c>
      <c r="F75" s="473" t="s">
        <v>38</v>
      </c>
      <c r="G75" s="473"/>
      <c r="H75" s="473"/>
      <c r="I75" s="473"/>
      <c r="J75" s="473"/>
      <c r="K75" s="474" t="s">
        <v>58</v>
      </c>
      <c r="L75" s="475"/>
      <c r="M75" s="475"/>
      <c r="N75" s="475"/>
      <c r="O75" s="475"/>
      <c r="P75" s="475"/>
      <c r="Q75" s="475"/>
      <c r="R75" s="475"/>
      <c r="S75" s="476"/>
      <c r="T75" s="473" t="s">
        <v>49</v>
      </c>
      <c r="U75" s="473"/>
      <c r="V75" s="474" t="s">
        <v>50</v>
      </c>
      <c r="W75" s="476"/>
      <c r="X75" s="475" t="s">
        <v>51</v>
      </c>
      <c r="Y75" s="475"/>
      <c r="Z75" s="475"/>
      <c r="AA75" s="475"/>
      <c r="AB75" s="475"/>
      <c r="AC75" s="475"/>
      <c r="AD75" s="477"/>
      <c r="AF75" s="50"/>
    </row>
    <row r="76" spans="1:32" ht="33.75" customHeight="1">
      <c r="A76" s="486">
        <v>1</v>
      </c>
      <c r="B76" s="487"/>
      <c r="C76" s="224" t="s">
        <v>112</v>
      </c>
      <c r="D76" s="224"/>
      <c r="E76" s="65" t="s">
        <v>117</v>
      </c>
      <c r="F76" s="488" t="s">
        <v>116</v>
      </c>
      <c r="G76" s="489"/>
      <c r="H76" s="489"/>
      <c r="I76" s="489"/>
      <c r="J76" s="490"/>
      <c r="K76" s="491" t="s">
        <v>119</v>
      </c>
      <c r="L76" s="492"/>
      <c r="M76" s="492"/>
      <c r="N76" s="492"/>
      <c r="O76" s="492"/>
      <c r="P76" s="492"/>
      <c r="Q76" s="492"/>
      <c r="R76" s="492"/>
      <c r="S76" s="493"/>
      <c r="T76" s="494">
        <v>44118</v>
      </c>
      <c r="U76" s="495"/>
      <c r="V76" s="496"/>
      <c r="W76" s="496"/>
      <c r="X76" s="497"/>
      <c r="Y76" s="497"/>
      <c r="Z76" s="497"/>
      <c r="AA76" s="497"/>
      <c r="AB76" s="497"/>
      <c r="AC76" s="497"/>
      <c r="AD76" s="498"/>
      <c r="AF76" s="50"/>
    </row>
    <row r="77" spans="1:32" ht="30" customHeight="1">
      <c r="A77" s="478">
        <f>A76+1</f>
        <v>2</v>
      </c>
      <c r="B77" s="479"/>
      <c r="C77" s="223"/>
      <c r="D77" s="223"/>
      <c r="E77" s="32"/>
      <c r="F77" s="479"/>
      <c r="G77" s="479"/>
      <c r="H77" s="479"/>
      <c r="I77" s="479"/>
      <c r="J77" s="479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78">
        <f t="shared" ref="A78:A82" si="11">A77+1</f>
        <v>3</v>
      </c>
      <c r="B78" s="479"/>
      <c r="C78" s="223"/>
      <c r="D78" s="223"/>
      <c r="E78" s="32"/>
      <c r="F78" s="479"/>
      <c r="G78" s="479"/>
      <c r="H78" s="479"/>
      <c r="I78" s="479"/>
      <c r="J78" s="479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78">
        <f t="shared" si="11"/>
        <v>4</v>
      </c>
      <c r="B79" s="479"/>
      <c r="C79" s="223"/>
      <c r="D79" s="223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si="11"/>
        <v>5</v>
      </c>
      <c r="B80" s="479"/>
      <c r="C80" s="223"/>
      <c r="D80" s="223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11"/>
        <v>6</v>
      </c>
      <c r="B81" s="479"/>
      <c r="C81" s="223"/>
      <c r="D81" s="223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11"/>
        <v>7</v>
      </c>
      <c r="B82" s="479"/>
      <c r="C82" s="223"/>
      <c r="D82" s="223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1" t="s">
        <v>383</v>
      </c>
      <c r="B83" s="471"/>
      <c r="C83" s="471"/>
      <c r="D83" s="471"/>
      <c r="E83" s="47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2" t="s">
        <v>111</v>
      </c>
      <c r="B84" s="473"/>
      <c r="C84" s="499" t="s">
        <v>52</v>
      </c>
      <c r="D84" s="499"/>
      <c r="E84" s="499" t="s">
        <v>53</v>
      </c>
      <c r="F84" s="499"/>
      <c r="G84" s="499"/>
      <c r="H84" s="499"/>
      <c r="I84" s="499"/>
      <c r="J84" s="499"/>
      <c r="K84" s="499" t="s">
        <v>54</v>
      </c>
      <c r="L84" s="499"/>
      <c r="M84" s="499"/>
      <c r="N84" s="499"/>
      <c r="O84" s="499"/>
      <c r="P84" s="499"/>
      <c r="Q84" s="499"/>
      <c r="R84" s="499"/>
      <c r="S84" s="499"/>
      <c r="T84" s="499" t="s">
        <v>55</v>
      </c>
      <c r="U84" s="499"/>
      <c r="V84" s="499" t="s">
        <v>56</v>
      </c>
      <c r="W84" s="499"/>
      <c r="X84" s="499"/>
      <c r="Y84" s="499" t="s">
        <v>51</v>
      </c>
      <c r="Z84" s="499"/>
      <c r="AA84" s="499"/>
      <c r="AB84" s="499"/>
      <c r="AC84" s="499"/>
      <c r="AD84" s="500"/>
      <c r="AF84" s="50"/>
    </row>
    <row r="85" spans="1:32" ht="30.75" customHeight="1">
      <c r="A85" s="486">
        <v>1</v>
      </c>
      <c r="B85" s="487"/>
      <c r="C85" s="501">
        <v>9</v>
      </c>
      <c r="D85" s="501"/>
      <c r="E85" s="501" t="s">
        <v>149</v>
      </c>
      <c r="F85" s="501"/>
      <c r="G85" s="501"/>
      <c r="H85" s="501"/>
      <c r="I85" s="501"/>
      <c r="J85" s="501"/>
      <c r="K85" s="501" t="s">
        <v>150</v>
      </c>
      <c r="L85" s="501"/>
      <c r="M85" s="501"/>
      <c r="N85" s="501"/>
      <c r="O85" s="501"/>
      <c r="P85" s="501"/>
      <c r="Q85" s="501"/>
      <c r="R85" s="501"/>
      <c r="S85" s="501"/>
      <c r="T85" s="501" t="s">
        <v>151</v>
      </c>
      <c r="U85" s="501"/>
      <c r="V85" s="502" t="s">
        <v>265</v>
      </c>
      <c r="W85" s="502"/>
      <c r="X85" s="502"/>
      <c r="Y85" s="503" t="s">
        <v>239</v>
      </c>
      <c r="Z85" s="503"/>
      <c r="AA85" s="503"/>
      <c r="AB85" s="503"/>
      <c r="AC85" s="503"/>
      <c r="AD85" s="504"/>
      <c r="AF85" s="50"/>
    </row>
    <row r="86" spans="1:32" ht="30.75" customHeight="1">
      <c r="A86" s="478">
        <v>2</v>
      </c>
      <c r="B86" s="479"/>
      <c r="C86" s="512"/>
      <c r="D86" s="512"/>
      <c r="E86" s="512"/>
      <c r="F86" s="512"/>
      <c r="G86" s="512"/>
      <c r="H86" s="512"/>
      <c r="I86" s="512"/>
      <c r="J86" s="512"/>
      <c r="K86" s="512"/>
      <c r="L86" s="512"/>
      <c r="M86" s="512"/>
      <c r="N86" s="512"/>
      <c r="O86" s="512"/>
      <c r="P86" s="512"/>
      <c r="Q86" s="512"/>
      <c r="R86" s="512"/>
      <c r="S86" s="512"/>
      <c r="T86" s="513"/>
      <c r="U86" s="513"/>
      <c r="V86" s="514"/>
      <c r="W86" s="514"/>
      <c r="X86" s="514"/>
      <c r="Y86" s="505"/>
      <c r="Z86" s="505"/>
      <c r="AA86" s="505"/>
      <c r="AB86" s="505"/>
      <c r="AC86" s="505"/>
      <c r="AD86" s="506"/>
      <c r="AF86" s="50"/>
    </row>
    <row r="87" spans="1:32" ht="30.75" customHeight="1" thickBot="1">
      <c r="A87" s="507">
        <v>3</v>
      </c>
      <c r="B87" s="508"/>
      <c r="C87" s="509"/>
      <c r="D87" s="509"/>
      <c r="E87" s="509"/>
      <c r="F87" s="509"/>
      <c r="G87" s="509"/>
      <c r="H87" s="509"/>
      <c r="I87" s="509"/>
      <c r="J87" s="509"/>
      <c r="K87" s="509"/>
      <c r="L87" s="509"/>
      <c r="M87" s="509"/>
      <c r="N87" s="509"/>
      <c r="O87" s="509"/>
      <c r="P87" s="509"/>
      <c r="Q87" s="509"/>
      <c r="R87" s="509"/>
      <c r="S87" s="509"/>
      <c r="T87" s="509"/>
      <c r="U87" s="509"/>
      <c r="V87" s="509"/>
      <c r="W87" s="509"/>
      <c r="X87" s="509"/>
      <c r="Y87" s="510"/>
      <c r="Z87" s="510"/>
      <c r="AA87" s="510"/>
      <c r="AB87" s="510"/>
      <c r="AC87" s="510"/>
      <c r="AD87" s="511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77B6-2491-49D3-8C20-70BAAA656195}">
  <dimension ref="A1:AF91"/>
  <sheetViews>
    <sheetView view="pageBreakPreview" topLeftCell="A7" zoomScale="70" zoomScaleNormal="72" zoomScaleSheetLayoutView="70" workbookViewId="0">
      <selection activeCell="A24" sqref="A24:XFD2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387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237" t="s">
        <v>17</v>
      </c>
      <c r="L5" s="237" t="s">
        <v>18</v>
      </c>
      <c r="M5" s="237" t="s">
        <v>19</v>
      </c>
      <c r="N5" s="23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30" customHeight="1">
      <c r="A6" s="96">
        <v>1</v>
      </c>
      <c r="B6" s="11" t="s">
        <v>57</v>
      </c>
      <c r="C6" s="34" t="s">
        <v>139</v>
      </c>
      <c r="D6" s="52" t="s">
        <v>355</v>
      </c>
      <c r="E6" s="53" t="s">
        <v>366</v>
      </c>
      <c r="F6" s="30" t="s">
        <v>367</v>
      </c>
      <c r="G6" s="12">
        <v>1</v>
      </c>
      <c r="H6" s="13">
        <v>24</v>
      </c>
      <c r="I6" s="7">
        <v>2500</v>
      </c>
      <c r="J6" s="14">
        <v>4953</v>
      </c>
      <c r="K6" s="15">
        <f>L6+2931</f>
        <v>7884</v>
      </c>
      <c r="L6" s="15">
        <f>3240+913+800</f>
        <v>4953</v>
      </c>
      <c r="M6" s="15">
        <f t="shared" ref="M6:M25" si="0">L6-N6</f>
        <v>4953</v>
      </c>
      <c r="N6" s="15">
        <v>0</v>
      </c>
      <c r="O6" s="58">
        <f t="shared" ref="O6:O26" si="1">IF(L6=0,"0",N6/L6)</f>
        <v>0</v>
      </c>
      <c r="P6" s="39">
        <f t="shared" ref="P6:P25" si="2">IF(L6=0,"0",(24-Q6))</f>
        <v>19</v>
      </c>
      <c r="Q6" s="40">
        <f t="shared" ref="Q6:Q25" si="3">SUM(R6:AA6)</f>
        <v>5</v>
      </c>
      <c r="R6" s="7"/>
      <c r="S6" s="6">
        <v>5</v>
      </c>
      <c r="T6" s="16"/>
      <c r="U6" s="16"/>
      <c r="V6" s="17"/>
      <c r="W6" s="5"/>
      <c r="X6" s="16"/>
      <c r="Y6" s="16"/>
      <c r="Z6" s="16"/>
      <c r="AA6" s="18"/>
      <c r="AB6" s="8">
        <f t="shared" ref="AB6:AB25" si="4">IF(J6=0,"0",(L6/J6))</f>
        <v>1</v>
      </c>
      <c r="AC6" s="9">
        <f t="shared" ref="AC6:AC25" si="5">IF(P6=0,"0",(P6/24))</f>
        <v>0.79166666666666663</v>
      </c>
      <c r="AD6" s="10">
        <f t="shared" ref="AD6:AD25" si="6">AC6*AB6*(1-O6)</f>
        <v>0.79166666666666663</v>
      </c>
      <c r="AE6" s="36">
        <f t="shared" ref="AE6:AE25" si="7">$AD$26</f>
        <v>0.38125000000000003</v>
      </c>
      <c r="AF6" s="84">
        <f t="shared" ref="AF6:AF25" si="8">A6</f>
        <v>1</v>
      </c>
    </row>
    <row r="7" spans="1:32" ht="30" customHeight="1">
      <c r="A7" s="96">
        <v>1</v>
      </c>
      <c r="B7" s="11" t="s">
        <v>57</v>
      </c>
      <c r="C7" s="34" t="s">
        <v>112</v>
      </c>
      <c r="D7" s="52" t="s">
        <v>251</v>
      </c>
      <c r="E7" s="53" t="s">
        <v>148</v>
      </c>
      <c r="F7" s="30" t="s">
        <v>132</v>
      </c>
      <c r="G7" s="12">
        <v>1</v>
      </c>
      <c r="H7" s="13">
        <v>24</v>
      </c>
      <c r="I7" s="7">
        <v>500</v>
      </c>
      <c r="J7" s="14">
        <v>528</v>
      </c>
      <c r="K7" s="15">
        <f>L7</f>
        <v>528</v>
      </c>
      <c r="L7" s="15">
        <v>528</v>
      </c>
      <c r="M7" s="15">
        <f t="shared" ref="M7" si="9">L7-N7</f>
        <v>528</v>
      </c>
      <c r="N7" s="15">
        <v>0</v>
      </c>
      <c r="O7" s="58">
        <f t="shared" ref="O7" si="10">IF(L7=0,"0",N7/L7)</f>
        <v>0</v>
      </c>
      <c r="P7" s="39">
        <f t="shared" ref="P7" si="11">IF(L7=0,"0",(24-Q7))</f>
        <v>4</v>
      </c>
      <c r="Q7" s="40">
        <f t="shared" ref="Q7" si="12">SUM(R7:AA7)</f>
        <v>20</v>
      </c>
      <c r="R7" s="7"/>
      <c r="S7" s="6"/>
      <c r="T7" s="16"/>
      <c r="U7" s="16"/>
      <c r="V7" s="17"/>
      <c r="W7" s="5">
        <v>20</v>
      </c>
      <c r="X7" s="16"/>
      <c r="Y7" s="16"/>
      <c r="Z7" s="16"/>
      <c r="AA7" s="18"/>
      <c r="AB7" s="8">
        <f t="shared" ref="AB7" si="13">IF(J7=0,"0",(L7/J7))</f>
        <v>1</v>
      </c>
      <c r="AC7" s="9">
        <f t="shared" ref="AC7" si="14">IF(P7=0,"0",(P7/24))</f>
        <v>0.16666666666666666</v>
      </c>
      <c r="AD7" s="10">
        <f t="shared" ref="AD7" si="15">AC7*AB7*(1-O7)</f>
        <v>0.16666666666666666</v>
      </c>
      <c r="AE7" s="36">
        <f t="shared" si="7"/>
        <v>0.38125000000000003</v>
      </c>
      <c r="AF7" s="84">
        <f t="shared" ref="AF7" si="16">A7</f>
        <v>1</v>
      </c>
    </row>
    <row r="8" spans="1:32" ht="27" customHeight="1">
      <c r="A8" s="112">
        <v>2</v>
      </c>
      <c r="B8" s="11" t="s">
        <v>57</v>
      </c>
      <c r="C8" s="34" t="s">
        <v>118</v>
      </c>
      <c r="D8" s="52" t="s">
        <v>228</v>
      </c>
      <c r="E8" s="53" t="s">
        <v>299</v>
      </c>
      <c r="F8" s="30" t="s">
        <v>344</v>
      </c>
      <c r="G8" s="12">
        <v>2</v>
      </c>
      <c r="H8" s="13">
        <v>24</v>
      </c>
      <c r="I8" s="31">
        <v>130000</v>
      </c>
      <c r="J8" s="14">
        <v>13102</v>
      </c>
      <c r="K8" s="15">
        <f>L8+20667+13102</f>
        <v>33769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0.38125000000000003</v>
      </c>
      <c r="AF8" s="84">
        <f t="shared" si="8"/>
        <v>2</v>
      </c>
    </row>
    <row r="9" spans="1:32" ht="27" customHeight="1">
      <c r="A9" s="96">
        <v>3</v>
      </c>
      <c r="B9" s="11" t="s">
        <v>57</v>
      </c>
      <c r="C9" s="34" t="s">
        <v>112</v>
      </c>
      <c r="D9" s="52" t="s">
        <v>326</v>
      </c>
      <c r="E9" s="53" t="s">
        <v>388</v>
      </c>
      <c r="F9" s="30" t="s">
        <v>244</v>
      </c>
      <c r="G9" s="33">
        <v>1</v>
      </c>
      <c r="H9" s="35">
        <v>24</v>
      </c>
      <c r="I9" s="7">
        <v>500</v>
      </c>
      <c r="J9" s="5">
        <v>537</v>
      </c>
      <c r="K9" s="15">
        <f>L9</f>
        <v>537</v>
      </c>
      <c r="L9" s="15">
        <v>537</v>
      </c>
      <c r="M9" s="15">
        <f t="shared" si="0"/>
        <v>537</v>
      </c>
      <c r="N9" s="15">
        <v>0</v>
      </c>
      <c r="O9" s="58">
        <f t="shared" si="1"/>
        <v>0</v>
      </c>
      <c r="P9" s="39">
        <f t="shared" si="2"/>
        <v>4</v>
      </c>
      <c r="Q9" s="40">
        <f t="shared" si="3"/>
        <v>20</v>
      </c>
      <c r="R9" s="7"/>
      <c r="S9" s="6"/>
      <c r="T9" s="16"/>
      <c r="U9" s="16"/>
      <c r="V9" s="17"/>
      <c r="W9" s="5">
        <v>20</v>
      </c>
      <c r="X9" s="16"/>
      <c r="Y9" s="16"/>
      <c r="Z9" s="16"/>
      <c r="AA9" s="18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6">
        <f t="shared" si="7"/>
        <v>0.38125000000000003</v>
      </c>
      <c r="AF9" s="84">
        <f t="shared" si="8"/>
        <v>3</v>
      </c>
    </row>
    <row r="10" spans="1:32" ht="27" customHeight="1">
      <c r="A10" s="96">
        <v>3</v>
      </c>
      <c r="B10" s="11" t="s">
        <v>57</v>
      </c>
      <c r="C10" s="34" t="s">
        <v>112</v>
      </c>
      <c r="D10" s="52" t="s">
        <v>211</v>
      </c>
      <c r="E10" s="53" t="s">
        <v>221</v>
      </c>
      <c r="F10" s="30" t="s">
        <v>131</v>
      </c>
      <c r="G10" s="33">
        <v>2</v>
      </c>
      <c r="H10" s="35">
        <v>24</v>
      </c>
      <c r="I10" s="7">
        <v>1000</v>
      </c>
      <c r="J10" s="5">
        <v>1216</v>
      </c>
      <c r="K10" s="15">
        <f>L10</f>
        <v>1216</v>
      </c>
      <c r="L10" s="15">
        <f>608*2</f>
        <v>1216</v>
      </c>
      <c r="M10" s="15">
        <f t="shared" ref="M10" si="17">L10-N10</f>
        <v>1216</v>
      </c>
      <c r="N10" s="15">
        <v>0</v>
      </c>
      <c r="O10" s="58">
        <f t="shared" ref="O10" si="18">IF(L10=0,"0",N10/L10)</f>
        <v>0</v>
      </c>
      <c r="P10" s="39">
        <f t="shared" ref="P10" si="19">IF(L10=0,"0",(24-Q10))</f>
        <v>4</v>
      </c>
      <c r="Q10" s="40">
        <f t="shared" ref="Q10" si="20">SUM(R10:AA10)</f>
        <v>20</v>
      </c>
      <c r="R10" s="7"/>
      <c r="S10" s="6"/>
      <c r="T10" s="16"/>
      <c r="U10" s="16"/>
      <c r="V10" s="17"/>
      <c r="W10" s="5">
        <v>20</v>
      </c>
      <c r="X10" s="16"/>
      <c r="Y10" s="16"/>
      <c r="Z10" s="16"/>
      <c r="AA10" s="18"/>
      <c r="AB10" s="8">
        <f t="shared" ref="AB10" si="21">IF(J10=0,"0",(L10/J10))</f>
        <v>1</v>
      </c>
      <c r="AC10" s="9">
        <f t="shared" ref="AC10" si="22">IF(P10=0,"0",(P10/24))</f>
        <v>0.16666666666666666</v>
      </c>
      <c r="AD10" s="10">
        <f t="shared" ref="AD10" si="23">AC10*AB10*(1-O10)</f>
        <v>0.16666666666666666</v>
      </c>
      <c r="AE10" s="36">
        <f t="shared" si="7"/>
        <v>0.38125000000000003</v>
      </c>
      <c r="AF10" s="84">
        <f t="shared" ref="AF10" si="24">A10</f>
        <v>3</v>
      </c>
    </row>
    <row r="11" spans="1:32" ht="27" customHeight="1">
      <c r="A11" s="96">
        <v>4</v>
      </c>
      <c r="B11" s="11" t="s">
        <v>57</v>
      </c>
      <c r="C11" s="34" t="s">
        <v>118</v>
      </c>
      <c r="D11" s="52" t="s">
        <v>135</v>
      </c>
      <c r="E11" s="53" t="s">
        <v>134</v>
      </c>
      <c r="F11" s="30" t="s">
        <v>133</v>
      </c>
      <c r="G11" s="12">
        <v>1</v>
      </c>
      <c r="H11" s="13">
        <v>24</v>
      </c>
      <c r="I11" s="7">
        <v>50000</v>
      </c>
      <c r="J11" s="14">
        <v>4542</v>
      </c>
      <c r="K11" s="15">
        <f>L11+4441+5448+5546+5454+5474+5364+5279+1939</f>
        <v>43487</v>
      </c>
      <c r="L11" s="15">
        <f>2559+1983</f>
        <v>4542</v>
      </c>
      <c r="M11" s="15">
        <f t="shared" si="0"/>
        <v>4542</v>
      </c>
      <c r="N11" s="15">
        <v>0</v>
      </c>
      <c r="O11" s="58">
        <f t="shared" si="1"/>
        <v>0</v>
      </c>
      <c r="P11" s="39">
        <f t="shared" si="2"/>
        <v>21</v>
      </c>
      <c r="Q11" s="40">
        <f t="shared" si="3"/>
        <v>3</v>
      </c>
      <c r="R11" s="7"/>
      <c r="S11" s="6">
        <v>3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0.875</v>
      </c>
      <c r="AD11" s="10">
        <f t="shared" si="6"/>
        <v>0.875</v>
      </c>
      <c r="AE11" s="36">
        <f t="shared" si="7"/>
        <v>0.38125000000000003</v>
      </c>
      <c r="AF11" s="84">
        <f t="shared" si="8"/>
        <v>4</v>
      </c>
    </row>
    <row r="12" spans="1:32" ht="27" customHeight="1">
      <c r="A12" s="96">
        <v>5</v>
      </c>
      <c r="B12" s="11" t="s">
        <v>57</v>
      </c>
      <c r="C12" s="11" t="s">
        <v>118</v>
      </c>
      <c r="D12" s="52" t="s">
        <v>332</v>
      </c>
      <c r="E12" s="53" t="s">
        <v>333</v>
      </c>
      <c r="F12" s="30" t="s">
        <v>131</v>
      </c>
      <c r="G12" s="33">
        <v>1</v>
      </c>
      <c r="H12" s="35">
        <v>24</v>
      </c>
      <c r="I12" s="7">
        <v>34000</v>
      </c>
      <c r="J12" s="14">
        <v>6577</v>
      </c>
      <c r="K12" s="15">
        <f>L12+3378</f>
        <v>9955</v>
      </c>
      <c r="L12" s="15">
        <f>3328+3249</f>
        <v>6577</v>
      </c>
      <c r="M12" s="15">
        <f t="shared" si="0"/>
        <v>6577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0.38125000000000003</v>
      </c>
      <c r="AF12" s="84">
        <f t="shared" si="8"/>
        <v>5</v>
      </c>
    </row>
    <row r="13" spans="1:32" ht="27" customHeight="1">
      <c r="A13" s="96">
        <v>6</v>
      </c>
      <c r="B13" s="11" t="s">
        <v>57</v>
      </c>
      <c r="C13" s="11" t="s">
        <v>159</v>
      </c>
      <c r="D13" s="52" t="s">
        <v>130</v>
      </c>
      <c r="E13" s="53" t="s">
        <v>171</v>
      </c>
      <c r="F13" s="30" t="s">
        <v>389</v>
      </c>
      <c r="G13" s="33">
        <v>2</v>
      </c>
      <c r="H13" s="35">
        <v>24</v>
      </c>
      <c r="I13" s="7">
        <v>60000</v>
      </c>
      <c r="J13" s="14">
        <v>13256</v>
      </c>
      <c r="K13" s="15">
        <f>L13</f>
        <v>13256</v>
      </c>
      <c r="L13" s="15">
        <f>2856*2+3772*2</f>
        <v>13256</v>
      </c>
      <c r="M13" s="15">
        <f t="shared" si="0"/>
        <v>13256</v>
      </c>
      <c r="N13" s="15">
        <v>0</v>
      </c>
      <c r="O13" s="58">
        <f t="shared" si="1"/>
        <v>0</v>
      </c>
      <c r="P13" s="39">
        <f t="shared" si="2"/>
        <v>23</v>
      </c>
      <c r="Q13" s="40">
        <f t="shared" si="3"/>
        <v>1</v>
      </c>
      <c r="R13" s="7"/>
      <c r="S13" s="6"/>
      <c r="T13" s="16">
        <v>1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0.95833333333333337</v>
      </c>
      <c r="AD13" s="10">
        <f t="shared" si="6"/>
        <v>0.95833333333333337</v>
      </c>
      <c r="AE13" s="36">
        <f t="shared" si="7"/>
        <v>0.38125000000000003</v>
      </c>
      <c r="AF13" s="84">
        <f t="shared" si="8"/>
        <v>6</v>
      </c>
    </row>
    <row r="14" spans="1:32" ht="27" customHeight="1">
      <c r="A14" s="96">
        <v>7</v>
      </c>
      <c r="B14" s="11" t="s">
        <v>57</v>
      </c>
      <c r="C14" s="34" t="s">
        <v>118</v>
      </c>
      <c r="D14" s="52" t="s">
        <v>115</v>
      </c>
      <c r="E14" s="53" t="s">
        <v>144</v>
      </c>
      <c r="F14" s="30" t="s">
        <v>145</v>
      </c>
      <c r="G14" s="12">
        <v>1</v>
      </c>
      <c r="H14" s="13">
        <v>22</v>
      </c>
      <c r="I14" s="31">
        <v>120000</v>
      </c>
      <c r="J14" s="5">
        <v>1083</v>
      </c>
      <c r="K14" s="15">
        <f>L14+4597+5041+5597+5567+5537+3364+5103+4208+3250+4473+4603+3900+3271+5266+5310+2806+4497+4981+4384+3503+3445+4608+5518</f>
        <v>103912</v>
      </c>
      <c r="L14" s="15">
        <v>1083</v>
      </c>
      <c r="M14" s="15">
        <f t="shared" si="0"/>
        <v>1083</v>
      </c>
      <c r="N14" s="15">
        <v>0</v>
      </c>
      <c r="O14" s="58">
        <f t="shared" si="1"/>
        <v>0</v>
      </c>
      <c r="P14" s="39">
        <f t="shared" si="2"/>
        <v>5</v>
      </c>
      <c r="Q14" s="40">
        <f t="shared" si="3"/>
        <v>19</v>
      </c>
      <c r="R14" s="7"/>
      <c r="S14" s="6">
        <v>19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0.20833333333333334</v>
      </c>
      <c r="AD14" s="10">
        <f t="shared" si="6"/>
        <v>0.20833333333333334</v>
      </c>
      <c r="AE14" s="36">
        <f t="shared" si="7"/>
        <v>0.38125000000000003</v>
      </c>
      <c r="AF14" s="84">
        <f t="shared" si="8"/>
        <v>7</v>
      </c>
    </row>
    <row r="15" spans="1:32" ht="27" customHeight="1">
      <c r="A15" s="96">
        <v>8</v>
      </c>
      <c r="B15" s="11" t="s">
        <v>57</v>
      </c>
      <c r="C15" s="11" t="s">
        <v>139</v>
      </c>
      <c r="D15" s="52" t="s">
        <v>285</v>
      </c>
      <c r="E15" s="53" t="s">
        <v>167</v>
      </c>
      <c r="F15" s="30" t="s">
        <v>168</v>
      </c>
      <c r="G15" s="33" t="s">
        <v>169</v>
      </c>
      <c r="H15" s="35">
        <v>24</v>
      </c>
      <c r="I15" s="7">
        <v>9000</v>
      </c>
      <c r="J15" s="14">
        <v>2845</v>
      </c>
      <c r="K15" s="15">
        <f>L15+3121+2207</f>
        <v>8173</v>
      </c>
      <c r="L15" s="15">
        <f>1428+1417</f>
        <v>2845</v>
      </c>
      <c r="M15" s="15">
        <f t="shared" si="0"/>
        <v>2845</v>
      </c>
      <c r="N15" s="15">
        <v>0</v>
      </c>
      <c r="O15" s="58">
        <f t="shared" si="1"/>
        <v>0</v>
      </c>
      <c r="P15" s="39">
        <f t="shared" si="2"/>
        <v>18</v>
      </c>
      <c r="Q15" s="40">
        <f t="shared" si="3"/>
        <v>6</v>
      </c>
      <c r="R15" s="7"/>
      <c r="S15" s="6">
        <v>6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0.75</v>
      </c>
      <c r="AD15" s="10">
        <f t="shared" si="6"/>
        <v>0.75</v>
      </c>
      <c r="AE15" s="36">
        <f t="shared" si="7"/>
        <v>0.38125000000000003</v>
      </c>
      <c r="AF15" s="84">
        <f t="shared" si="8"/>
        <v>8</v>
      </c>
    </row>
    <row r="16" spans="1:32" ht="27" customHeight="1">
      <c r="A16" s="105">
        <v>9</v>
      </c>
      <c r="B16" s="11" t="s">
        <v>57</v>
      </c>
      <c r="C16" s="34" t="s">
        <v>112</v>
      </c>
      <c r="D16" s="52" t="s">
        <v>115</v>
      </c>
      <c r="E16" s="53" t="s">
        <v>218</v>
      </c>
      <c r="F16" s="30" t="s">
        <v>245</v>
      </c>
      <c r="G16" s="33">
        <v>1</v>
      </c>
      <c r="H16" s="35">
        <v>50</v>
      </c>
      <c r="I16" s="7">
        <v>300</v>
      </c>
      <c r="J16" s="5">
        <v>572</v>
      </c>
      <c r="K16" s="15">
        <f>L16+572</f>
        <v>572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0.38125000000000003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139</v>
      </c>
      <c r="D17" s="52" t="s">
        <v>130</v>
      </c>
      <c r="E17" s="53" t="s">
        <v>369</v>
      </c>
      <c r="F17" s="12" t="s">
        <v>367</v>
      </c>
      <c r="G17" s="12">
        <v>1</v>
      </c>
      <c r="H17" s="13">
        <v>24</v>
      </c>
      <c r="I17" s="31">
        <v>2500</v>
      </c>
      <c r="J17" s="14">
        <v>2700</v>
      </c>
      <c r="K17" s="15">
        <f>L17+2700</f>
        <v>2700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0.38125000000000003</v>
      </c>
      <c r="AF17" s="84">
        <f t="shared" si="8"/>
        <v>10</v>
      </c>
    </row>
    <row r="18" spans="1:32" ht="30" customHeight="1">
      <c r="A18" s="112">
        <v>11</v>
      </c>
      <c r="B18" s="11" t="s">
        <v>57</v>
      </c>
      <c r="C18" s="34" t="s">
        <v>112</v>
      </c>
      <c r="D18" s="52" t="s">
        <v>390</v>
      </c>
      <c r="E18" s="53" t="s">
        <v>391</v>
      </c>
      <c r="F18" s="30" t="s">
        <v>131</v>
      </c>
      <c r="G18" s="12">
        <v>2</v>
      </c>
      <c r="H18" s="13">
        <v>24</v>
      </c>
      <c r="I18" s="7">
        <v>1000</v>
      </c>
      <c r="J18" s="14">
        <v>856</v>
      </c>
      <c r="K18" s="15">
        <f>L18</f>
        <v>856</v>
      </c>
      <c r="L18" s="15">
        <f>428*2</f>
        <v>856</v>
      </c>
      <c r="M18" s="15">
        <f t="shared" ref="M18:M19" si="25">L18-N18</f>
        <v>856</v>
      </c>
      <c r="N18" s="15">
        <v>0</v>
      </c>
      <c r="O18" s="58">
        <f t="shared" ref="O18:O19" si="26">IF(L18=0,"0",N18/L18)</f>
        <v>0</v>
      </c>
      <c r="P18" s="39">
        <f t="shared" ref="P18:P19" si="27">IF(L18=0,"0",(24-Q18))</f>
        <v>4</v>
      </c>
      <c r="Q18" s="40">
        <f t="shared" ref="Q18:Q19" si="28">SUM(R18:AA18)</f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ref="AB18:AB19" si="29">IF(J18=0,"0",(L18/J18))</f>
        <v>1</v>
      </c>
      <c r="AC18" s="9">
        <f t="shared" ref="AC18:AC19" si="30">IF(P18=0,"0",(P18/24))</f>
        <v>0.16666666666666666</v>
      </c>
      <c r="AD18" s="10">
        <f t="shared" ref="AD18:AD19" si="31">AC18*AB18*(1-O18)</f>
        <v>0.16666666666666666</v>
      </c>
      <c r="AE18" s="36">
        <f t="shared" si="7"/>
        <v>0.38125000000000003</v>
      </c>
      <c r="AF18" s="84">
        <f t="shared" ref="AF18:AF19" si="32">A18</f>
        <v>11</v>
      </c>
    </row>
    <row r="19" spans="1:32" ht="30" customHeight="1">
      <c r="A19" s="112">
        <v>11</v>
      </c>
      <c r="B19" s="11" t="s">
        <v>57</v>
      </c>
      <c r="C19" s="34" t="s">
        <v>112</v>
      </c>
      <c r="D19" s="52" t="s">
        <v>115</v>
      </c>
      <c r="E19" s="53" t="s">
        <v>392</v>
      </c>
      <c r="F19" s="30" t="s">
        <v>244</v>
      </c>
      <c r="G19" s="12">
        <v>1</v>
      </c>
      <c r="H19" s="13">
        <v>24</v>
      </c>
      <c r="I19" s="7">
        <v>500</v>
      </c>
      <c r="J19" s="14">
        <v>532</v>
      </c>
      <c r="K19" s="15">
        <f>L19</f>
        <v>532</v>
      </c>
      <c r="L19" s="15">
        <v>532</v>
      </c>
      <c r="M19" s="15">
        <f t="shared" si="25"/>
        <v>532</v>
      </c>
      <c r="N19" s="15">
        <v>0</v>
      </c>
      <c r="O19" s="58">
        <f t="shared" si="26"/>
        <v>0</v>
      </c>
      <c r="P19" s="39">
        <f t="shared" si="27"/>
        <v>4</v>
      </c>
      <c r="Q19" s="40">
        <f t="shared" si="28"/>
        <v>20</v>
      </c>
      <c r="R19" s="7"/>
      <c r="S19" s="6"/>
      <c r="T19" s="16"/>
      <c r="U19" s="16"/>
      <c r="V19" s="17"/>
      <c r="W19" s="5">
        <v>20</v>
      </c>
      <c r="X19" s="16"/>
      <c r="Y19" s="16"/>
      <c r="Z19" s="16"/>
      <c r="AA19" s="18"/>
      <c r="AB19" s="8">
        <f t="shared" si="29"/>
        <v>1</v>
      </c>
      <c r="AC19" s="9">
        <f t="shared" si="30"/>
        <v>0.16666666666666666</v>
      </c>
      <c r="AD19" s="10">
        <f t="shared" si="31"/>
        <v>0.16666666666666666</v>
      </c>
      <c r="AE19" s="36">
        <f t="shared" si="7"/>
        <v>0.38125000000000003</v>
      </c>
      <c r="AF19" s="84">
        <f t="shared" si="32"/>
        <v>11</v>
      </c>
    </row>
    <row r="20" spans="1:32" ht="30" customHeight="1">
      <c r="A20" s="112">
        <v>11</v>
      </c>
      <c r="B20" s="11" t="s">
        <v>57</v>
      </c>
      <c r="C20" s="34" t="s">
        <v>112</v>
      </c>
      <c r="D20" s="52" t="s">
        <v>174</v>
      </c>
      <c r="E20" s="53" t="s">
        <v>393</v>
      </c>
      <c r="F20" s="30" t="s">
        <v>339</v>
      </c>
      <c r="G20" s="12">
        <v>4</v>
      </c>
      <c r="H20" s="13">
        <v>24</v>
      </c>
      <c r="I20" s="7">
        <v>1600</v>
      </c>
      <c r="J20" s="14">
        <v>1964</v>
      </c>
      <c r="K20" s="15">
        <f>L20</f>
        <v>1964</v>
      </c>
      <c r="L20" s="15">
        <f>491*4</f>
        <v>1964</v>
      </c>
      <c r="M20" s="15">
        <f t="shared" si="0"/>
        <v>1964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/>
      <c r="T20" s="16"/>
      <c r="U20" s="16"/>
      <c r="V20" s="17"/>
      <c r="W20" s="5">
        <v>20</v>
      </c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si="6"/>
        <v>0.16666666666666666</v>
      </c>
      <c r="AE20" s="36">
        <f t="shared" si="7"/>
        <v>0.38125000000000003</v>
      </c>
      <c r="AF20" s="84">
        <f t="shared" si="8"/>
        <v>11</v>
      </c>
    </row>
    <row r="21" spans="1:32" ht="30" customHeight="1">
      <c r="A21" s="95">
        <v>12</v>
      </c>
      <c r="B21" s="11" t="s">
        <v>57</v>
      </c>
      <c r="C21" s="34" t="s">
        <v>159</v>
      </c>
      <c r="D21" s="52" t="s">
        <v>170</v>
      </c>
      <c r="E21" s="53" t="s">
        <v>171</v>
      </c>
      <c r="F21" s="30" t="s">
        <v>172</v>
      </c>
      <c r="G21" s="12">
        <v>2</v>
      </c>
      <c r="H21" s="13">
        <v>24</v>
      </c>
      <c r="I21" s="7">
        <v>60000</v>
      </c>
      <c r="J21" s="14">
        <v>8804</v>
      </c>
      <c r="K21" s="15">
        <f>L21+11416+12356+12738+13852+13988+14162+13878+15320</f>
        <v>116514</v>
      </c>
      <c r="L21" s="15">
        <f>3779*2+623*2</f>
        <v>8804</v>
      </c>
      <c r="M21" s="15">
        <f t="shared" si="0"/>
        <v>8804</v>
      </c>
      <c r="N21" s="15">
        <v>0</v>
      </c>
      <c r="O21" s="58">
        <f t="shared" si="1"/>
        <v>0</v>
      </c>
      <c r="P21" s="39">
        <f t="shared" si="2"/>
        <v>15</v>
      </c>
      <c r="Q21" s="40">
        <f t="shared" si="3"/>
        <v>9</v>
      </c>
      <c r="R21" s="7"/>
      <c r="S21" s="6"/>
      <c r="T21" s="16"/>
      <c r="U21" s="16"/>
      <c r="V21" s="17"/>
      <c r="W21" s="5">
        <v>9</v>
      </c>
      <c r="X21" s="16"/>
      <c r="Y21" s="16"/>
      <c r="Z21" s="16"/>
      <c r="AA21" s="18"/>
      <c r="AB21" s="8">
        <f t="shared" si="4"/>
        <v>1</v>
      </c>
      <c r="AC21" s="9">
        <f t="shared" si="5"/>
        <v>0.625</v>
      </c>
      <c r="AD21" s="10">
        <f t="shared" si="6"/>
        <v>0.625</v>
      </c>
      <c r="AE21" s="36">
        <f t="shared" si="7"/>
        <v>0.38125000000000003</v>
      </c>
      <c r="AF21" s="84">
        <f t="shared" si="8"/>
        <v>12</v>
      </c>
    </row>
    <row r="22" spans="1:32" ht="27" customHeight="1">
      <c r="A22" s="96">
        <v>13</v>
      </c>
      <c r="B22" s="11" t="s">
        <v>57</v>
      </c>
      <c r="C22" s="11" t="s">
        <v>139</v>
      </c>
      <c r="D22" s="52" t="s">
        <v>115</v>
      </c>
      <c r="E22" s="53" t="s">
        <v>370</v>
      </c>
      <c r="F22" s="30" t="s">
        <v>165</v>
      </c>
      <c r="G22" s="33">
        <v>1</v>
      </c>
      <c r="H22" s="35">
        <v>24</v>
      </c>
      <c r="I22" s="7">
        <v>2500</v>
      </c>
      <c r="J22" s="14">
        <v>1641</v>
      </c>
      <c r="K22" s="15">
        <f>L22+1897</f>
        <v>3538</v>
      </c>
      <c r="L22" s="15">
        <f>1139+502</f>
        <v>1641</v>
      </c>
      <c r="M22" s="15">
        <f t="shared" si="0"/>
        <v>1641</v>
      </c>
      <c r="N22" s="15">
        <v>0</v>
      </c>
      <c r="O22" s="58">
        <f t="shared" si="1"/>
        <v>0</v>
      </c>
      <c r="P22" s="39">
        <f t="shared" si="2"/>
        <v>10</v>
      </c>
      <c r="Q22" s="40">
        <f t="shared" si="3"/>
        <v>14</v>
      </c>
      <c r="R22" s="7"/>
      <c r="S22" s="6">
        <v>14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0.41666666666666669</v>
      </c>
      <c r="AD22" s="10">
        <f t="shared" si="6"/>
        <v>0.41666666666666669</v>
      </c>
      <c r="AE22" s="36">
        <f t="shared" si="7"/>
        <v>0.38125000000000003</v>
      </c>
      <c r="AF22" s="84">
        <f t="shared" si="8"/>
        <v>13</v>
      </c>
    </row>
    <row r="23" spans="1:32" ht="27" customHeight="1">
      <c r="A23" s="96">
        <v>14</v>
      </c>
      <c r="B23" s="11" t="s">
        <v>57</v>
      </c>
      <c r="C23" s="11" t="s">
        <v>118</v>
      </c>
      <c r="D23" s="52" t="s">
        <v>326</v>
      </c>
      <c r="E23" s="53" t="s">
        <v>335</v>
      </c>
      <c r="F23" s="30" t="s">
        <v>153</v>
      </c>
      <c r="G23" s="33">
        <v>4</v>
      </c>
      <c r="H23" s="35">
        <v>24</v>
      </c>
      <c r="I23" s="7">
        <v>130000</v>
      </c>
      <c r="J23" s="14">
        <v>25132</v>
      </c>
      <c r="K23" s="15">
        <f>L23+21680+25132</f>
        <v>46812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>
        <v>24</v>
      </c>
      <c r="T23" s="16"/>
      <c r="U23" s="16"/>
      <c r="V23" s="17"/>
      <c r="W23" s="5"/>
      <c r="X23" s="16"/>
      <c r="Y23" s="16"/>
      <c r="Z23" s="16"/>
      <c r="AA23" s="18"/>
      <c r="AB23" s="8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0.38125000000000003</v>
      </c>
      <c r="AF23" s="84">
        <f t="shared" si="8"/>
        <v>14</v>
      </c>
    </row>
    <row r="24" spans="1:32" ht="30" customHeight="1">
      <c r="A24" s="112">
        <v>15</v>
      </c>
      <c r="B24" s="11" t="s">
        <v>57</v>
      </c>
      <c r="C24" s="34" t="s">
        <v>118</v>
      </c>
      <c r="D24" s="52" t="s">
        <v>115</v>
      </c>
      <c r="E24" s="53" t="s">
        <v>309</v>
      </c>
      <c r="F24" s="30" t="s">
        <v>129</v>
      </c>
      <c r="G24" s="12">
        <v>4</v>
      </c>
      <c r="H24" s="13">
        <v>24</v>
      </c>
      <c r="I24" s="7">
        <v>130000</v>
      </c>
      <c r="J24" s="14">
        <v>22084</v>
      </c>
      <c r="K24" s="15">
        <f>L24+13156+20408+13276+22084</f>
        <v>68924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>
        <v>24</v>
      </c>
      <c r="T24" s="16"/>
      <c r="U24" s="16"/>
      <c r="V24" s="17"/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0.38125000000000003</v>
      </c>
      <c r="AF24" s="84">
        <f t="shared" si="8"/>
        <v>15</v>
      </c>
    </row>
    <row r="25" spans="1:32" ht="27" customHeight="1" thickBot="1">
      <c r="A25" s="96">
        <v>16</v>
      </c>
      <c r="B25" s="11" t="s">
        <v>57</v>
      </c>
      <c r="C25" s="11" t="s">
        <v>113</v>
      </c>
      <c r="D25" s="52"/>
      <c r="E25" s="53" t="s">
        <v>346</v>
      </c>
      <c r="F25" s="12" t="s">
        <v>114</v>
      </c>
      <c r="G25" s="12">
        <v>3</v>
      </c>
      <c r="H25" s="35">
        <v>20</v>
      </c>
      <c r="I25" s="7">
        <v>1000000</v>
      </c>
      <c r="J25" s="14">
        <v>71924</v>
      </c>
      <c r="K25" s="15">
        <f>L25+28316+74820</f>
        <v>175060</v>
      </c>
      <c r="L25" s="15">
        <f>9311*4+8670*4</f>
        <v>71924</v>
      </c>
      <c r="M25" s="15">
        <f t="shared" si="0"/>
        <v>71924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17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6"/>
        <v>1</v>
      </c>
      <c r="AE25" s="36">
        <f t="shared" si="7"/>
        <v>0.38125000000000003</v>
      </c>
      <c r="AF25" s="84">
        <f t="shared" si="8"/>
        <v>16</v>
      </c>
    </row>
    <row r="26" spans="1:32" ht="31.5" customHeight="1" thickBot="1">
      <c r="A26" s="408" t="s">
        <v>34</v>
      </c>
      <c r="B26" s="409"/>
      <c r="C26" s="409"/>
      <c r="D26" s="409"/>
      <c r="E26" s="409"/>
      <c r="F26" s="409"/>
      <c r="G26" s="409"/>
      <c r="H26" s="410"/>
      <c r="I26" s="22">
        <f t="shared" ref="I26:N26" si="33">SUM(I6:I25)</f>
        <v>1735900</v>
      </c>
      <c r="J26" s="19">
        <f t="shared" si="33"/>
        <v>184848</v>
      </c>
      <c r="K26" s="20">
        <f t="shared" si="33"/>
        <v>640189</v>
      </c>
      <c r="L26" s="21">
        <f t="shared" si="33"/>
        <v>121258</v>
      </c>
      <c r="M26" s="20">
        <f t="shared" si="33"/>
        <v>121258</v>
      </c>
      <c r="N26" s="21">
        <f t="shared" si="33"/>
        <v>0</v>
      </c>
      <c r="O26" s="41">
        <f t="shared" si="1"/>
        <v>0</v>
      </c>
      <c r="P26" s="42">
        <f t="shared" ref="P26:AA26" si="34">SUM(P6:P25)</f>
        <v>183</v>
      </c>
      <c r="Q26" s="43">
        <f t="shared" si="34"/>
        <v>297</v>
      </c>
      <c r="R26" s="23">
        <f t="shared" si="34"/>
        <v>0</v>
      </c>
      <c r="S26" s="24">
        <f t="shared" si="34"/>
        <v>95</v>
      </c>
      <c r="T26" s="24">
        <f t="shared" si="34"/>
        <v>1</v>
      </c>
      <c r="U26" s="24">
        <f t="shared" si="34"/>
        <v>0</v>
      </c>
      <c r="V26" s="25">
        <f t="shared" si="34"/>
        <v>0</v>
      </c>
      <c r="W26" s="26">
        <f t="shared" si="34"/>
        <v>177</v>
      </c>
      <c r="X26" s="27">
        <f t="shared" si="34"/>
        <v>0</v>
      </c>
      <c r="Y26" s="27">
        <f t="shared" si="34"/>
        <v>0</v>
      </c>
      <c r="Z26" s="27">
        <f t="shared" si="34"/>
        <v>0</v>
      </c>
      <c r="AA26" s="27">
        <f t="shared" si="34"/>
        <v>24</v>
      </c>
      <c r="AB26" s="28">
        <f>AVERAGE(AB6:AB25)</f>
        <v>0.75</v>
      </c>
      <c r="AC26" s="4">
        <f>AVERAGE(AC6:AC25)</f>
        <v>0.38125000000000003</v>
      </c>
      <c r="AD26" s="4">
        <f>AVERAGE(AD6:AD25)</f>
        <v>0.38125000000000003</v>
      </c>
      <c r="AE26" s="29"/>
    </row>
    <row r="28" spans="1:32" ht="18.75">
      <c r="A28" s="2"/>
      <c r="B28" s="2" t="s">
        <v>35</v>
      </c>
      <c r="C28" s="2"/>
      <c r="D28" s="2"/>
      <c r="E28" s="2"/>
      <c r="F28" s="2"/>
      <c r="G28" s="2"/>
      <c r="H28" s="3"/>
      <c r="I28" s="3"/>
      <c r="J28" s="2"/>
      <c r="K28" s="2"/>
      <c r="L28" s="2"/>
      <c r="M28" s="2"/>
      <c r="N28" s="2" t="s">
        <v>36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1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85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27">
      <c r="A43" s="59"/>
      <c r="B43" s="59"/>
      <c r="C43" s="59"/>
      <c r="D43" s="59"/>
      <c r="E43" s="59"/>
      <c r="F43" s="37"/>
      <c r="G43" s="37"/>
      <c r="H43" s="38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F43" s="50"/>
    </row>
    <row r="44" spans="1:32" ht="29.25" customHeight="1">
      <c r="A44" s="60"/>
      <c r="B44" s="60"/>
      <c r="C44" s="61"/>
      <c r="D44" s="61"/>
      <c r="E44" s="61"/>
      <c r="F44" s="60"/>
      <c r="G44" s="60"/>
      <c r="H44" s="60"/>
      <c r="I44" s="60"/>
      <c r="J44" s="60"/>
      <c r="K44" s="60"/>
      <c r="L44" s="60"/>
      <c r="M44" s="61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36" thickBot="1">
      <c r="A53" s="411" t="s">
        <v>45</v>
      </c>
      <c r="B53" s="411"/>
      <c r="C53" s="411"/>
      <c r="D53" s="411"/>
      <c r="E53" s="411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F53" s="50"/>
    </row>
    <row r="54" spans="1:32" ht="26.25" thickBot="1">
      <c r="A54" s="412" t="s">
        <v>394</v>
      </c>
      <c r="B54" s="413"/>
      <c r="C54" s="413"/>
      <c r="D54" s="413"/>
      <c r="E54" s="413"/>
      <c r="F54" s="413"/>
      <c r="G54" s="413"/>
      <c r="H54" s="413"/>
      <c r="I54" s="413"/>
      <c r="J54" s="413"/>
      <c r="K54" s="413"/>
      <c r="L54" s="413"/>
      <c r="M54" s="414"/>
      <c r="N54" s="415" t="s">
        <v>398</v>
      </c>
      <c r="O54" s="416"/>
      <c r="P54" s="416"/>
      <c r="Q54" s="416"/>
      <c r="R54" s="416"/>
      <c r="S54" s="416"/>
      <c r="T54" s="416"/>
      <c r="U54" s="416"/>
      <c r="V54" s="416"/>
      <c r="W54" s="416"/>
      <c r="X54" s="416"/>
      <c r="Y54" s="416"/>
      <c r="Z54" s="416"/>
      <c r="AA54" s="416"/>
      <c r="AB54" s="416"/>
      <c r="AC54" s="416"/>
      <c r="AD54" s="417"/>
    </row>
    <row r="55" spans="1:32" ht="27" customHeight="1">
      <c r="A55" s="418" t="s">
        <v>2</v>
      </c>
      <c r="B55" s="419"/>
      <c r="C55" s="236" t="s">
        <v>46</v>
      </c>
      <c r="D55" s="236" t="s">
        <v>47</v>
      </c>
      <c r="E55" s="236" t="s">
        <v>107</v>
      </c>
      <c r="F55" s="420" t="s">
        <v>106</v>
      </c>
      <c r="G55" s="421"/>
      <c r="H55" s="421"/>
      <c r="I55" s="421"/>
      <c r="J55" s="421"/>
      <c r="K55" s="421"/>
      <c r="L55" s="421"/>
      <c r="M55" s="422"/>
      <c r="N55" s="67" t="s">
        <v>110</v>
      </c>
      <c r="O55" s="236" t="s">
        <v>46</v>
      </c>
      <c r="P55" s="420" t="s">
        <v>47</v>
      </c>
      <c r="Q55" s="423"/>
      <c r="R55" s="420" t="s">
        <v>38</v>
      </c>
      <c r="S55" s="421"/>
      <c r="T55" s="421"/>
      <c r="U55" s="423"/>
      <c r="V55" s="420" t="s">
        <v>48</v>
      </c>
      <c r="W55" s="421"/>
      <c r="X55" s="421"/>
      <c r="Y55" s="421"/>
      <c r="Z55" s="421"/>
      <c r="AA55" s="421"/>
      <c r="AB55" s="421"/>
      <c r="AC55" s="421"/>
      <c r="AD55" s="422"/>
    </row>
    <row r="56" spans="1:32" ht="27" customHeight="1">
      <c r="A56" s="434" t="s">
        <v>139</v>
      </c>
      <c r="B56" s="435"/>
      <c r="C56" s="232" t="s">
        <v>250</v>
      </c>
      <c r="D56" s="232" t="s">
        <v>355</v>
      </c>
      <c r="E56" s="232" t="s">
        <v>366</v>
      </c>
      <c r="F56" s="436" t="s">
        <v>124</v>
      </c>
      <c r="G56" s="437"/>
      <c r="H56" s="437"/>
      <c r="I56" s="437"/>
      <c r="J56" s="437"/>
      <c r="K56" s="437"/>
      <c r="L56" s="437"/>
      <c r="M56" s="438"/>
      <c r="N56" s="235" t="s">
        <v>139</v>
      </c>
      <c r="O56" s="229" t="s">
        <v>200</v>
      </c>
      <c r="P56" s="439" t="s">
        <v>115</v>
      </c>
      <c r="Q56" s="440"/>
      <c r="R56" s="439" t="s">
        <v>261</v>
      </c>
      <c r="S56" s="441"/>
      <c r="T56" s="441"/>
      <c r="U56" s="440"/>
      <c r="V56" s="442" t="s">
        <v>124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139</v>
      </c>
      <c r="B57" s="435"/>
      <c r="C57" s="232" t="s">
        <v>127</v>
      </c>
      <c r="D57" s="232" t="s">
        <v>285</v>
      </c>
      <c r="E57" s="232" t="s">
        <v>183</v>
      </c>
      <c r="F57" s="436" t="s">
        <v>195</v>
      </c>
      <c r="G57" s="437"/>
      <c r="H57" s="437"/>
      <c r="I57" s="437"/>
      <c r="J57" s="437"/>
      <c r="K57" s="437"/>
      <c r="L57" s="437"/>
      <c r="M57" s="438"/>
      <c r="N57" s="235" t="s">
        <v>118</v>
      </c>
      <c r="O57" s="229" t="s">
        <v>136</v>
      </c>
      <c r="P57" s="439" t="s">
        <v>115</v>
      </c>
      <c r="Q57" s="440"/>
      <c r="R57" s="439" t="s">
        <v>144</v>
      </c>
      <c r="S57" s="441"/>
      <c r="T57" s="441"/>
      <c r="U57" s="440"/>
      <c r="V57" s="442" t="s">
        <v>124</v>
      </c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112</v>
      </c>
      <c r="B58" s="435"/>
      <c r="C58" s="232" t="s">
        <v>250</v>
      </c>
      <c r="D58" s="232" t="s">
        <v>251</v>
      </c>
      <c r="E58" s="232" t="s">
        <v>148</v>
      </c>
      <c r="F58" s="436" t="s">
        <v>138</v>
      </c>
      <c r="G58" s="437"/>
      <c r="H58" s="437"/>
      <c r="I58" s="437"/>
      <c r="J58" s="437"/>
      <c r="K58" s="437"/>
      <c r="L58" s="437"/>
      <c r="M58" s="438"/>
      <c r="N58" s="235" t="s">
        <v>112</v>
      </c>
      <c r="O58" s="229" t="s">
        <v>250</v>
      </c>
      <c r="P58" s="439" t="s">
        <v>251</v>
      </c>
      <c r="Q58" s="440"/>
      <c r="R58" s="439" t="s">
        <v>399</v>
      </c>
      <c r="S58" s="441"/>
      <c r="T58" s="441"/>
      <c r="U58" s="440"/>
      <c r="V58" s="442" t="s">
        <v>138</v>
      </c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 t="s">
        <v>112</v>
      </c>
      <c r="B59" s="435"/>
      <c r="C59" s="232" t="s">
        <v>190</v>
      </c>
      <c r="D59" s="232" t="s">
        <v>395</v>
      </c>
      <c r="E59" s="232" t="s">
        <v>221</v>
      </c>
      <c r="F59" s="436" t="s">
        <v>138</v>
      </c>
      <c r="G59" s="437"/>
      <c r="H59" s="437"/>
      <c r="I59" s="437"/>
      <c r="J59" s="437"/>
      <c r="K59" s="437"/>
      <c r="L59" s="437"/>
      <c r="M59" s="438"/>
      <c r="N59" s="235" t="s">
        <v>112</v>
      </c>
      <c r="O59" s="229" t="s">
        <v>190</v>
      </c>
      <c r="P59" s="439" t="s">
        <v>216</v>
      </c>
      <c r="Q59" s="440"/>
      <c r="R59" s="439" t="s">
        <v>214</v>
      </c>
      <c r="S59" s="441"/>
      <c r="T59" s="441"/>
      <c r="U59" s="440"/>
      <c r="V59" s="442" t="s">
        <v>138</v>
      </c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34" t="s">
        <v>139</v>
      </c>
      <c r="B60" s="435"/>
      <c r="C60" s="232" t="s">
        <v>200</v>
      </c>
      <c r="D60" s="232" t="s">
        <v>115</v>
      </c>
      <c r="E60" s="232" t="s">
        <v>370</v>
      </c>
      <c r="F60" s="436" t="s">
        <v>396</v>
      </c>
      <c r="G60" s="437"/>
      <c r="H60" s="437"/>
      <c r="I60" s="437"/>
      <c r="J60" s="437"/>
      <c r="K60" s="437"/>
      <c r="L60" s="437"/>
      <c r="M60" s="438"/>
      <c r="N60" s="235" t="s">
        <v>112</v>
      </c>
      <c r="O60" s="229" t="s">
        <v>127</v>
      </c>
      <c r="P60" s="439" t="s">
        <v>115</v>
      </c>
      <c r="Q60" s="440"/>
      <c r="R60" s="439" t="s">
        <v>400</v>
      </c>
      <c r="S60" s="441"/>
      <c r="T60" s="441"/>
      <c r="U60" s="440"/>
      <c r="V60" s="442" t="s">
        <v>138</v>
      </c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34" t="s">
        <v>112</v>
      </c>
      <c r="B61" s="435"/>
      <c r="C61" s="232" t="s">
        <v>190</v>
      </c>
      <c r="D61" s="232" t="s">
        <v>326</v>
      </c>
      <c r="E61" s="232" t="s">
        <v>388</v>
      </c>
      <c r="F61" s="436" t="s">
        <v>138</v>
      </c>
      <c r="G61" s="437"/>
      <c r="H61" s="437"/>
      <c r="I61" s="437"/>
      <c r="J61" s="437"/>
      <c r="K61" s="437"/>
      <c r="L61" s="437"/>
      <c r="M61" s="438"/>
      <c r="N61" s="235" t="s">
        <v>112</v>
      </c>
      <c r="O61" s="229" t="s">
        <v>141</v>
      </c>
      <c r="P61" s="439" t="s">
        <v>115</v>
      </c>
      <c r="Q61" s="440"/>
      <c r="R61" s="439" t="s">
        <v>177</v>
      </c>
      <c r="S61" s="441"/>
      <c r="T61" s="441"/>
      <c r="U61" s="440"/>
      <c r="V61" s="442" t="s">
        <v>138</v>
      </c>
      <c r="W61" s="442"/>
      <c r="X61" s="442"/>
      <c r="Y61" s="442"/>
      <c r="Z61" s="442"/>
      <c r="AA61" s="442"/>
      <c r="AB61" s="442"/>
      <c r="AC61" s="442"/>
      <c r="AD61" s="443"/>
    </row>
    <row r="62" spans="1:32" ht="27" customHeight="1">
      <c r="A62" s="434" t="s">
        <v>118</v>
      </c>
      <c r="B62" s="435"/>
      <c r="C62" s="232" t="s">
        <v>385</v>
      </c>
      <c r="D62" s="232" t="s">
        <v>216</v>
      </c>
      <c r="E62" s="232" t="s">
        <v>384</v>
      </c>
      <c r="F62" s="436" t="s">
        <v>124</v>
      </c>
      <c r="G62" s="437"/>
      <c r="H62" s="437"/>
      <c r="I62" s="437"/>
      <c r="J62" s="437"/>
      <c r="K62" s="437"/>
      <c r="L62" s="437"/>
      <c r="M62" s="438"/>
      <c r="N62" s="235" t="s">
        <v>402</v>
      </c>
      <c r="O62" s="229" t="s">
        <v>200</v>
      </c>
      <c r="P62" s="439" t="s">
        <v>115</v>
      </c>
      <c r="Q62" s="440"/>
      <c r="R62" s="439" t="s">
        <v>401</v>
      </c>
      <c r="S62" s="441"/>
      <c r="T62" s="441"/>
      <c r="U62" s="440"/>
      <c r="V62" s="442" t="s">
        <v>138</v>
      </c>
      <c r="W62" s="442"/>
      <c r="X62" s="442"/>
      <c r="Y62" s="442"/>
      <c r="Z62" s="442"/>
      <c r="AA62" s="442"/>
      <c r="AB62" s="442"/>
      <c r="AC62" s="442"/>
      <c r="AD62" s="443"/>
    </row>
    <row r="63" spans="1:32" ht="27" customHeight="1">
      <c r="A63" s="457" t="s">
        <v>159</v>
      </c>
      <c r="B63" s="458"/>
      <c r="C63" s="231" t="s">
        <v>224</v>
      </c>
      <c r="D63" s="231"/>
      <c r="E63" s="232" t="s">
        <v>397</v>
      </c>
      <c r="F63" s="436" t="s">
        <v>138</v>
      </c>
      <c r="G63" s="437"/>
      <c r="H63" s="437"/>
      <c r="I63" s="437"/>
      <c r="J63" s="437"/>
      <c r="K63" s="437"/>
      <c r="L63" s="437"/>
      <c r="M63" s="438"/>
      <c r="N63" s="235"/>
      <c r="O63" s="229"/>
      <c r="P63" s="439"/>
      <c r="Q63" s="440"/>
      <c r="R63" s="435"/>
      <c r="S63" s="435"/>
      <c r="T63" s="435"/>
      <c r="U63" s="435"/>
      <c r="V63" s="442"/>
      <c r="W63" s="442"/>
      <c r="X63" s="442"/>
      <c r="Y63" s="442"/>
      <c r="Z63" s="442"/>
      <c r="AA63" s="442"/>
      <c r="AB63" s="442"/>
      <c r="AC63" s="442"/>
      <c r="AD63" s="443"/>
    </row>
    <row r="64" spans="1:32" ht="27" customHeight="1">
      <c r="A64" s="457" t="s">
        <v>112</v>
      </c>
      <c r="B64" s="458"/>
      <c r="C64" s="231" t="s">
        <v>141</v>
      </c>
      <c r="D64" s="231" t="s">
        <v>390</v>
      </c>
      <c r="E64" s="232" t="s">
        <v>391</v>
      </c>
      <c r="F64" s="436" t="s">
        <v>138</v>
      </c>
      <c r="G64" s="437"/>
      <c r="H64" s="437"/>
      <c r="I64" s="437"/>
      <c r="J64" s="437"/>
      <c r="K64" s="437"/>
      <c r="L64" s="437"/>
      <c r="M64" s="438"/>
      <c r="N64" s="235"/>
      <c r="O64" s="229"/>
      <c r="P64" s="435"/>
      <c r="Q64" s="435"/>
      <c r="R64" s="435"/>
      <c r="S64" s="435"/>
      <c r="T64" s="435"/>
      <c r="U64" s="435"/>
      <c r="V64" s="442"/>
      <c r="W64" s="442"/>
      <c r="X64" s="442"/>
      <c r="Y64" s="442"/>
      <c r="Z64" s="442"/>
      <c r="AA64" s="442"/>
      <c r="AB64" s="442"/>
      <c r="AC64" s="442"/>
      <c r="AD64" s="443"/>
      <c r="AF64" s="84">
        <f>8*3000</f>
        <v>24000</v>
      </c>
    </row>
    <row r="65" spans="1:32" ht="27" customHeight="1" thickBot="1">
      <c r="A65" s="444" t="s">
        <v>112</v>
      </c>
      <c r="B65" s="445"/>
      <c r="C65" s="233" t="s">
        <v>141</v>
      </c>
      <c r="D65" s="234" t="s">
        <v>115</v>
      </c>
      <c r="E65" s="233" t="s">
        <v>392</v>
      </c>
      <c r="F65" s="436" t="s">
        <v>138</v>
      </c>
      <c r="G65" s="437"/>
      <c r="H65" s="437"/>
      <c r="I65" s="437"/>
      <c r="J65" s="437"/>
      <c r="K65" s="437"/>
      <c r="L65" s="437"/>
      <c r="M65" s="438"/>
      <c r="N65" s="111"/>
      <c r="O65" s="103"/>
      <c r="P65" s="449"/>
      <c r="Q65" s="449"/>
      <c r="R65" s="449"/>
      <c r="S65" s="449"/>
      <c r="T65" s="449"/>
      <c r="U65" s="449"/>
      <c r="V65" s="450"/>
      <c r="W65" s="450"/>
      <c r="X65" s="450"/>
      <c r="Y65" s="450"/>
      <c r="Z65" s="450"/>
      <c r="AA65" s="450"/>
      <c r="AB65" s="450"/>
      <c r="AC65" s="450"/>
      <c r="AD65" s="451"/>
      <c r="AF65" s="84">
        <f>16*3000</f>
        <v>48000</v>
      </c>
    </row>
    <row r="66" spans="1:32" ht="27.75" thickBot="1">
      <c r="A66" s="452" t="s">
        <v>403</v>
      </c>
      <c r="B66" s="452"/>
      <c r="C66" s="452"/>
      <c r="D66" s="452"/>
      <c r="E66" s="452"/>
      <c r="F66" s="37"/>
      <c r="G66" s="37"/>
      <c r="H66" s="38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F66" s="84">
        <v>24000</v>
      </c>
    </row>
    <row r="67" spans="1:32" ht="29.25" customHeight="1" thickBot="1">
      <c r="A67" s="453" t="s">
        <v>111</v>
      </c>
      <c r="B67" s="454"/>
      <c r="C67" s="230" t="s">
        <v>2</v>
      </c>
      <c r="D67" s="230" t="s">
        <v>37</v>
      </c>
      <c r="E67" s="230" t="s">
        <v>3</v>
      </c>
      <c r="F67" s="454" t="s">
        <v>109</v>
      </c>
      <c r="G67" s="454"/>
      <c r="H67" s="454"/>
      <c r="I67" s="454"/>
      <c r="J67" s="454"/>
      <c r="K67" s="454" t="s">
        <v>39</v>
      </c>
      <c r="L67" s="454"/>
      <c r="M67" s="230" t="s">
        <v>40</v>
      </c>
      <c r="N67" s="454" t="s">
        <v>41</v>
      </c>
      <c r="O67" s="454"/>
      <c r="P67" s="455" t="s">
        <v>42</v>
      </c>
      <c r="Q67" s="456"/>
      <c r="R67" s="455" t="s">
        <v>43</v>
      </c>
      <c r="S67" s="459"/>
      <c r="T67" s="459"/>
      <c r="U67" s="459"/>
      <c r="V67" s="459"/>
      <c r="W67" s="459"/>
      <c r="X67" s="459"/>
      <c r="Y67" s="459"/>
      <c r="Z67" s="459"/>
      <c r="AA67" s="456"/>
      <c r="AB67" s="454" t="s">
        <v>44</v>
      </c>
      <c r="AC67" s="454"/>
      <c r="AD67" s="460"/>
      <c r="AF67" s="84">
        <f>SUM(AF64:AF66)</f>
        <v>96000</v>
      </c>
    </row>
    <row r="68" spans="1:32" ht="25.5" customHeight="1">
      <c r="A68" s="461">
        <v>1</v>
      </c>
      <c r="B68" s="462"/>
      <c r="C68" s="104" t="s">
        <v>118</v>
      </c>
      <c r="D68" s="225"/>
      <c r="E68" s="228" t="s">
        <v>212</v>
      </c>
      <c r="F68" s="463" t="s">
        <v>404</v>
      </c>
      <c r="G68" s="464"/>
      <c r="H68" s="464"/>
      <c r="I68" s="464"/>
      <c r="J68" s="465"/>
      <c r="K68" s="466" t="s">
        <v>406</v>
      </c>
      <c r="L68" s="466"/>
      <c r="M68" s="51" t="s">
        <v>379</v>
      </c>
      <c r="N68" s="467" t="s">
        <v>140</v>
      </c>
      <c r="O68" s="467"/>
      <c r="P68" s="468">
        <v>50</v>
      </c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2</v>
      </c>
      <c r="B69" s="462"/>
      <c r="C69" s="104" t="s">
        <v>120</v>
      </c>
      <c r="D69" s="225"/>
      <c r="E69" s="228"/>
      <c r="F69" s="463" t="s">
        <v>361</v>
      </c>
      <c r="G69" s="464"/>
      <c r="H69" s="464"/>
      <c r="I69" s="464"/>
      <c r="J69" s="465"/>
      <c r="K69" s="466" t="s">
        <v>128</v>
      </c>
      <c r="L69" s="466"/>
      <c r="M69" s="51" t="s">
        <v>230</v>
      </c>
      <c r="N69" s="467" t="s">
        <v>140</v>
      </c>
      <c r="O69" s="467"/>
      <c r="P69" s="468">
        <v>200</v>
      </c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3</v>
      </c>
      <c r="B70" s="462"/>
      <c r="C70" s="104" t="s">
        <v>118</v>
      </c>
      <c r="D70" s="225"/>
      <c r="E70" s="228" t="s">
        <v>115</v>
      </c>
      <c r="F70" s="463" t="s">
        <v>405</v>
      </c>
      <c r="G70" s="464"/>
      <c r="H70" s="464"/>
      <c r="I70" s="464"/>
      <c r="J70" s="465"/>
      <c r="K70" s="466" t="s">
        <v>133</v>
      </c>
      <c r="L70" s="466"/>
      <c r="M70" s="51" t="s">
        <v>379</v>
      </c>
      <c r="N70" s="467" t="s">
        <v>190</v>
      </c>
      <c r="O70" s="467"/>
      <c r="P70" s="468"/>
      <c r="Q70" s="468"/>
      <c r="R70" s="442" t="s">
        <v>380</v>
      </c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4</v>
      </c>
      <c r="B71" s="462"/>
      <c r="C71" s="104"/>
      <c r="D71" s="225"/>
      <c r="E71" s="228"/>
      <c r="F71" s="463"/>
      <c r="G71" s="464"/>
      <c r="H71" s="464"/>
      <c r="I71" s="464"/>
      <c r="J71" s="465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5</v>
      </c>
      <c r="B72" s="462"/>
      <c r="C72" s="104"/>
      <c r="D72" s="225"/>
      <c r="E72" s="228"/>
      <c r="F72" s="463"/>
      <c r="G72" s="464"/>
      <c r="H72" s="464"/>
      <c r="I72" s="464"/>
      <c r="J72" s="465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6</v>
      </c>
      <c r="B73" s="462"/>
      <c r="C73" s="104"/>
      <c r="D73" s="225"/>
      <c r="E73" s="228"/>
      <c r="F73" s="463"/>
      <c r="G73" s="464"/>
      <c r="H73" s="464"/>
      <c r="I73" s="464"/>
      <c r="J73" s="465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7</v>
      </c>
      <c r="B74" s="462"/>
      <c r="C74" s="104"/>
      <c r="D74" s="225"/>
      <c r="E74" s="228"/>
      <c r="F74" s="463"/>
      <c r="G74" s="464"/>
      <c r="H74" s="464"/>
      <c r="I74" s="464"/>
      <c r="J74" s="465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5.5" customHeight="1">
      <c r="A75" s="461">
        <v>8</v>
      </c>
      <c r="B75" s="462"/>
      <c r="C75" s="104"/>
      <c r="D75" s="225"/>
      <c r="E75" s="228"/>
      <c r="F75" s="470"/>
      <c r="G75" s="466"/>
      <c r="H75" s="466"/>
      <c r="I75" s="466"/>
      <c r="J75" s="466"/>
      <c r="K75" s="466"/>
      <c r="L75" s="466"/>
      <c r="M75" s="51"/>
      <c r="N75" s="467"/>
      <c r="O75" s="467"/>
      <c r="P75" s="468"/>
      <c r="Q75" s="468"/>
      <c r="R75" s="442"/>
      <c r="S75" s="442"/>
      <c r="T75" s="442"/>
      <c r="U75" s="442"/>
      <c r="V75" s="442"/>
      <c r="W75" s="442"/>
      <c r="X75" s="442"/>
      <c r="Y75" s="442"/>
      <c r="Z75" s="442"/>
      <c r="AA75" s="442"/>
      <c r="AB75" s="466"/>
      <c r="AC75" s="466"/>
      <c r="AD75" s="469"/>
      <c r="AF75" s="50"/>
    </row>
    <row r="76" spans="1:32" ht="25.5" customHeight="1">
      <c r="A76" s="461">
        <v>9</v>
      </c>
      <c r="B76" s="462"/>
      <c r="C76" s="104"/>
      <c r="D76" s="225"/>
      <c r="E76" s="228"/>
      <c r="F76" s="470"/>
      <c r="G76" s="466"/>
      <c r="H76" s="466"/>
      <c r="I76" s="466"/>
      <c r="J76" s="466"/>
      <c r="K76" s="466"/>
      <c r="L76" s="466"/>
      <c r="M76" s="51"/>
      <c r="N76" s="467"/>
      <c r="O76" s="467"/>
      <c r="P76" s="468"/>
      <c r="Q76" s="468"/>
      <c r="R76" s="442"/>
      <c r="S76" s="442"/>
      <c r="T76" s="442"/>
      <c r="U76" s="442"/>
      <c r="V76" s="442"/>
      <c r="W76" s="442"/>
      <c r="X76" s="442"/>
      <c r="Y76" s="442"/>
      <c r="Z76" s="442"/>
      <c r="AA76" s="442"/>
      <c r="AB76" s="466"/>
      <c r="AC76" s="466"/>
      <c r="AD76" s="469"/>
      <c r="AF76" s="50"/>
    </row>
    <row r="77" spans="1:32" ht="25.5" customHeight="1">
      <c r="A77" s="461">
        <v>10</v>
      </c>
      <c r="B77" s="462"/>
      <c r="C77" s="104"/>
      <c r="D77" s="225"/>
      <c r="E77" s="228"/>
      <c r="F77" s="470"/>
      <c r="G77" s="466"/>
      <c r="H77" s="466"/>
      <c r="I77" s="466"/>
      <c r="J77" s="466"/>
      <c r="K77" s="466"/>
      <c r="L77" s="466"/>
      <c r="M77" s="51"/>
      <c r="N77" s="467"/>
      <c r="O77" s="467"/>
      <c r="P77" s="468"/>
      <c r="Q77" s="468"/>
      <c r="R77" s="442"/>
      <c r="S77" s="442"/>
      <c r="T77" s="442"/>
      <c r="U77" s="442"/>
      <c r="V77" s="442"/>
      <c r="W77" s="442"/>
      <c r="X77" s="442"/>
      <c r="Y77" s="442"/>
      <c r="Z77" s="442"/>
      <c r="AA77" s="442"/>
      <c r="AB77" s="466"/>
      <c r="AC77" s="466"/>
      <c r="AD77" s="469"/>
      <c r="AF77" s="50"/>
    </row>
    <row r="78" spans="1:32" ht="26.25" customHeight="1" thickBot="1">
      <c r="A78" s="471" t="s">
        <v>407</v>
      </c>
      <c r="B78" s="471"/>
      <c r="C78" s="471"/>
      <c r="D78" s="471"/>
      <c r="E78" s="471"/>
      <c r="F78" s="37"/>
      <c r="G78" s="37"/>
      <c r="H78" s="38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F78" s="50"/>
    </row>
    <row r="79" spans="1:32" ht="23.25" thickBot="1">
      <c r="A79" s="472" t="s">
        <v>126</v>
      </c>
      <c r="B79" s="473"/>
      <c r="C79" s="227" t="s">
        <v>2</v>
      </c>
      <c r="D79" s="227" t="s">
        <v>37</v>
      </c>
      <c r="E79" s="227" t="s">
        <v>125</v>
      </c>
      <c r="F79" s="473" t="s">
        <v>38</v>
      </c>
      <c r="G79" s="473"/>
      <c r="H79" s="473"/>
      <c r="I79" s="473"/>
      <c r="J79" s="473"/>
      <c r="K79" s="474" t="s">
        <v>58</v>
      </c>
      <c r="L79" s="475"/>
      <c r="M79" s="475"/>
      <c r="N79" s="475"/>
      <c r="O79" s="475"/>
      <c r="P79" s="475"/>
      <c r="Q79" s="475"/>
      <c r="R79" s="475"/>
      <c r="S79" s="476"/>
      <c r="T79" s="473" t="s">
        <v>49</v>
      </c>
      <c r="U79" s="473"/>
      <c r="V79" s="474" t="s">
        <v>50</v>
      </c>
      <c r="W79" s="476"/>
      <c r="X79" s="475" t="s">
        <v>51</v>
      </c>
      <c r="Y79" s="475"/>
      <c r="Z79" s="475"/>
      <c r="AA79" s="475"/>
      <c r="AB79" s="475"/>
      <c r="AC79" s="475"/>
      <c r="AD79" s="477"/>
      <c r="AF79" s="50"/>
    </row>
    <row r="80" spans="1:32" ht="33.75" customHeight="1">
      <c r="A80" s="486">
        <v>1</v>
      </c>
      <c r="B80" s="487"/>
      <c r="C80" s="226" t="s">
        <v>112</v>
      </c>
      <c r="D80" s="226"/>
      <c r="E80" s="65" t="s">
        <v>117</v>
      </c>
      <c r="F80" s="488" t="s">
        <v>116</v>
      </c>
      <c r="G80" s="489"/>
      <c r="H80" s="489"/>
      <c r="I80" s="489"/>
      <c r="J80" s="490"/>
      <c r="K80" s="491" t="s">
        <v>119</v>
      </c>
      <c r="L80" s="492"/>
      <c r="M80" s="492"/>
      <c r="N80" s="492"/>
      <c r="O80" s="492"/>
      <c r="P80" s="492"/>
      <c r="Q80" s="492"/>
      <c r="R80" s="492"/>
      <c r="S80" s="493"/>
      <c r="T80" s="494">
        <v>44118</v>
      </c>
      <c r="U80" s="495"/>
      <c r="V80" s="496"/>
      <c r="W80" s="496"/>
      <c r="X80" s="497"/>
      <c r="Y80" s="497"/>
      <c r="Z80" s="497"/>
      <c r="AA80" s="497"/>
      <c r="AB80" s="497"/>
      <c r="AC80" s="497"/>
      <c r="AD80" s="498"/>
      <c r="AF80" s="50"/>
    </row>
    <row r="81" spans="1:32" ht="30" customHeight="1">
      <c r="A81" s="478">
        <f>A80+1</f>
        <v>2</v>
      </c>
      <c r="B81" s="479"/>
      <c r="C81" s="225"/>
      <c r="D81" s="225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ref="A82:A86" si="35">A81+1</f>
        <v>3</v>
      </c>
      <c r="B82" s="479"/>
      <c r="C82" s="225"/>
      <c r="D82" s="225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35"/>
        <v>4</v>
      </c>
      <c r="B83" s="479"/>
      <c r="C83" s="225"/>
      <c r="D83" s="225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78">
        <f t="shared" si="35"/>
        <v>5</v>
      </c>
      <c r="B84" s="479"/>
      <c r="C84" s="225"/>
      <c r="D84" s="225"/>
      <c r="E84" s="32"/>
      <c r="F84" s="479"/>
      <c r="G84" s="479"/>
      <c r="H84" s="479"/>
      <c r="I84" s="479"/>
      <c r="J84" s="479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0" customHeight="1">
      <c r="A85" s="478">
        <f t="shared" si="35"/>
        <v>6</v>
      </c>
      <c r="B85" s="479"/>
      <c r="C85" s="225"/>
      <c r="D85" s="225"/>
      <c r="E85" s="32"/>
      <c r="F85" s="479"/>
      <c r="G85" s="479"/>
      <c r="H85" s="479"/>
      <c r="I85" s="479"/>
      <c r="J85" s="479"/>
      <c r="K85" s="480"/>
      <c r="L85" s="481"/>
      <c r="M85" s="481"/>
      <c r="N85" s="481"/>
      <c r="O85" s="481"/>
      <c r="P85" s="481"/>
      <c r="Q85" s="481"/>
      <c r="R85" s="481"/>
      <c r="S85" s="482"/>
      <c r="T85" s="483"/>
      <c r="U85" s="483"/>
      <c r="V85" s="483"/>
      <c r="W85" s="483"/>
      <c r="X85" s="484"/>
      <c r="Y85" s="484"/>
      <c r="Z85" s="484"/>
      <c r="AA85" s="484"/>
      <c r="AB85" s="484"/>
      <c r="AC85" s="484"/>
      <c r="AD85" s="485"/>
      <c r="AF85" s="50"/>
    </row>
    <row r="86" spans="1:32" ht="30" customHeight="1">
      <c r="A86" s="478">
        <f t="shared" si="35"/>
        <v>7</v>
      </c>
      <c r="B86" s="479"/>
      <c r="C86" s="225"/>
      <c r="D86" s="225"/>
      <c r="E86" s="32"/>
      <c r="F86" s="479"/>
      <c r="G86" s="479"/>
      <c r="H86" s="479"/>
      <c r="I86" s="479"/>
      <c r="J86" s="479"/>
      <c r="K86" s="480"/>
      <c r="L86" s="481"/>
      <c r="M86" s="481"/>
      <c r="N86" s="481"/>
      <c r="O86" s="481"/>
      <c r="P86" s="481"/>
      <c r="Q86" s="481"/>
      <c r="R86" s="481"/>
      <c r="S86" s="482"/>
      <c r="T86" s="483"/>
      <c r="U86" s="483"/>
      <c r="V86" s="483"/>
      <c r="W86" s="483"/>
      <c r="X86" s="484"/>
      <c r="Y86" s="484"/>
      <c r="Z86" s="484"/>
      <c r="AA86" s="484"/>
      <c r="AB86" s="484"/>
      <c r="AC86" s="484"/>
      <c r="AD86" s="485"/>
      <c r="AF86" s="50"/>
    </row>
    <row r="87" spans="1:32" ht="36" thickBot="1">
      <c r="A87" s="471" t="s">
        <v>408</v>
      </c>
      <c r="B87" s="471"/>
      <c r="C87" s="471"/>
      <c r="D87" s="471"/>
      <c r="E87" s="471"/>
      <c r="F87" s="37"/>
      <c r="G87" s="37"/>
      <c r="H87" s="38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F87" s="50"/>
    </row>
    <row r="88" spans="1:32" ht="30.75" customHeight="1" thickBot="1">
      <c r="A88" s="472" t="s">
        <v>111</v>
      </c>
      <c r="B88" s="473"/>
      <c r="C88" s="499" t="s">
        <v>52</v>
      </c>
      <c r="D88" s="499"/>
      <c r="E88" s="499" t="s">
        <v>53</v>
      </c>
      <c r="F88" s="499"/>
      <c r="G88" s="499"/>
      <c r="H88" s="499"/>
      <c r="I88" s="499"/>
      <c r="J88" s="499"/>
      <c r="K88" s="499" t="s">
        <v>54</v>
      </c>
      <c r="L88" s="499"/>
      <c r="M88" s="499"/>
      <c r="N88" s="499"/>
      <c r="O88" s="499"/>
      <c r="P88" s="499"/>
      <c r="Q88" s="499"/>
      <c r="R88" s="499"/>
      <c r="S88" s="499"/>
      <c r="T88" s="499" t="s">
        <v>55</v>
      </c>
      <c r="U88" s="499"/>
      <c r="V88" s="499" t="s">
        <v>56</v>
      </c>
      <c r="W88" s="499"/>
      <c r="X88" s="499"/>
      <c r="Y88" s="499" t="s">
        <v>51</v>
      </c>
      <c r="Z88" s="499"/>
      <c r="AA88" s="499"/>
      <c r="AB88" s="499"/>
      <c r="AC88" s="499"/>
      <c r="AD88" s="500"/>
      <c r="AF88" s="50"/>
    </row>
    <row r="89" spans="1:32" ht="30.75" customHeight="1">
      <c r="A89" s="486">
        <v>1</v>
      </c>
      <c r="B89" s="487"/>
      <c r="C89" s="501">
        <v>9</v>
      </c>
      <c r="D89" s="501"/>
      <c r="E89" s="501" t="s">
        <v>149</v>
      </c>
      <c r="F89" s="501"/>
      <c r="G89" s="501"/>
      <c r="H89" s="501"/>
      <c r="I89" s="501"/>
      <c r="J89" s="501"/>
      <c r="K89" s="501" t="s">
        <v>150</v>
      </c>
      <c r="L89" s="501"/>
      <c r="M89" s="501"/>
      <c r="N89" s="501"/>
      <c r="O89" s="501"/>
      <c r="P89" s="501"/>
      <c r="Q89" s="501"/>
      <c r="R89" s="501"/>
      <c r="S89" s="501"/>
      <c r="T89" s="501" t="s">
        <v>151</v>
      </c>
      <c r="U89" s="501"/>
      <c r="V89" s="502" t="s">
        <v>265</v>
      </c>
      <c r="W89" s="502"/>
      <c r="X89" s="502"/>
      <c r="Y89" s="503" t="s">
        <v>239</v>
      </c>
      <c r="Z89" s="503"/>
      <c r="AA89" s="503"/>
      <c r="AB89" s="503"/>
      <c r="AC89" s="503"/>
      <c r="AD89" s="504"/>
      <c r="AF89" s="50"/>
    </row>
    <row r="90" spans="1:32" ht="30.75" customHeight="1">
      <c r="A90" s="478">
        <v>2</v>
      </c>
      <c r="B90" s="479"/>
      <c r="C90" s="512"/>
      <c r="D90" s="512"/>
      <c r="E90" s="512"/>
      <c r="F90" s="512"/>
      <c r="G90" s="512"/>
      <c r="H90" s="512"/>
      <c r="I90" s="512"/>
      <c r="J90" s="512"/>
      <c r="K90" s="512"/>
      <c r="L90" s="512"/>
      <c r="M90" s="512"/>
      <c r="N90" s="512"/>
      <c r="O90" s="512"/>
      <c r="P90" s="512"/>
      <c r="Q90" s="512"/>
      <c r="R90" s="512"/>
      <c r="S90" s="512"/>
      <c r="T90" s="513"/>
      <c r="U90" s="513"/>
      <c r="V90" s="514"/>
      <c r="W90" s="514"/>
      <c r="X90" s="514"/>
      <c r="Y90" s="505"/>
      <c r="Z90" s="505"/>
      <c r="AA90" s="505"/>
      <c r="AB90" s="505"/>
      <c r="AC90" s="505"/>
      <c r="AD90" s="506"/>
      <c r="AF90" s="50"/>
    </row>
    <row r="91" spans="1:32" ht="30.75" customHeight="1" thickBot="1">
      <c r="A91" s="507">
        <v>3</v>
      </c>
      <c r="B91" s="508"/>
      <c r="C91" s="509"/>
      <c r="D91" s="509"/>
      <c r="E91" s="509"/>
      <c r="F91" s="509"/>
      <c r="G91" s="509"/>
      <c r="H91" s="509"/>
      <c r="I91" s="509"/>
      <c r="J91" s="509"/>
      <c r="K91" s="509"/>
      <c r="L91" s="509"/>
      <c r="M91" s="509"/>
      <c r="N91" s="509"/>
      <c r="O91" s="509"/>
      <c r="P91" s="509"/>
      <c r="Q91" s="509"/>
      <c r="R91" s="509"/>
      <c r="S91" s="509"/>
      <c r="T91" s="509"/>
      <c r="U91" s="509"/>
      <c r="V91" s="509"/>
      <c r="W91" s="509"/>
      <c r="X91" s="509"/>
      <c r="Y91" s="510"/>
      <c r="Z91" s="510"/>
      <c r="AA91" s="510"/>
      <c r="AB91" s="510"/>
      <c r="AC91" s="510"/>
      <c r="AD91" s="511"/>
      <c r="AF91" s="50"/>
    </row>
  </sheetData>
  <mergeCells count="232">
    <mergeCell ref="Y90:AD90"/>
    <mergeCell ref="A91:B91"/>
    <mergeCell ref="C91:D91"/>
    <mergeCell ref="E91:J91"/>
    <mergeCell ref="K91:S91"/>
    <mergeCell ref="T91:U91"/>
    <mergeCell ref="V91:X91"/>
    <mergeCell ref="Y91:AD91"/>
    <mergeCell ref="A90:B90"/>
    <mergeCell ref="C90:D90"/>
    <mergeCell ref="E90:J90"/>
    <mergeCell ref="K90:S90"/>
    <mergeCell ref="T90:U90"/>
    <mergeCell ref="V90:X90"/>
    <mergeCell ref="V88:X88"/>
    <mergeCell ref="Y88:AD88"/>
    <mergeCell ref="A89:B89"/>
    <mergeCell ref="C89:D89"/>
    <mergeCell ref="E89:J89"/>
    <mergeCell ref="K89:S89"/>
    <mergeCell ref="T89:U89"/>
    <mergeCell ref="V89:X89"/>
    <mergeCell ref="Y89:AD89"/>
    <mergeCell ref="A87:E87"/>
    <mergeCell ref="A88:B88"/>
    <mergeCell ref="C88:D88"/>
    <mergeCell ref="E88:J88"/>
    <mergeCell ref="K88:S88"/>
    <mergeCell ref="T88:U88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B77:AD77"/>
    <mergeCell ref="A78:E78"/>
    <mergeCell ref="A79:B79"/>
    <mergeCell ref="F79:J79"/>
    <mergeCell ref="K79:S79"/>
    <mergeCell ref="T79:U79"/>
    <mergeCell ref="V79:W79"/>
    <mergeCell ref="X79:AD79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R67:AA67"/>
    <mergeCell ref="AB67:AD67"/>
    <mergeCell ref="A68:B68"/>
    <mergeCell ref="F68:J68"/>
    <mergeCell ref="K68:L68"/>
    <mergeCell ref="N68:O68"/>
    <mergeCell ref="P68:Q68"/>
    <mergeCell ref="R68:AA68"/>
    <mergeCell ref="AB68:AD68"/>
    <mergeCell ref="A66:E66"/>
    <mergeCell ref="A67:B67"/>
    <mergeCell ref="F67:J67"/>
    <mergeCell ref="K67:L67"/>
    <mergeCell ref="N67:O67"/>
    <mergeCell ref="P67:Q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D4:AD5"/>
    <mergeCell ref="A26:H26"/>
    <mergeCell ref="A53:E53"/>
    <mergeCell ref="A54:M54"/>
    <mergeCell ref="N54:AD54"/>
    <mergeCell ref="A55:B55"/>
    <mergeCell ref="F55:M55"/>
    <mergeCell ref="P55:Q55"/>
    <mergeCell ref="R55:U55"/>
    <mergeCell ref="V55:AD55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1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2585-C01E-4777-BD20-5B383BE4A4DD}">
  <dimension ref="A1:AF88"/>
  <sheetViews>
    <sheetView view="pageBreakPreview" zoomScale="70" zoomScaleNormal="72" zoomScaleSheetLayoutView="70" workbookViewId="0">
      <selection activeCell="R58" sqref="R58:U5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409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238" t="s">
        <v>17</v>
      </c>
      <c r="L5" s="238" t="s">
        <v>18</v>
      </c>
      <c r="M5" s="238" t="s">
        <v>19</v>
      </c>
      <c r="N5" s="23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251</v>
      </c>
      <c r="E6" s="53" t="s">
        <v>399</v>
      </c>
      <c r="F6" s="30" t="s">
        <v>267</v>
      </c>
      <c r="G6" s="12">
        <v>1</v>
      </c>
      <c r="H6" s="13">
        <v>24</v>
      </c>
      <c r="I6" s="7">
        <v>4500</v>
      </c>
      <c r="J6" s="14">
        <v>3723</v>
      </c>
      <c r="K6" s="15">
        <f>L6</f>
        <v>3723</v>
      </c>
      <c r="L6" s="15">
        <f>1558+2165</f>
        <v>3723</v>
      </c>
      <c r="M6" s="15">
        <f t="shared" ref="M6:M22" si="0">L6-N6</f>
        <v>3723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20</v>
      </c>
      <c r="Q6" s="40">
        <f t="shared" ref="Q6:Q22" si="3">SUM(R6:AA6)</f>
        <v>4</v>
      </c>
      <c r="R6" s="7"/>
      <c r="S6" s="6">
        <v>4</v>
      </c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0.83333333333333337</v>
      </c>
      <c r="AD6" s="10">
        <f t="shared" ref="AD6:AD22" si="6">AC6*AB6*(1-O6)</f>
        <v>0.83333333333333337</v>
      </c>
      <c r="AE6" s="36">
        <f t="shared" ref="AE6:AE22" si="7">$AD$23</f>
        <v>0.51960784313725483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228</v>
      </c>
      <c r="E7" s="53" t="s">
        <v>299</v>
      </c>
      <c r="F7" s="30" t="s">
        <v>344</v>
      </c>
      <c r="G7" s="12">
        <v>2</v>
      </c>
      <c r="H7" s="13">
        <v>24</v>
      </c>
      <c r="I7" s="31">
        <v>130000</v>
      </c>
      <c r="J7" s="14">
        <v>13102</v>
      </c>
      <c r="K7" s="15">
        <f>L7+20667+13102</f>
        <v>33769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0.51960784313725483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135</v>
      </c>
      <c r="E8" s="53" t="s">
        <v>214</v>
      </c>
      <c r="F8" s="30" t="s">
        <v>244</v>
      </c>
      <c r="G8" s="33">
        <v>4</v>
      </c>
      <c r="H8" s="35">
        <v>24</v>
      </c>
      <c r="I8" s="7">
        <v>1600</v>
      </c>
      <c r="J8" s="5">
        <v>1788</v>
      </c>
      <c r="K8" s="15">
        <f>L8</f>
        <v>1788</v>
      </c>
      <c r="L8" s="15">
        <f>447*4</f>
        <v>1788</v>
      </c>
      <c r="M8" s="15">
        <f t="shared" si="0"/>
        <v>1788</v>
      </c>
      <c r="N8" s="15">
        <v>0</v>
      </c>
      <c r="O8" s="58">
        <f t="shared" si="1"/>
        <v>0</v>
      </c>
      <c r="P8" s="39">
        <f t="shared" si="2"/>
        <v>4</v>
      </c>
      <c r="Q8" s="40">
        <f t="shared" si="3"/>
        <v>20</v>
      </c>
      <c r="R8" s="7"/>
      <c r="S8" s="6"/>
      <c r="T8" s="16"/>
      <c r="U8" s="16"/>
      <c r="V8" s="17"/>
      <c r="W8" s="5">
        <v>20</v>
      </c>
      <c r="X8" s="16"/>
      <c r="Y8" s="16"/>
      <c r="Z8" s="16"/>
      <c r="AA8" s="18"/>
      <c r="AB8" s="8">
        <f t="shared" si="4"/>
        <v>1</v>
      </c>
      <c r="AC8" s="9">
        <f t="shared" si="5"/>
        <v>0.16666666666666666</v>
      </c>
      <c r="AD8" s="10">
        <f t="shared" si="6"/>
        <v>0.16666666666666666</v>
      </c>
      <c r="AE8" s="36">
        <f t="shared" si="7"/>
        <v>0.51960784313725483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134</v>
      </c>
      <c r="F9" s="30" t="s">
        <v>133</v>
      </c>
      <c r="G9" s="12">
        <v>1</v>
      </c>
      <c r="H9" s="13">
        <v>24</v>
      </c>
      <c r="I9" s="7">
        <v>50000</v>
      </c>
      <c r="J9" s="14">
        <v>4891</v>
      </c>
      <c r="K9" s="15">
        <f>L9+4441+5448+5546+5454+5474+5364+5279+1939+4542</f>
        <v>48378</v>
      </c>
      <c r="L9" s="15">
        <f>2450+2441</f>
        <v>4891</v>
      </c>
      <c r="M9" s="15">
        <f t="shared" si="0"/>
        <v>4891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6">
        <f t="shared" si="7"/>
        <v>0.51960784313725483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332</v>
      </c>
      <c r="E10" s="53" t="s">
        <v>333</v>
      </c>
      <c r="F10" s="30" t="s">
        <v>131</v>
      </c>
      <c r="G10" s="33">
        <v>1</v>
      </c>
      <c r="H10" s="35">
        <v>24</v>
      </c>
      <c r="I10" s="7">
        <v>34000</v>
      </c>
      <c r="J10" s="14">
        <v>6217</v>
      </c>
      <c r="K10" s="15">
        <f>L10+3378+6577</f>
        <v>16172</v>
      </c>
      <c r="L10" s="15">
        <f>3291+2926</f>
        <v>6217</v>
      </c>
      <c r="M10" s="15">
        <f t="shared" si="0"/>
        <v>6217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0.51960784313725483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159</v>
      </c>
      <c r="D11" s="52" t="s">
        <v>130</v>
      </c>
      <c r="E11" s="53" t="s">
        <v>171</v>
      </c>
      <c r="F11" s="30" t="s">
        <v>389</v>
      </c>
      <c r="G11" s="33">
        <v>2</v>
      </c>
      <c r="H11" s="35">
        <v>24</v>
      </c>
      <c r="I11" s="7">
        <v>60000</v>
      </c>
      <c r="J11" s="14">
        <v>13638</v>
      </c>
      <c r="K11" s="15">
        <f>L11+13256</f>
        <v>26894</v>
      </c>
      <c r="L11" s="15">
        <f>3672*2+3147*2</f>
        <v>13638</v>
      </c>
      <c r="M11" s="15">
        <f t="shared" si="0"/>
        <v>13638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0.51960784313725483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144</v>
      </c>
      <c r="F12" s="30" t="s">
        <v>145</v>
      </c>
      <c r="G12" s="12">
        <v>1</v>
      </c>
      <c r="H12" s="13">
        <v>22</v>
      </c>
      <c r="I12" s="31">
        <v>120000</v>
      </c>
      <c r="J12" s="5">
        <v>1083</v>
      </c>
      <c r="K12" s="15">
        <f>L12+4597+5041+5597+5567+5537+3364+5103+4208+3250+4473+4603+3900+3271+5266+5310+2806+4497+4981+4384+3503+3445+4608+5518+1083</f>
        <v>103912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0.51960784313725483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139</v>
      </c>
      <c r="D13" s="52" t="s">
        <v>285</v>
      </c>
      <c r="E13" s="53" t="s">
        <v>167</v>
      </c>
      <c r="F13" s="30" t="s">
        <v>168</v>
      </c>
      <c r="G13" s="33" t="s">
        <v>169</v>
      </c>
      <c r="H13" s="35">
        <v>24</v>
      </c>
      <c r="I13" s="7">
        <v>9000</v>
      </c>
      <c r="J13" s="14">
        <v>2427</v>
      </c>
      <c r="K13" s="15">
        <f>L13+3121+2207+2845</f>
        <v>10600</v>
      </c>
      <c r="L13" s="15">
        <f>1140+1287</f>
        <v>2427</v>
      </c>
      <c r="M13" s="15">
        <f t="shared" si="0"/>
        <v>2427</v>
      </c>
      <c r="N13" s="15">
        <v>0</v>
      </c>
      <c r="O13" s="58">
        <f t="shared" si="1"/>
        <v>0</v>
      </c>
      <c r="P13" s="39">
        <f t="shared" si="2"/>
        <v>17</v>
      </c>
      <c r="Q13" s="40">
        <f t="shared" si="3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0.70833333333333337</v>
      </c>
      <c r="AD13" s="10">
        <f t="shared" si="6"/>
        <v>0.70833333333333337</v>
      </c>
      <c r="AE13" s="36">
        <f t="shared" si="7"/>
        <v>0.51960784313725483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400</v>
      </c>
      <c r="F14" s="30" t="s">
        <v>147</v>
      </c>
      <c r="G14" s="33">
        <v>1</v>
      </c>
      <c r="H14" s="35">
        <v>50</v>
      </c>
      <c r="I14" s="7">
        <v>300</v>
      </c>
      <c r="J14" s="5">
        <v>572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0.51960784313725483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139</v>
      </c>
      <c r="D15" s="52" t="s">
        <v>130</v>
      </c>
      <c r="E15" s="53" t="s">
        <v>369</v>
      </c>
      <c r="F15" s="12" t="s">
        <v>367</v>
      </c>
      <c r="G15" s="12">
        <v>1</v>
      </c>
      <c r="H15" s="13">
        <v>24</v>
      </c>
      <c r="I15" s="31">
        <v>2500</v>
      </c>
      <c r="J15" s="14">
        <v>2700</v>
      </c>
      <c r="K15" s="15">
        <f>L15+2700</f>
        <v>2700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0.51960784313725483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177</v>
      </c>
      <c r="F16" s="30" t="s">
        <v>244</v>
      </c>
      <c r="G16" s="12">
        <v>4</v>
      </c>
      <c r="H16" s="13">
        <v>24</v>
      </c>
      <c r="I16" s="7">
        <v>1600</v>
      </c>
      <c r="J16" s="14">
        <v>2472</v>
      </c>
      <c r="K16" s="15">
        <f t="shared" ref="K16:K21" si="9">L16</f>
        <v>2472</v>
      </c>
      <c r="L16" s="15">
        <f>447*4+171*4</f>
        <v>2472</v>
      </c>
      <c r="M16" s="15">
        <f t="shared" si="0"/>
        <v>2472</v>
      </c>
      <c r="N16" s="15">
        <v>0</v>
      </c>
      <c r="O16" s="58">
        <f t="shared" si="1"/>
        <v>0</v>
      </c>
      <c r="P16" s="39">
        <f t="shared" si="2"/>
        <v>5</v>
      </c>
      <c r="Q16" s="40">
        <f t="shared" si="3"/>
        <v>19</v>
      </c>
      <c r="R16" s="7"/>
      <c r="S16" s="6"/>
      <c r="T16" s="16"/>
      <c r="U16" s="16"/>
      <c r="V16" s="17"/>
      <c r="W16" s="5">
        <v>19</v>
      </c>
      <c r="X16" s="16"/>
      <c r="Y16" s="16"/>
      <c r="Z16" s="16"/>
      <c r="AA16" s="18"/>
      <c r="AB16" s="8">
        <f t="shared" si="4"/>
        <v>1</v>
      </c>
      <c r="AC16" s="9">
        <f t="shared" si="5"/>
        <v>0.20833333333333334</v>
      </c>
      <c r="AD16" s="10">
        <f t="shared" si="6"/>
        <v>0.20833333333333334</v>
      </c>
      <c r="AE16" s="36">
        <f t="shared" si="7"/>
        <v>0.51960784313725483</v>
      </c>
      <c r="AF16" s="84">
        <f t="shared" si="8"/>
        <v>11</v>
      </c>
    </row>
    <row r="17" spans="1:32" ht="30" customHeight="1">
      <c r="A17" s="112">
        <v>11</v>
      </c>
      <c r="B17" s="11" t="s">
        <v>57</v>
      </c>
      <c r="C17" s="34" t="s">
        <v>112</v>
      </c>
      <c r="D17" s="52" t="s">
        <v>135</v>
      </c>
      <c r="E17" s="53" t="s">
        <v>268</v>
      </c>
      <c r="F17" s="30" t="s">
        <v>244</v>
      </c>
      <c r="G17" s="12">
        <v>1</v>
      </c>
      <c r="H17" s="13">
        <v>24</v>
      </c>
      <c r="I17" s="7">
        <v>5000</v>
      </c>
      <c r="J17" s="14">
        <v>5054</v>
      </c>
      <c r="K17" s="15">
        <f t="shared" si="9"/>
        <v>5054</v>
      </c>
      <c r="L17" s="15">
        <f>1520+3534</f>
        <v>5054</v>
      </c>
      <c r="M17" s="15">
        <f t="shared" si="0"/>
        <v>5054</v>
      </c>
      <c r="N17" s="15">
        <v>0</v>
      </c>
      <c r="O17" s="58">
        <f t="shared" si="1"/>
        <v>0</v>
      </c>
      <c r="P17" s="39">
        <f t="shared" si="2"/>
        <v>18</v>
      </c>
      <c r="Q17" s="40">
        <f t="shared" si="3"/>
        <v>6</v>
      </c>
      <c r="R17" s="7"/>
      <c r="S17" s="6">
        <v>6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0.75</v>
      </c>
      <c r="AD17" s="10">
        <f t="shared" si="6"/>
        <v>0.75</v>
      </c>
      <c r="AE17" s="36">
        <f t="shared" si="7"/>
        <v>0.51960784313725483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/>
      <c r="E18" s="53" t="s">
        <v>301</v>
      </c>
      <c r="F18" s="30" t="s">
        <v>128</v>
      </c>
      <c r="G18" s="12">
        <v>1</v>
      </c>
      <c r="H18" s="13">
        <v>24</v>
      </c>
      <c r="I18" s="7">
        <v>5400</v>
      </c>
      <c r="J18" s="14">
        <v>2945</v>
      </c>
      <c r="K18" s="15">
        <f t="shared" si="9"/>
        <v>2945</v>
      </c>
      <c r="L18" s="15">
        <f>2945</f>
        <v>2945</v>
      </c>
      <c r="M18" s="15">
        <f t="shared" si="0"/>
        <v>2945</v>
      </c>
      <c r="N18" s="15">
        <v>0</v>
      </c>
      <c r="O18" s="58">
        <f t="shared" si="1"/>
        <v>0</v>
      </c>
      <c r="P18" s="39">
        <f t="shared" si="2"/>
        <v>16</v>
      </c>
      <c r="Q18" s="40">
        <f t="shared" si="3"/>
        <v>8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8</v>
      </c>
      <c r="AB18" s="8">
        <f t="shared" si="4"/>
        <v>1</v>
      </c>
      <c r="AC18" s="9">
        <f t="shared" si="5"/>
        <v>0.66666666666666663</v>
      </c>
      <c r="AD18" s="10">
        <f t="shared" si="6"/>
        <v>0.66666666666666663</v>
      </c>
      <c r="AE18" s="36">
        <f t="shared" si="7"/>
        <v>0.51960784313725483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402</v>
      </c>
      <c r="D19" s="52" t="s">
        <v>115</v>
      </c>
      <c r="E19" s="53" t="s">
        <v>401</v>
      </c>
      <c r="F19" s="30" t="s">
        <v>147</v>
      </c>
      <c r="G19" s="33">
        <v>1</v>
      </c>
      <c r="H19" s="35">
        <v>24</v>
      </c>
      <c r="I19" s="7">
        <v>500</v>
      </c>
      <c r="J19" s="14">
        <v>1188</v>
      </c>
      <c r="K19" s="15">
        <f t="shared" si="9"/>
        <v>1188</v>
      </c>
      <c r="L19" s="15">
        <f>1188</f>
        <v>1188</v>
      </c>
      <c r="M19" s="15">
        <f t="shared" si="0"/>
        <v>1188</v>
      </c>
      <c r="N19" s="15">
        <v>0</v>
      </c>
      <c r="O19" s="58">
        <f t="shared" si="1"/>
        <v>0</v>
      </c>
      <c r="P19" s="39">
        <f t="shared" si="2"/>
        <v>7</v>
      </c>
      <c r="Q19" s="40">
        <f t="shared" si="3"/>
        <v>17</v>
      </c>
      <c r="R19" s="7"/>
      <c r="S19" s="6">
        <v>5</v>
      </c>
      <c r="T19" s="16"/>
      <c r="U19" s="16"/>
      <c r="V19" s="17"/>
      <c r="W19" s="5">
        <v>12</v>
      </c>
      <c r="X19" s="16"/>
      <c r="Y19" s="16"/>
      <c r="Z19" s="16"/>
      <c r="AA19" s="18"/>
      <c r="AB19" s="8">
        <f t="shared" si="4"/>
        <v>1</v>
      </c>
      <c r="AC19" s="9">
        <f t="shared" si="5"/>
        <v>0.29166666666666669</v>
      </c>
      <c r="AD19" s="10">
        <f t="shared" si="6"/>
        <v>0.29166666666666669</v>
      </c>
      <c r="AE19" s="36">
        <f t="shared" si="7"/>
        <v>0.51960784313725483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115</v>
      </c>
      <c r="E20" s="53" t="s">
        <v>410</v>
      </c>
      <c r="F20" s="30" t="s">
        <v>244</v>
      </c>
      <c r="G20" s="33">
        <v>1</v>
      </c>
      <c r="H20" s="35">
        <v>24</v>
      </c>
      <c r="I20" s="7">
        <v>5500</v>
      </c>
      <c r="J20" s="14">
        <v>2141</v>
      </c>
      <c r="K20" s="15">
        <f t="shared" si="9"/>
        <v>2141</v>
      </c>
      <c r="L20" s="15">
        <f>2141</f>
        <v>2141</v>
      </c>
      <c r="M20" s="15">
        <f t="shared" si="0"/>
        <v>2141</v>
      </c>
      <c r="N20" s="15">
        <v>0</v>
      </c>
      <c r="O20" s="58">
        <f t="shared" si="1"/>
        <v>0</v>
      </c>
      <c r="P20" s="39">
        <f t="shared" si="2"/>
        <v>11</v>
      </c>
      <c r="Q20" s="40">
        <f t="shared" si="3"/>
        <v>13</v>
      </c>
      <c r="R20" s="7"/>
      <c r="S20" s="6">
        <v>13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0.45833333333333331</v>
      </c>
      <c r="AD20" s="10">
        <f t="shared" si="6"/>
        <v>0.45833333333333331</v>
      </c>
      <c r="AE20" s="36">
        <f t="shared" si="7"/>
        <v>0.51960784313725483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120</v>
      </c>
      <c r="D21" s="52"/>
      <c r="E21" s="53" t="s">
        <v>411</v>
      </c>
      <c r="F21" s="30" t="s">
        <v>129</v>
      </c>
      <c r="G21" s="12">
        <v>1</v>
      </c>
      <c r="H21" s="13">
        <v>24</v>
      </c>
      <c r="I21" s="7">
        <v>4100</v>
      </c>
      <c r="J21" s="14">
        <v>4373</v>
      </c>
      <c r="K21" s="15">
        <f t="shared" si="9"/>
        <v>4373</v>
      </c>
      <c r="L21" s="15">
        <f>1616+2757</f>
        <v>4373</v>
      </c>
      <c r="M21" s="15">
        <f t="shared" si="0"/>
        <v>4373</v>
      </c>
      <c r="N21" s="15">
        <v>0</v>
      </c>
      <c r="O21" s="58">
        <f t="shared" si="1"/>
        <v>0</v>
      </c>
      <c r="P21" s="39">
        <f t="shared" si="2"/>
        <v>20</v>
      </c>
      <c r="Q21" s="40">
        <f t="shared" si="3"/>
        <v>4</v>
      </c>
      <c r="R21" s="7"/>
      <c r="S21" s="6"/>
      <c r="T21" s="16"/>
      <c r="U21" s="16">
        <v>4</v>
      </c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0.83333333333333337</v>
      </c>
      <c r="AD21" s="10">
        <f t="shared" si="6"/>
        <v>0.83333333333333337</v>
      </c>
      <c r="AE21" s="36">
        <f t="shared" si="7"/>
        <v>0.51960784313725483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346</v>
      </c>
      <c r="F22" s="12" t="s">
        <v>114</v>
      </c>
      <c r="G22" s="12">
        <v>3</v>
      </c>
      <c r="H22" s="35">
        <v>20</v>
      </c>
      <c r="I22" s="7">
        <v>1000000</v>
      </c>
      <c r="J22" s="14">
        <v>69164</v>
      </c>
      <c r="K22" s="15">
        <f>L22+28316+74820+71924</f>
        <v>244224</v>
      </c>
      <c r="L22" s="15">
        <f>7884*4+9407*4</f>
        <v>69164</v>
      </c>
      <c r="M22" s="15">
        <f t="shared" si="0"/>
        <v>69164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0.51960784313725483</v>
      </c>
      <c r="AF22" s="84">
        <f t="shared" si="8"/>
        <v>16</v>
      </c>
    </row>
    <row r="23" spans="1:32" ht="31.5" customHeight="1" thickBot="1">
      <c r="A23" s="408" t="s">
        <v>34</v>
      </c>
      <c r="B23" s="409"/>
      <c r="C23" s="409"/>
      <c r="D23" s="409"/>
      <c r="E23" s="409"/>
      <c r="F23" s="409"/>
      <c r="G23" s="409"/>
      <c r="H23" s="410"/>
      <c r="I23" s="22">
        <f t="shared" ref="I23:N23" si="10">SUM(I6:I22)</f>
        <v>1434000</v>
      </c>
      <c r="J23" s="19">
        <f t="shared" si="10"/>
        <v>137478</v>
      </c>
      <c r="K23" s="20">
        <f t="shared" si="10"/>
        <v>510333</v>
      </c>
      <c r="L23" s="21">
        <f t="shared" si="10"/>
        <v>120021</v>
      </c>
      <c r="M23" s="20">
        <f t="shared" si="10"/>
        <v>120021</v>
      </c>
      <c r="N23" s="21">
        <f t="shared" si="10"/>
        <v>0</v>
      </c>
      <c r="O23" s="41">
        <f t="shared" si="1"/>
        <v>0</v>
      </c>
      <c r="P23" s="42">
        <f t="shared" ref="P23:AA23" si="11">SUM(P6:P22)</f>
        <v>212</v>
      </c>
      <c r="Q23" s="43">
        <f t="shared" si="11"/>
        <v>196</v>
      </c>
      <c r="R23" s="23">
        <f t="shared" si="11"/>
        <v>0</v>
      </c>
      <c r="S23" s="24">
        <f t="shared" si="11"/>
        <v>85</v>
      </c>
      <c r="T23" s="24">
        <f t="shared" si="11"/>
        <v>0</v>
      </c>
      <c r="U23" s="24">
        <f t="shared" si="11"/>
        <v>4</v>
      </c>
      <c r="V23" s="25">
        <f t="shared" si="11"/>
        <v>0</v>
      </c>
      <c r="W23" s="26">
        <f t="shared" si="11"/>
        <v>75</v>
      </c>
      <c r="X23" s="27">
        <f t="shared" si="11"/>
        <v>0</v>
      </c>
      <c r="Y23" s="27">
        <f t="shared" si="11"/>
        <v>0</v>
      </c>
      <c r="Z23" s="27">
        <f t="shared" si="11"/>
        <v>0</v>
      </c>
      <c r="AA23" s="27">
        <f t="shared" si="11"/>
        <v>32</v>
      </c>
      <c r="AB23" s="28">
        <f>AVERAGE(AB6:AB22)</f>
        <v>0.76470588235294112</v>
      </c>
      <c r="AC23" s="4">
        <f>AVERAGE(AC6:AC22)</f>
        <v>0.51960784313725483</v>
      </c>
      <c r="AD23" s="4">
        <f>AVERAGE(AD6:AD22)</f>
        <v>0.51960784313725483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11" t="s">
        <v>45</v>
      </c>
      <c r="B50" s="411"/>
      <c r="C50" s="411"/>
      <c r="D50" s="411"/>
      <c r="E50" s="411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12" t="s">
        <v>412</v>
      </c>
      <c r="B51" s="413"/>
      <c r="C51" s="413"/>
      <c r="D51" s="413"/>
      <c r="E51" s="413"/>
      <c r="F51" s="413"/>
      <c r="G51" s="413"/>
      <c r="H51" s="413"/>
      <c r="I51" s="413"/>
      <c r="J51" s="413"/>
      <c r="K51" s="413"/>
      <c r="L51" s="413"/>
      <c r="M51" s="414"/>
      <c r="N51" s="415" t="s">
        <v>415</v>
      </c>
      <c r="O51" s="416"/>
      <c r="P51" s="416"/>
      <c r="Q51" s="416"/>
      <c r="R51" s="416"/>
      <c r="S51" s="416"/>
      <c r="T51" s="416"/>
      <c r="U51" s="416"/>
      <c r="V51" s="416"/>
      <c r="W51" s="416"/>
      <c r="X51" s="416"/>
      <c r="Y51" s="416"/>
      <c r="Z51" s="416"/>
      <c r="AA51" s="416"/>
      <c r="AB51" s="416"/>
      <c r="AC51" s="416"/>
      <c r="AD51" s="417"/>
    </row>
    <row r="52" spans="1:32" ht="27" customHeight="1">
      <c r="A52" s="418" t="s">
        <v>2</v>
      </c>
      <c r="B52" s="419"/>
      <c r="C52" s="239" t="s">
        <v>46</v>
      </c>
      <c r="D52" s="239" t="s">
        <v>47</v>
      </c>
      <c r="E52" s="239" t="s">
        <v>107</v>
      </c>
      <c r="F52" s="420" t="s">
        <v>106</v>
      </c>
      <c r="G52" s="421"/>
      <c r="H52" s="421"/>
      <c r="I52" s="421"/>
      <c r="J52" s="421"/>
      <c r="K52" s="421"/>
      <c r="L52" s="421"/>
      <c r="M52" s="422"/>
      <c r="N52" s="67" t="s">
        <v>110</v>
      </c>
      <c r="O52" s="239" t="s">
        <v>46</v>
      </c>
      <c r="P52" s="420" t="s">
        <v>47</v>
      </c>
      <c r="Q52" s="423"/>
      <c r="R52" s="420" t="s">
        <v>38</v>
      </c>
      <c r="S52" s="421"/>
      <c r="T52" s="421"/>
      <c r="U52" s="423"/>
      <c r="V52" s="420" t="s">
        <v>48</v>
      </c>
      <c r="W52" s="421"/>
      <c r="X52" s="421"/>
      <c r="Y52" s="421"/>
      <c r="Z52" s="421"/>
      <c r="AA52" s="421"/>
      <c r="AB52" s="421"/>
      <c r="AC52" s="421"/>
      <c r="AD52" s="422"/>
    </row>
    <row r="53" spans="1:32" ht="27" customHeight="1">
      <c r="A53" s="434" t="s">
        <v>112</v>
      </c>
      <c r="B53" s="435"/>
      <c r="C53" s="241" t="s">
        <v>250</v>
      </c>
      <c r="D53" s="241" t="s">
        <v>251</v>
      </c>
      <c r="E53" s="241" t="s">
        <v>399</v>
      </c>
      <c r="F53" s="436" t="s">
        <v>413</v>
      </c>
      <c r="G53" s="437"/>
      <c r="H53" s="437"/>
      <c r="I53" s="437"/>
      <c r="J53" s="437"/>
      <c r="K53" s="437"/>
      <c r="L53" s="437"/>
      <c r="M53" s="438"/>
      <c r="N53" s="240" t="s">
        <v>139</v>
      </c>
      <c r="O53" s="247" t="s">
        <v>200</v>
      </c>
      <c r="P53" s="439" t="s">
        <v>115</v>
      </c>
      <c r="Q53" s="440"/>
      <c r="R53" s="439" t="s">
        <v>261</v>
      </c>
      <c r="S53" s="441"/>
      <c r="T53" s="441"/>
      <c r="U53" s="440"/>
      <c r="V53" s="442" t="s">
        <v>124</v>
      </c>
      <c r="W53" s="442"/>
      <c r="X53" s="442"/>
      <c r="Y53" s="442"/>
      <c r="Z53" s="442"/>
      <c r="AA53" s="442"/>
      <c r="AB53" s="442"/>
      <c r="AC53" s="442"/>
      <c r="AD53" s="443"/>
    </row>
    <row r="54" spans="1:32" ht="27" customHeight="1">
      <c r="A54" s="434" t="s">
        <v>139</v>
      </c>
      <c r="B54" s="435"/>
      <c r="C54" s="241" t="s">
        <v>127</v>
      </c>
      <c r="D54" s="241" t="s">
        <v>285</v>
      </c>
      <c r="E54" s="241" t="s">
        <v>183</v>
      </c>
      <c r="F54" s="436" t="s">
        <v>297</v>
      </c>
      <c r="G54" s="437"/>
      <c r="H54" s="437"/>
      <c r="I54" s="437"/>
      <c r="J54" s="437"/>
      <c r="K54" s="437"/>
      <c r="L54" s="437"/>
      <c r="M54" s="438"/>
      <c r="N54" s="240" t="s">
        <v>118</v>
      </c>
      <c r="O54" s="247" t="s">
        <v>136</v>
      </c>
      <c r="P54" s="439" t="s">
        <v>115</v>
      </c>
      <c r="Q54" s="440"/>
      <c r="R54" s="439" t="s">
        <v>144</v>
      </c>
      <c r="S54" s="441"/>
      <c r="T54" s="441"/>
      <c r="U54" s="440"/>
      <c r="V54" s="442" t="s">
        <v>124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118</v>
      </c>
      <c r="B55" s="435"/>
      <c r="C55" s="241" t="s">
        <v>136</v>
      </c>
      <c r="D55" s="241" t="s">
        <v>115</v>
      </c>
      <c r="E55" s="241" t="s">
        <v>144</v>
      </c>
      <c r="F55" s="436" t="s">
        <v>414</v>
      </c>
      <c r="G55" s="437"/>
      <c r="H55" s="437"/>
      <c r="I55" s="437"/>
      <c r="J55" s="437"/>
      <c r="K55" s="437"/>
      <c r="L55" s="437"/>
      <c r="M55" s="438"/>
      <c r="N55" s="240" t="s">
        <v>112</v>
      </c>
      <c r="O55" s="247" t="s">
        <v>250</v>
      </c>
      <c r="P55" s="439" t="s">
        <v>251</v>
      </c>
      <c r="Q55" s="440"/>
      <c r="R55" s="439" t="s">
        <v>399</v>
      </c>
      <c r="S55" s="441"/>
      <c r="T55" s="441"/>
      <c r="U55" s="440"/>
      <c r="V55" s="442" t="s">
        <v>124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112</v>
      </c>
      <c r="B56" s="435"/>
      <c r="C56" s="241" t="s">
        <v>190</v>
      </c>
      <c r="D56" s="241" t="s">
        <v>216</v>
      </c>
      <c r="E56" s="241" t="s">
        <v>214</v>
      </c>
      <c r="F56" s="436" t="s">
        <v>138</v>
      </c>
      <c r="G56" s="437"/>
      <c r="H56" s="437"/>
      <c r="I56" s="437"/>
      <c r="J56" s="437"/>
      <c r="K56" s="437"/>
      <c r="L56" s="437"/>
      <c r="M56" s="438"/>
      <c r="N56" s="240" t="s">
        <v>112</v>
      </c>
      <c r="O56" s="247" t="s">
        <v>127</v>
      </c>
      <c r="P56" s="439" t="s">
        <v>115</v>
      </c>
      <c r="Q56" s="440"/>
      <c r="R56" s="439" t="s">
        <v>400</v>
      </c>
      <c r="S56" s="441"/>
      <c r="T56" s="441"/>
      <c r="U56" s="440"/>
      <c r="V56" s="442" t="s">
        <v>124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402</v>
      </c>
      <c r="B57" s="435"/>
      <c r="C57" s="241" t="s">
        <v>200</v>
      </c>
      <c r="D57" s="241" t="s">
        <v>115</v>
      </c>
      <c r="E57" s="241" t="s">
        <v>401</v>
      </c>
      <c r="F57" s="436" t="s">
        <v>312</v>
      </c>
      <c r="G57" s="437"/>
      <c r="H57" s="437"/>
      <c r="I57" s="437"/>
      <c r="J57" s="437"/>
      <c r="K57" s="437"/>
      <c r="L57" s="437"/>
      <c r="M57" s="438"/>
      <c r="N57" s="240"/>
      <c r="O57" s="247"/>
      <c r="P57" s="439"/>
      <c r="Q57" s="440"/>
      <c r="R57" s="439"/>
      <c r="S57" s="441"/>
      <c r="T57" s="441"/>
      <c r="U57" s="440"/>
      <c r="V57" s="442"/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112</v>
      </c>
      <c r="B58" s="435"/>
      <c r="C58" s="241" t="s">
        <v>141</v>
      </c>
      <c r="D58" s="241" t="s">
        <v>115</v>
      </c>
      <c r="E58" s="241" t="s">
        <v>177</v>
      </c>
      <c r="F58" s="436" t="s">
        <v>138</v>
      </c>
      <c r="G58" s="437"/>
      <c r="H58" s="437"/>
      <c r="I58" s="437"/>
      <c r="J58" s="437"/>
      <c r="K58" s="437"/>
      <c r="L58" s="437"/>
      <c r="M58" s="438"/>
      <c r="N58" s="240"/>
      <c r="O58" s="247"/>
      <c r="P58" s="439"/>
      <c r="Q58" s="440"/>
      <c r="R58" s="439"/>
      <c r="S58" s="441"/>
      <c r="T58" s="441"/>
      <c r="U58" s="440"/>
      <c r="V58" s="442"/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 t="s">
        <v>118</v>
      </c>
      <c r="B59" s="435"/>
      <c r="C59" s="241" t="s">
        <v>385</v>
      </c>
      <c r="D59" s="241" t="s">
        <v>216</v>
      </c>
      <c r="E59" s="241" t="s">
        <v>384</v>
      </c>
      <c r="F59" s="436" t="s">
        <v>297</v>
      </c>
      <c r="G59" s="437"/>
      <c r="H59" s="437"/>
      <c r="I59" s="437"/>
      <c r="J59" s="437"/>
      <c r="K59" s="437"/>
      <c r="L59" s="437"/>
      <c r="M59" s="438"/>
      <c r="N59" s="240"/>
      <c r="O59" s="247"/>
      <c r="P59" s="439"/>
      <c r="Q59" s="440"/>
      <c r="R59" s="439"/>
      <c r="S59" s="441"/>
      <c r="T59" s="441"/>
      <c r="U59" s="440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57" t="s">
        <v>112</v>
      </c>
      <c r="B60" s="458"/>
      <c r="C60" s="245" t="s">
        <v>141</v>
      </c>
      <c r="D60" s="245" t="s">
        <v>216</v>
      </c>
      <c r="E60" s="241" t="s">
        <v>268</v>
      </c>
      <c r="F60" s="436" t="s">
        <v>138</v>
      </c>
      <c r="G60" s="437"/>
      <c r="H60" s="437"/>
      <c r="I60" s="437"/>
      <c r="J60" s="437"/>
      <c r="K60" s="437"/>
      <c r="L60" s="437"/>
      <c r="M60" s="438"/>
      <c r="N60" s="240"/>
      <c r="O60" s="247"/>
      <c r="P60" s="439"/>
      <c r="Q60" s="440"/>
      <c r="R60" s="435"/>
      <c r="S60" s="435"/>
      <c r="T60" s="435"/>
      <c r="U60" s="435"/>
      <c r="V60" s="442"/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57" t="s">
        <v>120</v>
      </c>
      <c r="B61" s="458"/>
      <c r="C61" s="245" t="s">
        <v>198</v>
      </c>
      <c r="D61" s="245"/>
      <c r="E61" s="241" t="s">
        <v>301</v>
      </c>
      <c r="F61" s="436" t="s">
        <v>138</v>
      </c>
      <c r="G61" s="437"/>
      <c r="H61" s="437"/>
      <c r="I61" s="437"/>
      <c r="J61" s="437"/>
      <c r="K61" s="437"/>
      <c r="L61" s="437"/>
      <c r="M61" s="438"/>
      <c r="N61" s="240"/>
      <c r="O61" s="247"/>
      <c r="P61" s="435"/>
      <c r="Q61" s="435"/>
      <c r="R61" s="435"/>
      <c r="S61" s="435"/>
      <c r="T61" s="435"/>
      <c r="U61" s="435"/>
      <c r="V61" s="442"/>
      <c r="W61" s="442"/>
      <c r="X61" s="442"/>
      <c r="Y61" s="442"/>
      <c r="Z61" s="442"/>
      <c r="AA61" s="442"/>
      <c r="AB61" s="442"/>
      <c r="AC61" s="442"/>
      <c r="AD61" s="443"/>
      <c r="AF61" s="84">
        <f>8*3000</f>
        <v>24000</v>
      </c>
    </row>
    <row r="62" spans="1:32" ht="27" customHeight="1" thickBot="1">
      <c r="A62" s="444" t="s">
        <v>120</v>
      </c>
      <c r="B62" s="445"/>
      <c r="C62" s="242" t="s">
        <v>208</v>
      </c>
      <c r="D62" s="243"/>
      <c r="E62" s="242" t="s">
        <v>411</v>
      </c>
      <c r="F62" s="446" t="s">
        <v>138</v>
      </c>
      <c r="G62" s="447"/>
      <c r="H62" s="447"/>
      <c r="I62" s="447"/>
      <c r="J62" s="447"/>
      <c r="K62" s="447"/>
      <c r="L62" s="447"/>
      <c r="M62" s="448"/>
      <c r="N62" s="111"/>
      <c r="O62" s="103"/>
      <c r="P62" s="449"/>
      <c r="Q62" s="449"/>
      <c r="R62" s="449"/>
      <c r="S62" s="449"/>
      <c r="T62" s="449"/>
      <c r="U62" s="449"/>
      <c r="V62" s="450"/>
      <c r="W62" s="450"/>
      <c r="X62" s="450"/>
      <c r="Y62" s="450"/>
      <c r="Z62" s="450"/>
      <c r="AA62" s="450"/>
      <c r="AB62" s="450"/>
      <c r="AC62" s="450"/>
      <c r="AD62" s="451"/>
      <c r="AF62" s="84">
        <f>16*3000</f>
        <v>48000</v>
      </c>
    </row>
    <row r="63" spans="1:32" ht="27.75" thickBot="1">
      <c r="A63" s="452" t="s">
        <v>416</v>
      </c>
      <c r="B63" s="452"/>
      <c r="C63" s="452"/>
      <c r="D63" s="452"/>
      <c r="E63" s="45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3" t="s">
        <v>111</v>
      </c>
      <c r="B64" s="454"/>
      <c r="C64" s="244" t="s">
        <v>2</v>
      </c>
      <c r="D64" s="244" t="s">
        <v>37</v>
      </c>
      <c r="E64" s="244" t="s">
        <v>3</v>
      </c>
      <c r="F64" s="454" t="s">
        <v>109</v>
      </c>
      <c r="G64" s="454"/>
      <c r="H64" s="454"/>
      <c r="I64" s="454"/>
      <c r="J64" s="454"/>
      <c r="K64" s="454" t="s">
        <v>39</v>
      </c>
      <c r="L64" s="454"/>
      <c r="M64" s="244" t="s">
        <v>40</v>
      </c>
      <c r="N64" s="454" t="s">
        <v>41</v>
      </c>
      <c r="O64" s="454"/>
      <c r="P64" s="455" t="s">
        <v>42</v>
      </c>
      <c r="Q64" s="456"/>
      <c r="R64" s="455" t="s">
        <v>43</v>
      </c>
      <c r="S64" s="459"/>
      <c r="T64" s="459"/>
      <c r="U64" s="459"/>
      <c r="V64" s="459"/>
      <c r="W64" s="459"/>
      <c r="X64" s="459"/>
      <c r="Y64" s="459"/>
      <c r="Z64" s="459"/>
      <c r="AA64" s="456"/>
      <c r="AB64" s="454" t="s">
        <v>44</v>
      </c>
      <c r="AC64" s="454"/>
      <c r="AD64" s="460"/>
      <c r="AF64" s="84">
        <f>SUM(AF61:AF63)</f>
        <v>96000</v>
      </c>
    </row>
    <row r="65" spans="1:32" ht="25.5" customHeight="1">
      <c r="A65" s="461">
        <v>1</v>
      </c>
      <c r="B65" s="462"/>
      <c r="C65" s="104" t="s">
        <v>112</v>
      </c>
      <c r="D65" s="249"/>
      <c r="E65" s="246" t="s">
        <v>212</v>
      </c>
      <c r="F65" s="463" t="s">
        <v>417</v>
      </c>
      <c r="G65" s="464"/>
      <c r="H65" s="464"/>
      <c r="I65" s="464"/>
      <c r="J65" s="465"/>
      <c r="K65" s="466" t="s">
        <v>132</v>
      </c>
      <c r="L65" s="466"/>
      <c r="M65" s="51" t="s">
        <v>230</v>
      </c>
      <c r="N65" s="467" t="s">
        <v>140</v>
      </c>
      <c r="O65" s="467"/>
      <c r="P65" s="468">
        <v>100</v>
      </c>
      <c r="Q65" s="468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66"/>
      <c r="AC65" s="466"/>
      <c r="AD65" s="469"/>
      <c r="AF65" s="50"/>
    </row>
    <row r="66" spans="1:32" ht="25.5" customHeight="1">
      <c r="A66" s="461">
        <v>2</v>
      </c>
      <c r="B66" s="462"/>
      <c r="C66" s="104" t="s">
        <v>118</v>
      </c>
      <c r="D66" s="249"/>
      <c r="E66" s="246" t="s">
        <v>212</v>
      </c>
      <c r="F66" s="463" t="s">
        <v>418</v>
      </c>
      <c r="G66" s="464"/>
      <c r="H66" s="464"/>
      <c r="I66" s="464"/>
      <c r="J66" s="465"/>
      <c r="K66" s="466" t="s">
        <v>419</v>
      </c>
      <c r="L66" s="466"/>
      <c r="M66" s="51" t="s">
        <v>362</v>
      </c>
      <c r="N66" s="467" t="s">
        <v>198</v>
      </c>
      <c r="O66" s="467"/>
      <c r="P66" s="468">
        <v>50</v>
      </c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3</v>
      </c>
      <c r="B67" s="462"/>
      <c r="C67" s="104"/>
      <c r="D67" s="249"/>
      <c r="E67" s="246"/>
      <c r="F67" s="463"/>
      <c r="G67" s="464"/>
      <c r="H67" s="464"/>
      <c r="I67" s="464"/>
      <c r="J67" s="465"/>
      <c r="K67" s="466"/>
      <c r="L67" s="466"/>
      <c r="M67" s="51"/>
      <c r="N67" s="467"/>
      <c r="O67" s="467"/>
      <c r="P67" s="468"/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4</v>
      </c>
      <c r="B68" s="462"/>
      <c r="C68" s="104"/>
      <c r="D68" s="249"/>
      <c r="E68" s="246"/>
      <c r="F68" s="463"/>
      <c r="G68" s="464"/>
      <c r="H68" s="464"/>
      <c r="I68" s="464"/>
      <c r="J68" s="465"/>
      <c r="K68" s="466"/>
      <c r="L68" s="466"/>
      <c r="M68" s="51"/>
      <c r="N68" s="467"/>
      <c r="O68" s="467"/>
      <c r="P68" s="468"/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5</v>
      </c>
      <c r="B69" s="462"/>
      <c r="C69" s="104"/>
      <c r="D69" s="249"/>
      <c r="E69" s="246"/>
      <c r="F69" s="463"/>
      <c r="G69" s="464"/>
      <c r="H69" s="464"/>
      <c r="I69" s="464"/>
      <c r="J69" s="465"/>
      <c r="K69" s="466"/>
      <c r="L69" s="466"/>
      <c r="M69" s="51"/>
      <c r="N69" s="467"/>
      <c r="O69" s="467"/>
      <c r="P69" s="468"/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6</v>
      </c>
      <c r="B70" s="462"/>
      <c r="C70" s="104"/>
      <c r="D70" s="249"/>
      <c r="E70" s="246"/>
      <c r="F70" s="463"/>
      <c r="G70" s="464"/>
      <c r="H70" s="464"/>
      <c r="I70" s="464"/>
      <c r="J70" s="465"/>
      <c r="K70" s="466"/>
      <c r="L70" s="466"/>
      <c r="M70" s="51"/>
      <c r="N70" s="467"/>
      <c r="O70" s="467"/>
      <c r="P70" s="468"/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7</v>
      </c>
      <c r="B71" s="462"/>
      <c r="C71" s="104"/>
      <c r="D71" s="249"/>
      <c r="E71" s="246"/>
      <c r="F71" s="463"/>
      <c r="G71" s="464"/>
      <c r="H71" s="464"/>
      <c r="I71" s="464"/>
      <c r="J71" s="465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8</v>
      </c>
      <c r="B72" s="462"/>
      <c r="C72" s="104"/>
      <c r="D72" s="249"/>
      <c r="E72" s="246"/>
      <c r="F72" s="470"/>
      <c r="G72" s="466"/>
      <c r="H72" s="466"/>
      <c r="I72" s="466"/>
      <c r="J72" s="466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9</v>
      </c>
      <c r="B73" s="462"/>
      <c r="C73" s="104"/>
      <c r="D73" s="249"/>
      <c r="E73" s="246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10</v>
      </c>
      <c r="B74" s="462"/>
      <c r="C74" s="104"/>
      <c r="D74" s="249"/>
      <c r="E74" s="246"/>
      <c r="F74" s="470"/>
      <c r="G74" s="466"/>
      <c r="H74" s="466"/>
      <c r="I74" s="466"/>
      <c r="J74" s="466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6.25" customHeight="1" thickBot="1">
      <c r="A75" s="471" t="s">
        <v>420</v>
      </c>
      <c r="B75" s="471"/>
      <c r="C75" s="471"/>
      <c r="D75" s="471"/>
      <c r="E75" s="471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2" t="s">
        <v>126</v>
      </c>
      <c r="B76" s="473"/>
      <c r="C76" s="248" t="s">
        <v>2</v>
      </c>
      <c r="D76" s="248" t="s">
        <v>37</v>
      </c>
      <c r="E76" s="248" t="s">
        <v>125</v>
      </c>
      <c r="F76" s="473" t="s">
        <v>38</v>
      </c>
      <c r="G76" s="473"/>
      <c r="H76" s="473"/>
      <c r="I76" s="473"/>
      <c r="J76" s="473"/>
      <c r="K76" s="474" t="s">
        <v>58</v>
      </c>
      <c r="L76" s="475"/>
      <c r="M76" s="475"/>
      <c r="N76" s="475"/>
      <c r="O76" s="475"/>
      <c r="P76" s="475"/>
      <c r="Q76" s="475"/>
      <c r="R76" s="475"/>
      <c r="S76" s="476"/>
      <c r="T76" s="473" t="s">
        <v>49</v>
      </c>
      <c r="U76" s="473"/>
      <c r="V76" s="474" t="s">
        <v>50</v>
      </c>
      <c r="W76" s="476"/>
      <c r="X76" s="475" t="s">
        <v>51</v>
      </c>
      <c r="Y76" s="475"/>
      <c r="Z76" s="475"/>
      <c r="AA76" s="475"/>
      <c r="AB76" s="475"/>
      <c r="AC76" s="475"/>
      <c r="AD76" s="477"/>
      <c r="AF76" s="50"/>
    </row>
    <row r="77" spans="1:32" ht="33.75" customHeight="1">
      <c r="A77" s="486">
        <v>1</v>
      </c>
      <c r="B77" s="487"/>
      <c r="C77" s="250" t="s">
        <v>112</v>
      </c>
      <c r="D77" s="250"/>
      <c r="E77" s="65" t="s">
        <v>117</v>
      </c>
      <c r="F77" s="488" t="s">
        <v>116</v>
      </c>
      <c r="G77" s="489"/>
      <c r="H77" s="489"/>
      <c r="I77" s="489"/>
      <c r="J77" s="490"/>
      <c r="K77" s="491" t="s">
        <v>119</v>
      </c>
      <c r="L77" s="492"/>
      <c r="M77" s="492"/>
      <c r="N77" s="492"/>
      <c r="O77" s="492"/>
      <c r="P77" s="492"/>
      <c r="Q77" s="492"/>
      <c r="R77" s="492"/>
      <c r="S77" s="493"/>
      <c r="T77" s="494">
        <v>44118</v>
      </c>
      <c r="U77" s="495"/>
      <c r="V77" s="496"/>
      <c r="W77" s="496"/>
      <c r="X77" s="497"/>
      <c r="Y77" s="497"/>
      <c r="Z77" s="497"/>
      <c r="AA77" s="497"/>
      <c r="AB77" s="497"/>
      <c r="AC77" s="497"/>
      <c r="AD77" s="498"/>
      <c r="AF77" s="50"/>
    </row>
    <row r="78" spans="1:32" ht="30" customHeight="1">
      <c r="A78" s="478">
        <f>A77+1</f>
        <v>2</v>
      </c>
      <c r="B78" s="479"/>
      <c r="C78" s="249"/>
      <c r="D78" s="249"/>
      <c r="E78" s="32"/>
      <c r="F78" s="479"/>
      <c r="G78" s="479"/>
      <c r="H78" s="479"/>
      <c r="I78" s="479"/>
      <c r="J78" s="479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78">
        <f t="shared" ref="A79:A83" si="12">A78+1</f>
        <v>3</v>
      </c>
      <c r="B79" s="479"/>
      <c r="C79" s="249"/>
      <c r="D79" s="249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si="12"/>
        <v>4</v>
      </c>
      <c r="B80" s="479"/>
      <c r="C80" s="249"/>
      <c r="D80" s="249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12"/>
        <v>5</v>
      </c>
      <c r="B81" s="479"/>
      <c r="C81" s="249"/>
      <c r="D81" s="249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12"/>
        <v>6</v>
      </c>
      <c r="B82" s="479"/>
      <c r="C82" s="249"/>
      <c r="D82" s="249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12"/>
        <v>7</v>
      </c>
      <c r="B83" s="479"/>
      <c r="C83" s="249"/>
      <c r="D83" s="249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1" t="s">
        <v>421</v>
      </c>
      <c r="B84" s="471"/>
      <c r="C84" s="471"/>
      <c r="D84" s="471"/>
      <c r="E84" s="471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2" t="s">
        <v>111</v>
      </c>
      <c r="B85" s="473"/>
      <c r="C85" s="499" t="s">
        <v>52</v>
      </c>
      <c r="D85" s="499"/>
      <c r="E85" s="499" t="s">
        <v>53</v>
      </c>
      <c r="F85" s="499"/>
      <c r="G85" s="499"/>
      <c r="H85" s="499"/>
      <c r="I85" s="499"/>
      <c r="J85" s="499"/>
      <c r="K85" s="499" t="s">
        <v>54</v>
      </c>
      <c r="L85" s="499"/>
      <c r="M85" s="499"/>
      <c r="N85" s="499"/>
      <c r="O85" s="499"/>
      <c r="P85" s="499"/>
      <c r="Q85" s="499"/>
      <c r="R85" s="499"/>
      <c r="S85" s="499"/>
      <c r="T85" s="499" t="s">
        <v>55</v>
      </c>
      <c r="U85" s="499"/>
      <c r="V85" s="499" t="s">
        <v>56</v>
      </c>
      <c r="W85" s="499"/>
      <c r="X85" s="499"/>
      <c r="Y85" s="499" t="s">
        <v>51</v>
      </c>
      <c r="Z85" s="499"/>
      <c r="AA85" s="499"/>
      <c r="AB85" s="499"/>
      <c r="AC85" s="499"/>
      <c r="AD85" s="500"/>
      <c r="AF85" s="50"/>
    </row>
    <row r="86" spans="1:32" ht="30.75" customHeight="1">
      <c r="A86" s="486">
        <v>1</v>
      </c>
      <c r="B86" s="487"/>
      <c r="C86" s="501">
        <v>9</v>
      </c>
      <c r="D86" s="501"/>
      <c r="E86" s="501" t="s">
        <v>149</v>
      </c>
      <c r="F86" s="501"/>
      <c r="G86" s="501"/>
      <c r="H86" s="501"/>
      <c r="I86" s="501"/>
      <c r="J86" s="501"/>
      <c r="K86" s="501" t="s">
        <v>150</v>
      </c>
      <c r="L86" s="501"/>
      <c r="M86" s="501"/>
      <c r="N86" s="501"/>
      <c r="O86" s="501"/>
      <c r="P86" s="501"/>
      <c r="Q86" s="501"/>
      <c r="R86" s="501"/>
      <c r="S86" s="501"/>
      <c r="T86" s="501" t="s">
        <v>151</v>
      </c>
      <c r="U86" s="501"/>
      <c r="V86" s="502" t="s">
        <v>265</v>
      </c>
      <c r="W86" s="502"/>
      <c r="X86" s="502"/>
      <c r="Y86" s="503" t="s">
        <v>239</v>
      </c>
      <c r="Z86" s="503"/>
      <c r="AA86" s="503"/>
      <c r="AB86" s="503"/>
      <c r="AC86" s="503"/>
      <c r="AD86" s="504"/>
      <c r="AF86" s="50"/>
    </row>
    <row r="87" spans="1:32" ht="30.75" customHeight="1">
      <c r="A87" s="478">
        <v>2</v>
      </c>
      <c r="B87" s="479"/>
      <c r="C87" s="512"/>
      <c r="D87" s="512"/>
      <c r="E87" s="512"/>
      <c r="F87" s="512"/>
      <c r="G87" s="512"/>
      <c r="H87" s="512"/>
      <c r="I87" s="512"/>
      <c r="J87" s="512"/>
      <c r="K87" s="512"/>
      <c r="L87" s="512"/>
      <c r="M87" s="512"/>
      <c r="N87" s="512"/>
      <c r="O87" s="512"/>
      <c r="P87" s="512"/>
      <c r="Q87" s="512"/>
      <c r="R87" s="512"/>
      <c r="S87" s="512"/>
      <c r="T87" s="513"/>
      <c r="U87" s="513"/>
      <c r="V87" s="514"/>
      <c r="W87" s="514"/>
      <c r="X87" s="514"/>
      <c r="Y87" s="505"/>
      <c r="Z87" s="505"/>
      <c r="AA87" s="505"/>
      <c r="AB87" s="505"/>
      <c r="AC87" s="505"/>
      <c r="AD87" s="506"/>
      <c r="AF87" s="50"/>
    </row>
    <row r="88" spans="1:32" ht="30.75" customHeight="1" thickBot="1">
      <c r="A88" s="507">
        <v>3</v>
      </c>
      <c r="B88" s="508"/>
      <c r="C88" s="509"/>
      <c r="D88" s="509"/>
      <c r="E88" s="509"/>
      <c r="F88" s="509"/>
      <c r="G88" s="509"/>
      <c r="H88" s="509"/>
      <c r="I88" s="509"/>
      <c r="J88" s="509"/>
      <c r="K88" s="509"/>
      <c r="L88" s="509"/>
      <c r="M88" s="509"/>
      <c r="N88" s="509"/>
      <c r="O88" s="509"/>
      <c r="P88" s="509"/>
      <c r="Q88" s="509"/>
      <c r="R88" s="509"/>
      <c r="S88" s="509"/>
      <c r="T88" s="509"/>
      <c r="U88" s="509"/>
      <c r="V88" s="509"/>
      <c r="W88" s="509"/>
      <c r="X88" s="509"/>
      <c r="Y88" s="510"/>
      <c r="Z88" s="510"/>
      <c r="AA88" s="510"/>
      <c r="AB88" s="510"/>
      <c r="AC88" s="510"/>
      <c r="AD88" s="511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2275-26A1-44C2-8054-DD6D1060B26D}">
  <dimension ref="A1:AF88"/>
  <sheetViews>
    <sheetView view="pageBreakPreview" zoomScale="70" zoomScaleNormal="72" zoomScaleSheetLayoutView="70" workbookViewId="0">
      <selection activeCell="K79" sqref="K79:S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422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263" t="s">
        <v>17</v>
      </c>
      <c r="L5" s="263" t="s">
        <v>18</v>
      </c>
      <c r="M5" s="263" t="s">
        <v>19</v>
      </c>
      <c r="N5" s="26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251</v>
      </c>
      <c r="E6" s="53" t="s">
        <v>399</v>
      </c>
      <c r="F6" s="30" t="s">
        <v>267</v>
      </c>
      <c r="G6" s="12">
        <v>1</v>
      </c>
      <c r="H6" s="13">
        <v>24</v>
      </c>
      <c r="I6" s="7">
        <v>4500</v>
      </c>
      <c r="J6" s="14">
        <v>2951</v>
      </c>
      <c r="K6" s="15">
        <f>L6</f>
        <v>2951</v>
      </c>
      <c r="L6" s="15">
        <f>2685+266</f>
        <v>2951</v>
      </c>
      <c r="M6" s="15">
        <f t="shared" ref="M6:M22" si="0">L6-N6</f>
        <v>2951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15</v>
      </c>
      <c r="Q6" s="40">
        <f t="shared" ref="Q6:Q22" si="3">SUM(R6:AA6)</f>
        <v>9</v>
      </c>
      <c r="R6" s="7"/>
      <c r="S6" s="6">
        <v>9</v>
      </c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0.625</v>
      </c>
      <c r="AD6" s="10">
        <f t="shared" ref="AD6:AD22" si="6">AC6*AB6*(1-O6)</f>
        <v>0.625</v>
      </c>
      <c r="AE6" s="36">
        <f t="shared" ref="AE6:AE22" si="7">$AD$23</f>
        <v>0.44117647058823528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228</v>
      </c>
      <c r="E7" s="53" t="s">
        <v>299</v>
      </c>
      <c r="F7" s="30" t="s">
        <v>344</v>
      </c>
      <c r="G7" s="12">
        <v>2</v>
      </c>
      <c r="H7" s="13">
        <v>24</v>
      </c>
      <c r="I7" s="31">
        <v>80000</v>
      </c>
      <c r="J7" s="14">
        <v>13102</v>
      </c>
      <c r="K7" s="15">
        <f>L7+20667+13102</f>
        <v>33769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0.44117647058823528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139</v>
      </c>
      <c r="D8" s="52" t="s">
        <v>115</v>
      </c>
      <c r="E8" s="53" t="s">
        <v>294</v>
      </c>
      <c r="F8" s="30" t="s">
        <v>165</v>
      </c>
      <c r="G8" s="33">
        <v>2</v>
      </c>
      <c r="H8" s="35">
        <v>24</v>
      </c>
      <c r="I8" s="7">
        <v>10000</v>
      </c>
      <c r="J8" s="5">
        <v>8450</v>
      </c>
      <c r="K8" s="15">
        <f>L8</f>
        <v>8450</v>
      </c>
      <c r="L8" s="15">
        <f>2799*2+1426*2</f>
        <v>8450</v>
      </c>
      <c r="M8" s="15">
        <f t="shared" si="0"/>
        <v>8450</v>
      </c>
      <c r="N8" s="15">
        <v>0</v>
      </c>
      <c r="O8" s="58">
        <f t="shared" si="1"/>
        <v>0</v>
      </c>
      <c r="P8" s="39">
        <f t="shared" si="2"/>
        <v>19</v>
      </c>
      <c r="Q8" s="40">
        <f t="shared" si="3"/>
        <v>5</v>
      </c>
      <c r="R8" s="7"/>
      <c r="S8" s="6"/>
      <c r="T8" s="16"/>
      <c r="U8" s="16"/>
      <c r="V8" s="17"/>
      <c r="W8" s="5"/>
      <c r="X8" s="16"/>
      <c r="Y8" s="16"/>
      <c r="Z8" s="16"/>
      <c r="AA8" s="18">
        <v>5</v>
      </c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6">
        <f t="shared" si="7"/>
        <v>0.44117647058823528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134</v>
      </c>
      <c r="F9" s="30" t="s">
        <v>133</v>
      </c>
      <c r="G9" s="12">
        <v>1</v>
      </c>
      <c r="H9" s="13">
        <v>24</v>
      </c>
      <c r="I9" s="7">
        <v>50000</v>
      </c>
      <c r="J9" s="14">
        <v>3967</v>
      </c>
      <c r="K9" s="15">
        <f>L9+4441+5448+5546+5454+5474+5364+5279+1939+4542+4891</f>
        <v>52345</v>
      </c>
      <c r="L9" s="15">
        <f>2720+1247</f>
        <v>3967</v>
      </c>
      <c r="M9" s="15">
        <f t="shared" si="0"/>
        <v>3967</v>
      </c>
      <c r="N9" s="15">
        <v>0</v>
      </c>
      <c r="O9" s="58">
        <f t="shared" si="1"/>
        <v>0</v>
      </c>
      <c r="P9" s="39">
        <f t="shared" si="2"/>
        <v>19</v>
      </c>
      <c r="Q9" s="40">
        <f t="shared" si="3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6">
        <f t="shared" si="7"/>
        <v>0.44117647058823528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332</v>
      </c>
      <c r="E10" s="53" t="s">
        <v>333</v>
      </c>
      <c r="F10" s="30" t="s">
        <v>131</v>
      </c>
      <c r="G10" s="33">
        <v>1</v>
      </c>
      <c r="H10" s="35">
        <v>24</v>
      </c>
      <c r="I10" s="7">
        <v>34000</v>
      </c>
      <c r="J10" s="14">
        <v>6595</v>
      </c>
      <c r="K10" s="15">
        <f>L10+3378+6577+6217</f>
        <v>22767</v>
      </c>
      <c r="L10" s="15">
        <f>3267+3328</f>
        <v>6595</v>
      </c>
      <c r="M10" s="15">
        <f t="shared" si="0"/>
        <v>6595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0.44117647058823528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159</v>
      </c>
      <c r="D11" s="52" t="s">
        <v>130</v>
      </c>
      <c r="E11" s="53" t="s">
        <v>171</v>
      </c>
      <c r="F11" s="30" t="s">
        <v>389</v>
      </c>
      <c r="G11" s="33">
        <v>2</v>
      </c>
      <c r="H11" s="35">
        <v>24</v>
      </c>
      <c r="I11" s="7">
        <v>60000</v>
      </c>
      <c r="J11" s="14">
        <v>7322</v>
      </c>
      <c r="K11" s="15">
        <f>L11+13256+13638</f>
        <v>34216</v>
      </c>
      <c r="L11" s="15">
        <f>3661*2</f>
        <v>7322</v>
      </c>
      <c r="M11" s="15">
        <f t="shared" si="0"/>
        <v>7322</v>
      </c>
      <c r="N11" s="15">
        <v>0</v>
      </c>
      <c r="O11" s="58">
        <f t="shared" si="1"/>
        <v>0</v>
      </c>
      <c r="P11" s="39">
        <f t="shared" si="2"/>
        <v>12</v>
      </c>
      <c r="Q11" s="40">
        <f t="shared" si="3"/>
        <v>12</v>
      </c>
      <c r="R11" s="7"/>
      <c r="S11" s="6">
        <v>12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</v>
      </c>
      <c r="AD11" s="10">
        <f t="shared" si="6"/>
        <v>0.5</v>
      </c>
      <c r="AE11" s="36">
        <f t="shared" si="7"/>
        <v>0.44117647058823528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144</v>
      </c>
      <c r="F12" s="30" t="s">
        <v>145</v>
      </c>
      <c r="G12" s="12">
        <v>1</v>
      </c>
      <c r="H12" s="13">
        <v>22</v>
      </c>
      <c r="I12" s="31">
        <v>120000</v>
      </c>
      <c r="J12" s="5">
        <v>1083</v>
      </c>
      <c r="K12" s="15">
        <f>L12+4597+5041+5597+5567+5537+3364+5103+4208+3250+4473+4603+3900+3271+5266+5310+2806+4497+4981+4384+3503+3445+4608+5518+1083</f>
        <v>103912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0.44117647058823528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139</v>
      </c>
      <c r="D13" s="52" t="s">
        <v>285</v>
      </c>
      <c r="E13" s="53" t="s">
        <v>167</v>
      </c>
      <c r="F13" s="30" t="s">
        <v>168</v>
      </c>
      <c r="G13" s="33" t="s">
        <v>169</v>
      </c>
      <c r="H13" s="35">
        <v>24</v>
      </c>
      <c r="I13" s="7">
        <v>9000</v>
      </c>
      <c r="J13" s="14">
        <v>2427</v>
      </c>
      <c r="K13" s="15">
        <f>L13+3121+2207+2845+2427</f>
        <v>10600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0.44117647058823528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400</v>
      </c>
      <c r="F14" s="30" t="s">
        <v>147</v>
      </c>
      <c r="G14" s="33">
        <v>1</v>
      </c>
      <c r="H14" s="35">
        <v>50</v>
      </c>
      <c r="I14" s="7">
        <v>300</v>
      </c>
      <c r="J14" s="5">
        <v>365</v>
      </c>
      <c r="K14" s="15">
        <f>L14</f>
        <v>365</v>
      </c>
      <c r="L14" s="15">
        <v>365</v>
      </c>
      <c r="M14" s="15">
        <f t="shared" si="0"/>
        <v>365</v>
      </c>
      <c r="N14" s="15">
        <v>0</v>
      </c>
      <c r="O14" s="58">
        <f t="shared" si="1"/>
        <v>0</v>
      </c>
      <c r="P14" s="39">
        <f t="shared" si="2"/>
        <v>11</v>
      </c>
      <c r="Q14" s="40">
        <f t="shared" si="3"/>
        <v>13</v>
      </c>
      <c r="R14" s="7"/>
      <c r="S14" s="6"/>
      <c r="T14" s="16"/>
      <c r="U14" s="16"/>
      <c r="V14" s="17">
        <v>13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0.45833333333333331</v>
      </c>
      <c r="AD14" s="10">
        <f t="shared" si="6"/>
        <v>0.45833333333333331</v>
      </c>
      <c r="AE14" s="36">
        <f t="shared" si="7"/>
        <v>0.44117647058823528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139</v>
      </c>
      <c r="D15" s="52" t="s">
        <v>130</v>
      </c>
      <c r="E15" s="53" t="s">
        <v>369</v>
      </c>
      <c r="F15" s="12" t="s">
        <v>367</v>
      </c>
      <c r="G15" s="12">
        <v>1</v>
      </c>
      <c r="H15" s="13">
        <v>24</v>
      </c>
      <c r="I15" s="31">
        <v>2500</v>
      </c>
      <c r="J15" s="14">
        <v>2700</v>
      </c>
      <c r="K15" s="15">
        <f>L15+2700</f>
        <v>2700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0.44117647058823528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135</v>
      </c>
      <c r="E16" s="53" t="s">
        <v>268</v>
      </c>
      <c r="F16" s="30" t="s">
        <v>244</v>
      </c>
      <c r="G16" s="12">
        <v>1</v>
      </c>
      <c r="H16" s="13">
        <v>24</v>
      </c>
      <c r="I16" s="7">
        <v>5000</v>
      </c>
      <c r="J16" s="14">
        <v>1042</v>
      </c>
      <c r="K16" s="15">
        <f>L16+5054</f>
        <v>6096</v>
      </c>
      <c r="L16" s="15">
        <v>1042</v>
      </c>
      <c r="M16" s="15">
        <f t="shared" si="0"/>
        <v>1042</v>
      </c>
      <c r="N16" s="15">
        <v>0</v>
      </c>
      <c r="O16" s="58">
        <f t="shared" si="1"/>
        <v>0</v>
      </c>
      <c r="P16" s="39">
        <f t="shared" si="2"/>
        <v>5</v>
      </c>
      <c r="Q16" s="40">
        <f t="shared" si="3"/>
        <v>19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19</v>
      </c>
      <c r="AB16" s="8">
        <f t="shared" si="4"/>
        <v>1</v>
      </c>
      <c r="AC16" s="9">
        <f t="shared" si="5"/>
        <v>0.20833333333333334</v>
      </c>
      <c r="AD16" s="10">
        <f t="shared" si="6"/>
        <v>0.20833333333333334</v>
      </c>
      <c r="AE16" s="36">
        <f t="shared" si="7"/>
        <v>0.44117647058823528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/>
      <c r="E17" s="53" t="s">
        <v>301</v>
      </c>
      <c r="F17" s="30" t="s">
        <v>128</v>
      </c>
      <c r="G17" s="12">
        <v>1</v>
      </c>
      <c r="H17" s="13">
        <v>24</v>
      </c>
      <c r="I17" s="7">
        <v>5400</v>
      </c>
      <c r="J17" s="14">
        <v>3740</v>
      </c>
      <c r="K17" s="15">
        <f>L17+2945</f>
        <v>6685</v>
      </c>
      <c r="L17" s="15">
        <f>593+3147</f>
        <v>3740</v>
      </c>
      <c r="M17" s="15">
        <f t="shared" si="0"/>
        <v>3740</v>
      </c>
      <c r="N17" s="15">
        <v>0</v>
      </c>
      <c r="O17" s="58">
        <f t="shared" si="1"/>
        <v>0</v>
      </c>
      <c r="P17" s="39">
        <f t="shared" si="2"/>
        <v>16</v>
      </c>
      <c r="Q17" s="40">
        <f t="shared" si="3"/>
        <v>8</v>
      </c>
      <c r="R17" s="7"/>
      <c r="S17" s="6"/>
      <c r="T17" s="16"/>
      <c r="U17" s="16"/>
      <c r="V17" s="17"/>
      <c r="W17" s="5">
        <v>8</v>
      </c>
      <c r="X17" s="16"/>
      <c r="Y17" s="16"/>
      <c r="Z17" s="16"/>
      <c r="AA17" s="18"/>
      <c r="AB17" s="8">
        <f t="shared" si="4"/>
        <v>1</v>
      </c>
      <c r="AC17" s="9">
        <f t="shared" si="5"/>
        <v>0.66666666666666663</v>
      </c>
      <c r="AD17" s="10">
        <f t="shared" si="6"/>
        <v>0.66666666666666663</v>
      </c>
      <c r="AE17" s="36">
        <f t="shared" si="7"/>
        <v>0.44117647058823528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402</v>
      </c>
      <c r="D18" s="52" t="s">
        <v>115</v>
      </c>
      <c r="E18" s="53" t="s">
        <v>401</v>
      </c>
      <c r="F18" s="30" t="s">
        <v>147</v>
      </c>
      <c r="G18" s="33">
        <v>1</v>
      </c>
      <c r="H18" s="35">
        <v>24</v>
      </c>
      <c r="I18" s="7">
        <v>500</v>
      </c>
      <c r="J18" s="14">
        <v>1188</v>
      </c>
      <c r="K18" s="15">
        <f>L18+1188</f>
        <v>1188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0.44117647058823528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410</v>
      </c>
      <c r="F19" s="30" t="s">
        <v>244</v>
      </c>
      <c r="G19" s="33">
        <v>1</v>
      </c>
      <c r="H19" s="35">
        <v>24</v>
      </c>
      <c r="I19" s="7">
        <v>5500</v>
      </c>
      <c r="J19" s="14">
        <v>2569</v>
      </c>
      <c r="K19" s="15">
        <f>L19+2141</f>
        <v>4710</v>
      </c>
      <c r="L19" s="15">
        <f>2569</f>
        <v>2569</v>
      </c>
      <c r="M19" s="15">
        <f t="shared" si="0"/>
        <v>2569</v>
      </c>
      <c r="N19" s="15">
        <v>0</v>
      </c>
      <c r="O19" s="58">
        <f t="shared" si="1"/>
        <v>0</v>
      </c>
      <c r="P19" s="39">
        <f t="shared" si="2"/>
        <v>13</v>
      </c>
      <c r="Q19" s="40">
        <f t="shared" si="3"/>
        <v>11</v>
      </c>
      <c r="R19" s="7"/>
      <c r="S19" s="6"/>
      <c r="T19" s="16"/>
      <c r="U19" s="16"/>
      <c r="V19" s="17"/>
      <c r="W19" s="5">
        <v>11</v>
      </c>
      <c r="X19" s="16"/>
      <c r="Y19" s="16"/>
      <c r="Z19" s="16"/>
      <c r="AA19" s="18"/>
      <c r="AB19" s="8">
        <f t="shared" si="4"/>
        <v>1</v>
      </c>
      <c r="AC19" s="9">
        <f t="shared" si="5"/>
        <v>0.54166666666666663</v>
      </c>
      <c r="AD19" s="10">
        <f t="shared" si="6"/>
        <v>0.54166666666666663</v>
      </c>
      <c r="AE19" s="36">
        <f t="shared" si="7"/>
        <v>0.44117647058823528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120</v>
      </c>
      <c r="D20" s="52"/>
      <c r="E20" s="53" t="s">
        <v>411</v>
      </c>
      <c r="F20" s="30" t="s">
        <v>129</v>
      </c>
      <c r="G20" s="12">
        <v>1</v>
      </c>
      <c r="H20" s="13">
        <v>24</v>
      </c>
      <c r="I20" s="7">
        <v>4100</v>
      </c>
      <c r="J20" s="14">
        <v>2000</v>
      </c>
      <c r="K20" s="15">
        <f>L20+4373</f>
        <v>6373</v>
      </c>
      <c r="L20" s="15">
        <v>2000</v>
      </c>
      <c r="M20" s="15">
        <f t="shared" ref="M20:M21" si="9">L20-N20</f>
        <v>2000</v>
      </c>
      <c r="N20" s="15">
        <v>0</v>
      </c>
      <c r="O20" s="58">
        <f t="shared" ref="O20:O21" si="10">IF(L20=0,"0",N20/L20)</f>
        <v>0</v>
      </c>
      <c r="P20" s="39">
        <f t="shared" ref="P20:P21" si="11">IF(L20=0,"0",(24-Q20))</f>
        <v>9</v>
      </c>
      <c r="Q20" s="40">
        <f t="shared" ref="Q20:Q21" si="12">SUM(R20:AA20)</f>
        <v>15</v>
      </c>
      <c r="R20" s="7"/>
      <c r="S20" s="6"/>
      <c r="T20" s="16"/>
      <c r="U20" s="16"/>
      <c r="V20" s="17"/>
      <c r="W20" s="5">
        <v>15</v>
      </c>
      <c r="X20" s="16"/>
      <c r="Y20" s="16"/>
      <c r="Z20" s="16"/>
      <c r="AA20" s="18"/>
      <c r="AB20" s="8">
        <f t="shared" ref="AB20:AB21" si="13">IF(J20=0,"0",(L20/J20))</f>
        <v>1</v>
      </c>
      <c r="AC20" s="9">
        <f t="shared" ref="AC20:AC21" si="14">IF(P20=0,"0",(P20/24))</f>
        <v>0.375</v>
      </c>
      <c r="AD20" s="10">
        <f t="shared" ref="AD20:AD21" si="15">AC20*AB20*(1-O20)</f>
        <v>0.375</v>
      </c>
      <c r="AE20" s="36">
        <f t="shared" si="7"/>
        <v>0.44117647058823528</v>
      </c>
      <c r="AF20" s="84">
        <f t="shared" ref="AF20:AF21" si="16">A20</f>
        <v>15</v>
      </c>
    </row>
    <row r="21" spans="1:32" ht="30" customHeight="1">
      <c r="A21" s="112">
        <v>15</v>
      </c>
      <c r="B21" s="11" t="s">
        <v>57</v>
      </c>
      <c r="C21" s="34" t="s">
        <v>118</v>
      </c>
      <c r="D21" s="52" t="s">
        <v>115</v>
      </c>
      <c r="E21" s="53" t="s">
        <v>309</v>
      </c>
      <c r="F21" s="30" t="s">
        <v>129</v>
      </c>
      <c r="G21" s="12">
        <v>4</v>
      </c>
      <c r="H21" s="13">
        <v>24</v>
      </c>
      <c r="I21" s="7">
        <v>80000</v>
      </c>
      <c r="J21" s="14">
        <v>10984</v>
      </c>
      <c r="K21" s="15">
        <f>L21+13156+20408+13276+22084</f>
        <v>79908</v>
      </c>
      <c r="L21" s="15">
        <f>477*4+2269*4</f>
        <v>10984</v>
      </c>
      <c r="M21" s="15">
        <f t="shared" si="9"/>
        <v>10984</v>
      </c>
      <c r="N21" s="15">
        <v>0</v>
      </c>
      <c r="O21" s="58">
        <f t="shared" si="10"/>
        <v>0</v>
      </c>
      <c r="P21" s="39">
        <f t="shared" si="11"/>
        <v>13</v>
      </c>
      <c r="Q21" s="40">
        <f t="shared" si="12"/>
        <v>11</v>
      </c>
      <c r="R21" s="7"/>
      <c r="S21" s="6">
        <v>1</v>
      </c>
      <c r="T21" s="16">
        <v>10</v>
      </c>
      <c r="U21" s="16"/>
      <c r="V21" s="17"/>
      <c r="W21" s="5"/>
      <c r="X21" s="16"/>
      <c r="Y21" s="16"/>
      <c r="Z21" s="16"/>
      <c r="AA21" s="18"/>
      <c r="AB21" s="8">
        <f t="shared" si="13"/>
        <v>1</v>
      </c>
      <c r="AC21" s="9">
        <f t="shared" si="14"/>
        <v>0.54166666666666663</v>
      </c>
      <c r="AD21" s="10">
        <f t="shared" si="15"/>
        <v>0.54166666666666663</v>
      </c>
      <c r="AE21" s="36">
        <f t="shared" si="7"/>
        <v>0.44117647058823528</v>
      </c>
      <c r="AF21" s="84">
        <f t="shared" si="16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346</v>
      </c>
      <c r="F22" s="12" t="s">
        <v>114</v>
      </c>
      <c r="G22" s="12">
        <v>3</v>
      </c>
      <c r="H22" s="35">
        <v>20</v>
      </c>
      <c r="I22" s="7">
        <v>1000000</v>
      </c>
      <c r="J22" s="14">
        <v>75560</v>
      </c>
      <c r="K22" s="15">
        <f>L22+28316+74820+71924+69164</f>
        <v>319784</v>
      </c>
      <c r="L22" s="15">
        <f>9545*4+9345*4</f>
        <v>75560</v>
      </c>
      <c r="M22" s="15">
        <f t="shared" si="0"/>
        <v>75560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0.44117647058823528</v>
      </c>
      <c r="AF22" s="84">
        <f t="shared" si="8"/>
        <v>16</v>
      </c>
    </row>
    <row r="23" spans="1:32" ht="31.5" customHeight="1" thickBot="1">
      <c r="A23" s="408" t="s">
        <v>34</v>
      </c>
      <c r="B23" s="409"/>
      <c r="C23" s="409"/>
      <c r="D23" s="409"/>
      <c r="E23" s="409"/>
      <c r="F23" s="409"/>
      <c r="G23" s="409"/>
      <c r="H23" s="410"/>
      <c r="I23" s="22">
        <f t="shared" ref="I23:N23" si="17">SUM(I6:I22)</f>
        <v>1470800</v>
      </c>
      <c r="J23" s="19">
        <f t="shared" si="17"/>
        <v>146045</v>
      </c>
      <c r="K23" s="20">
        <f t="shared" si="17"/>
        <v>696819</v>
      </c>
      <c r="L23" s="21">
        <f t="shared" si="17"/>
        <v>125545</v>
      </c>
      <c r="M23" s="20">
        <f t="shared" si="17"/>
        <v>125545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180</v>
      </c>
      <c r="Q23" s="43">
        <f t="shared" si="18"/>
        <v>228</v>
      </c>
      <c r="R23" s="23">
        <f t="shared" si="18"/>
        <v>0</v>
      </c>
      <c r="S23" s="24">
        <f t="shared" si="18"/>
        <v>99</v>
      </c>
      <c r="T23" s="24">
        <f t="shared" si="18"/>
        <v>10</v>
      </c>
      <c r="U23" s="24">
        <f t="shared" si="18"/>
        <v>0</v>
      </c>
      <c r="V23" s="25">
        <f t="shared" si="18"/>
        <v>13</v>
      </c>
      <c r="W23" s="26">
        <f t="shared" si="18"/>
        <v>58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48</v>
      </c>
      <c r="AB23" s="28">
        <f>AVERAGE(AB6:AB22)</f>
        <v>0.70588235294117652</v>
      </c>
      <c r="AC23" s="4">
        <f>AVERAGE(AC6:AC22)</f>
        <v>0.44117647058823528</v>
      </c>
      <c r="AD23" s="4">
        <f>AVERAGE(AD6:AD22)</f>
        <v>0.44117647058823528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11" t="s">
        <v>45</v>
      </c>
      <c r="B50" s="411"/>
      <c r="C50" s="411"/>
      <c r="D50" s="411"/>
      <c r="E50" s="411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12" t="s">
        <v>423</v>
      </c>
      <c r="B51" s="413"/>
      <c r="C51" s="413"/>
      <c r="D51" s="413"/>
      <c r="E51" s="413"/>
      <c r="F51" s="413"/>
      <c r="G51" s="413"/>
      <c r="H51" s="413"/>
      <c r="I51" s="413"/>
      <c r="J51" s="413"/>
      <c r="K51" s="413"/>
      <c r="L51" s="413"/>
      <c r="M51" s="414"/>
      <c r="N51" s="415" t="s">
        <v>424</v>
      </c>
      <c r="O51" s="416"/>
      <c r="P51" s="416"/>
      <c r="Q51" s="416"/>
      <c r="R51" s="416"/>
      <c r="S51" s="416"/>
      <c r="T51" s="416"/>
      <c r="U51" s="416"/>
      <c r="V51" s="416"/>
      <c r="W51" s="416"/>
      <c r="X51" s="416"/>
      <c r="Y51" s="416"/>
      <c r="Z51" s="416"/>
      <c r="AA51" s="416"/>
      <c r="AB51" s="416"/>
      <c r="AC51" s="416"/>
      <c r="AD51" s="417"/>
    </row>
    <row r="52" spans="1:32" ht="27" customHeight="1">
      <c r="A52" s="418" t="s">
        <v>2</v>
      </c>
      <c r="B52" s="419"/>
      <c r="C52" s="262" t="s">
        <v>46</v>
      </c>
      <c r="D52" s="262" t="s">
        <v>47</v>
      </c>
      <c r="E52" s="262" t="s">
        <v>107</v>
      </c>
      <c r="F52" s="420" t="s">
        <v>106</v>
      </c>
      <c r="G52" s="421"/>
      <c r="H52" s="421"/>
      <c r="I52" s="421"/>
      <c r="J52" s="421"/>
      <c r="K52" s="421"/>
      <c r="L52" s="421"/>
      <c r="M52" s="422"/>
      <c r="N52" s="67" t="s">
        <v>110</v>
      </c>
      <c r="O52" s="262" t="s">
        <v>46</v>
      </c>
      <c r="P52" s="420" t="s">
        <v>47</v>
      </c>
      <c r="Q52" s="423"/>
      <c r="R52" s="420" t="s">
        <v>38</v>
      </c>
      <c r="S52" s="421"/>
      <c r="T52" s="421"/>
      <c r="U52" s="423"/>
      <c r="V52" s="420" t="s">
        <v>48</v>
      </c>
      <c r="W52" s="421"/>
      <c r="X52" s="421"/>
      <c r="Y52" s="421"/>
      <c r="Z52" s="421"/>
      <c r="AA52" s="421"/>
      <c r="AB52" s="421"/>
      <c r="AC52" s="421"/>
      <c r="AD52" s="422"/>
    </row>
    <row r="53" spans="1:32" ht="27" customHeight="1">
      <c r="A53" s="434" t="s">
        <v>112</v>
      </c>
      <c r="B53" s="435"/>
      <c r="C53" s="258" t="s">
        <v>250</v>
      </c>
      <c r="D53" s="258" t="s">
        <v>251</v>
      </c>
      <c r="E53" s="258" t="s">
        <v>399</v>
      </c>
      <c r="F53" s="436" t="s">
        <v>258</v>
      </c>
      <c r="G53" s="437"/>
      <c r="H53" s="437"/>
      <c r="I53" s="437"/>
      <c r="J53" s="437"/>
      <c r="K53" s="437"/>
      <c r="L53" s="437"/>
      <c r="M53" s="438"/>
      <c r="N53" s="261" t="s">
        <v>139</v>
      </c>
      <c r="O53" s="255" t="s">
        <v>200</v>
      </c>
      <c r="P53" s="439" t="s">
        <v>115</v>
      </c>
      <c r="Q53" s="440"/>
      <c r="R53" s="439" t="s">
        <v>261</v>
      </c>
      <c r="S53" s="441"/>
      <c r="T53" s="441"/>
      <c r="U53" s="440"/>
      <c r="V53" s="442" t="s">
        <v>124</v>
      </c>
      <c r="W53" s="442"/>
      <c r="X53" s="442"/>
      <c r="Y53" s="442"/>
      <c r="Z53" s="442"/>
      <c r="AA53" s="442"/>
      <c r="AB53" s="442"/>
      <c r="AC53" s="442"/>
      <c r="AD53" s="443"/>
    </row>
    <row r="54" spans="1:32" ht="27" customHeight="1">
      <c r="A54" s="434" t="s">
        <v>139</v>
      </c>
      <c r="B54" s="435"/>
      <c r="C54" s="258" t="s">
        <v>190</v>
      </c>
      <c r="D54" s="258" t="s">
        <v>115</v>
      </c>
      <c r="E54" s="258" t="s">
        <v>294</v>
      </c>
      <c r="F54" s="436" t="s">
        <v>138</v>
      </c>
      <c r="G54" s="437"/>
      <c r="H54" s="437"/>
      <c r="I54" s="437"/>
      <c r="J54" s="437"/>
      <c r="K54" s="437"/>
      <c r="L54" s="437"/>
      <c r="M54" s="438"/>
      <c r="N54" s="261" t="s">
        <v>118</v>
      </c>
      <c r="O54" s="255" t="s">
        <v>136</v>
      </c>
      <c r="P54" s="439" t="s">
        <v>115</v>
      </c>
      <c r="Q54" s="440"/>
      <c r="R54" s="439" t="s">
        <v>144</v>
      </c>
      <c r="S54" s="441"/>
      <c r="T54" s="441"/>
      <c r="U54" s="440"/>
      <c r="V54" s="442" t="s">
        <v>124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118</v>
      </c>
      <c r="B55" s="435"/>
      <c r="C55" s="258" t="s">
        <v>385</v>
      </c>
      <c r="D55" s="258" t="s">
        <v>216</v>
      </c>
      <c r="E55" s="258" t="s">
        <v>384</v>
      </c>
      <c r="F55" s="436" t="s">
        <v>124</v>
      </c>
      <c r="G55" s="437"/>
      <c r="H55" s="437"/>
      <c r="I55" s="437"/>
      <c r="J55" s="437"/>
      <c r="K55" s="437"/>
      <c r="L55" s="437"/>
      <c r="M55" s="438"/>
      <c r="N55" s="261" t="s">
        <v>402</v>
      </c>
      <c r="O55" s="255" t="s">
        <v>201</v>
      </c>
      <c r="P55" s="439" t="s">
        <v>326</v>
      </c>
      <c r="Q55" s="440"/>
      <c r="R55" s="439" t="s">
        <v>425</v>
      </c>
      <c r="S55" s="441"/>
      <c r="T55" s="441"/>
      <c r="U55" s="440"/>
      <c r="V55" s="442" t="s">
        <v>138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112</v>
      </c>
      <c r="B56" s="435"/>
      <c r="C56" s="258" t="s">
        <v>219</v>
      </c>
      <c r="D56" s="258" t="s">
        <v>115</v>
      </c>
      <c r="E56" s="258" t="s">
        <v>400</v>
      </c>
      <c r="F56" s="436" t="s">
        <v>124</v>
      </c>
      <c r="G56" s="437"/>
      <c r="H56" s="437"/>
      <c r="I56" s="437"/>
      <c r="J56" s="437"/>
      <c r="K56" s="437"/>
      <c r="L56" s="437"/>
      <c r="M56" s="438"/>
      <c r="N56" s="261" t="s">
        <v>118</v>
      </c>
      <c r="O56" s="255" t="s">
        <v>140</v>
      </c>
      <c r="P56" s="439" t="s">
        <v>228</v>
      </c>
      <c r="Q56" s="440"/>
      <c r="R56" s="439" t="s">
        <v>426</v>
      </c>
      <c r="S56" s="441"/>
      <c r="T56" s="441"/>
      <c r="U56" s="440"/>
      <c r="V56" s="442" t="s">
        <v>124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118</v>
      </c>
      <c r="B57" s="435"/>
      <c r="C57" s="258" t="s">
        <v>208</v>
      </c>
      <c r="D57" s="258" t="s">
        <v>115</v>
      </c>
      <c r="E57" s="258" t="s">
        <v>309</v>
      </c>
      <c r="F57" s="436" t="s">
        <v>258</v>
      </c>
      <c r="G57" s="437"/>
      <c r="H57" s="437"/>
      <c r="I57" s="437"/>
      <c r="J57" s="437"/>
      <c r="K57" s="437"/>
      <c r="L57" s="437"/>
      <c r="M57" s="438"/>
      <c r="N57" s="261" t="s">
        <v>402</v>
      </c>
      <c r="O57" s="255" t="s">
        <v>250</v>
      </c>
      <c r="P57" s="439" t="s">
        <v>212</v>
      </c>
      <c r="Q57" s="440"/>
      <c r="R57" s="439" t="s">
        <v>427</v>
      </c>
      <c r="S57" s="441"/>
      <c r="T57" s="441"/>
      <c r="U57" s="440"/>
      <c r="V57" s="442" t="s">
        <v>138</v>
      </c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/>
      <c r="B58" s="435"/>
      <c r="C58" s="258"/>
      <c r="D58" s="258"/>
      <c r="E58" s="258"/>
      <c r="F58" s="436"/>
      <c r="G58" s="437"/>
      <c r="H58" s="437"/>
      <c r="I58" s="437"/>
      <c r="J58" s="437"/>
      <c r="K58" s="437"/>
      <c r="L58" s="437"/>
      <c r="M58" s="438"/>
      <c r="N58" s="261"/>
      <c r="O58" s="255"/>
      <c r="P58" s="439"/>
      <c r="Q58" s="440"/>
      <c r="R58" s="439"/>
      <c r="S58" s="441"/>
      <c r="T58" s="441"/>
      <c r="U58" s="440"/>
      <c r="V58" s="442"/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/>
      <c r="B59" s="435"/>
      <c r="C59" s="258"/>
      <c r="D59" s="258"/>
      <c r="E59" s="258"/>
      <c r="F59" s="436"/>
      <c r="G59" s="437"/>
      <c r="H59" s="437"/>
      <c r="I59" s="437"/>
      <c r="J59" s="437"/>
      <c r="K59" s="437"/>
      <c r="L59" s="437"/>
      <c r="M59" s="438"/>
      <c r="N59" s="261"/>
      <c r="O59" s="255"/>
      <c r="P59" s="439"/>
      <c r="Q59" s="440"/>
      <c r="R59" s="439"/>
      <c r="S59" s="441"/>
      <c r="T59" s="441"/>
      <c r="U59" s="440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57"/>
      <c r="B60" s="458"/>
      <c r="C60" s="257"/>
      <c r="D60" s="257"/>
      <c r="E60" s="258"/>
      <c r="F60" s="436"/>
      <c r="G60" s="437"/>
      <c r="H60" s="437"/>
      <c r="I60" s="437"/>
      <c r="J60" s="437"/>
      <c r="K60" s="437"/>
      <c r="L60" s="437"/>
      <c r="M60" s="438"/>
      <c r="N60" s="261"/>
      <c r="O60" s="255"/>
      <c r="P60" s="439"/>
      <c r="Q60" s="440"/>
      <c r="R60" s="435"/>
      <c r="S60" s="435"/>
      <c r="T60" s="435"/>
      <c r="U60" s="435"/>
      <c r="V60" s="442"/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57"/>
      <c r="B61" s="458"/>
      <c r="C61" s="257"/>
      <c r="D61" s="257"/>
      <c r="E61" s="258"/>
      <c r="F61" s="436"/>
      <c r="G61" s="437"/>
      <c r="H61" s="437"/>
      <c r="I61" s="437"/>
      <c r="J61" s="437"/>
      <c r="K61" s="437"/>
      <c r="L61" s="437"/>
      <c r="M61" s="438"/>
      <c r="N61" s="261"/>
      <c r="O61" s="255"/>
      <c r="P61" s="435"/>
      <c r="Q61" s="435"/>
      <c r="R61" s="435"/>
      <c r="S61" s="435"/>
      <c r="T61" s="435"/>
      <c r="U61" s="435"/>
      <c r="V61" s="442"/>
      <c r="W61" s="442"/>
      <c r="X61" s="442"/>
      <c r="Y61" s="442"/>
      <c r="Z61" s="442"/>
      <c r="AA61" s="442"/>
      <c r="AB61" s="442"/>
      <c r="AC61" s="442"/>
      <c r="AD61" s="443"/>
      <c r="AF61" s="84">
        <f>8*3000</f>
        <v>24000</v>
      </c>
    </row>
    <row r="62" spans="1:32" ht="27" customHeight="1" thickBot="1">
      <c r="A62" s="444"/>
      <c r="B62" s="445"/>
      <c r="C62" s="259"/>
      <c r="D62" s="260"/>
      <c r="E62" s="259"/>
      <c r="F62" s="446"/>
      <c r="G62" s="447"/>
      <c r="H62" s="447"/>
      <c r="I62" s="447"/>
      <c r="J62" s="447"/>
      <c r="K62" s="447"/>
      <c r="L62" s="447"/>
      <c r="M62" s="448"/>
      <c r="N62" s="111"/>
      <c r="O62" s="103"/>
      <c r="P62" s="449"/>
      <c r="Q62" s="449"/>
      <c r="R62" s="449"/>
      <c r="S62" s="449"/>
      <c r="T62" s="449"/>
      <c r="U62" s="449"/>
      <c r="V62" s="450"/>
      <c r="W62" s="450"/>
      <c r="X62" s="450"/>
      <c r="Y62" s="450"/>
      <c r="Z62" s="450"/>
      <c r="AA62" s="450"/>
      <c r="AB62" s="450"/>
      <c r="AC62" s="450"/>
      <c r="AD62" s="451"/>
      <c r="AF62" s="84">
        <f>16*3000</f>
        <v>48000</v>
      </c>
    </row>
    <row r="63" spans="1:32" ht="27.75" thickBot="1">
      <c r="A63" s="452" t="s">
        <v>428</v>
      </c>
      <c r="B63" s="452"/>
      <c r="C63" s="452"/>
      <c r="D63" s="452"/>
      <c r="E63" s="45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3" t="s">
        <v>111</v>
      </c>
      <c r="B64" s="454"/>
      <c r="C64" s="256" t="s">
        <v>2</v>
      </c>
      <c r="D64" s="256" t="s">
        <v>37</v>
      </c>
      <c r="E64" s="256" t="s">
        <v>3</v>
      </c>
      <c r="F64" s="454" t="s">
        <v>109</v>
      </c>
      <c r="G64" s="454"/>
      <c r="H64" s="454"/>
      <c r="I64" s="454"/>
      <c r="J64" s="454"/>
      <c r="K64" s="454" t="s">
        <v>39</v>
      </c>
      <c r="L64" s="454"/>
      <c r="M64" s="256" t="s">
        <v>40</v>
      </c>
      <c r="N64" s="454" t="s">
        <v>41</v>
      </c>
      <c r="O64" s="454"/>
      <c r="P64" s="455" t="s">
        <v>42</v>
      </c>
      <c r="Q64" s="456"/>
      <c r="R64" s="455" t="s">
        <v>43</v>
      </c>
      <c r="S64" s="459"/>
      <c r="T64" s="459"/>
      <c r="U64" s="459"/>
      <c r="V64" s="459"/>
      <c r="W64" s="459"/>
      <c r="X64" s="459"/>
      <c r="Y64" s="459"/>
      <c r="Z64" s="459"/>
      <c r="AA64" s="456"/>
      <c r="AB64" s="454" t="s">
        <v>44</v>
      </c>
      <c r="AC64" s="454"/>
      <c r="AD64" s="460"/>
      <c r="AF64" s="84">
        <f>SUM(AF61:AF63)</f>
        <v>96000</v>
      </c>
    </row>
    <row r="65" spans="1:32" ht="25.5" customHeight="1">
      <c r="A65" s="461">
        <v>1</v>
      </c>
      <c r="B65" s="462"/>
      <c r="C65" s="104" t="s">
        <v>112</v>
      </c>
      <c r="D65" s="251"/>
      <c r="E65" s="254" t="s">
        <v>251</v>
      </c>
      <c r="F65" s="463" t="s">
        <v>429</v>
      </c>
      <c r="G65" s="464"/>
      <c r="H65" s="464"/>
      <c r="I65" s="464"/>
      <c r="J65" s="465"/>
      <c r="K65" s="466" t="s">
        <v>132</v>
      </c>
      <c r="L65" s="466"/>
      <c r="M65" s="51" t="s">
        <v>230</v>
      </c>
      <c r="N65" s="467" t="s">
        <v>140</v>
      </c>
      <c r="O65" s="467"/>
      <c r="P65" s="468">
        <v>200</v>
      </c>
      <c r="Q65" s="468"/>
      <c r="R65" s="442" t="s">
        <v>348</v>
      </c>
      <c r="S65" s="442"/>
      <c r="T65" s="442"/>
      <c r="U65" s="442"/>
      <c r="V65" s="442"/>
      <c r="W65" s="442"/>
      <c r="X65" s="442"/>
      <c r="Y65" s="442"/>
      <c r="Z65" s="442"/>
      <c r="AA65" s="442"/>
      <c r="AB65" s="466"/>
      <c r="AC65" s="466"/>
      <c r="AD65" s="469"/>
      <c r="AF65" s="50"/>
    </row>
    <row r="66" spans="1:32" ht="25.5" customHeight="1">
      <c r="A66" s="461">
        <v>2</v>
      </c>
      <c r="B66" s="462"/>
      <c r="C66" s="104" t="s">
        <v>112</v>
      </c>
      <c r="D66" s="251"/>
      <c r="E66" s="254" t="s">
        <v>174</v>
      </c>
      <c r="F66" s="463" t="s">
        <v>430</v>
      </c>
      <c r="G66" s="464"/>
      <c r="H66" s="464"/>
      <c r="I66" s="464"/>
      <c r="J66" s="465"/>
      <c r="K66" s="466" t="s">
        <v>432</v>
      </c>
      <c r="L66" s="466"/>
      <c r="M66" s="51" t="s">
        <v>362</v>
      </c>
      <c r="N66" s="467" t="s">
        <v>140</v>
      </c>
      <c r="O66" s="467"/>
      <c r="P66" s="468">
        <v>50</v>
      </c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3</v>
      </c>
      <c r="B67" s="462"/>
      <c r="C67" s="104" t="s">
        <v>118</v>
      </c>
      <c r="D67" s="251"/>
      <c r="E67" s="254" t="s">
        <v>228</v>
      </c>
      <c r="F67" s="463" t="s">
        <v>378</v>
      </c>
      <c r="G67" s="464"/>
      <c r="H67" s="464"/>
      <c r="I67" s="464"/>
      <c r="J67" s="465"/>
      <c r="K67" s="466" t="s">
        <v>339</v>
      </c>
      <c r="L67" s="466"/>
      <c r="M67" s="51" t="s">
        <v>230</v>
      </c>
      <c r="N67" s="467" t="s">
        <v>190</v>
      </c>
      <c r="O67" s="467"/>
      <c r="P67" s="468">
        <v>100</v>
      </c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4</v>
      </c>
      <c r="B68" s="462"/>
      <c r="C68" s="104" t="s">
        <v>118</v>
      </c>
      <c r="D68" s="251"/>
      <c r="E68" s="254" t="s">
        <v>115</v>
      </c>
      <c r="F68" s="463" t="s">
        <v>405</v>
      </c>
      <c r="G68" s="464"/>
      <c r="H68" s="464"/>
      <c r="I68" s="464"/>
      <c r="J68" s="465"/>
      <c r="K68" s="466" t="s">
        <v>133</v>
      </c>
      <c r="L68" s="466"/>
      <c r="M68" s="51" t="s">
        <v>230</v>
      </c>
      <c r="N68" s="467" t="s">
        <v>190</v>
      </c>
      <c r="O68" s="467"/>
      <c r="P68" s="468">
        <v>100</v>
      </c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5</v>
      </c>
      <c r="B69" s="462"/>
      <c r="C69" s="104" t="s">
        <v>120</v>
      </c>
      <c r="D69" s="251"/>
      <c r="E69" s="254"/>
      <c r="F69" s="463" t="s">
        <v>173</v>
      </c>
      <c r="G69" s="464"/>
      <c r="H69" s="464"/>
      <c r="I69" s="464"/>
      <c r="J69" s="465"/>
      <c r="K69" s="466" t="s">
        <v>142</v>
      </c>
      <c r="L69" s="466"/>
      <c r="M69" s="51" t="s">
        <v>230</v>
      </c>
      <c r="N69" s="467" t="s">
        <v>141</v>
      </c>
      <c r="O69" s="467"/>
      <c r="P69" s="468">
        <v>100</v>
      </c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6</v>
      </c>
      <c r="B70" s="462"/>
      <c r="C70" s="104" t="s">
        <v>118</v>
      </c>
      <c r="D70" s="251"/>
      <c r="E70" s="254" t="s">
        <v>216</v>
      </c>
      <c r="F70" s="463" t="s">
        <v>223</v>
      </c>
      <c r="G70" s="464"/>
      <c r="H70" s="464"/>
      <c r="I70" s="464"/>
      <c r="J70" s="465"/>
      <c r="K70" s="466" t="s">
        <v>231</v>
      </c>
      <c r="L70" s="466"/>
      <c r="M70" s="51" t="s">
        <v>230</v>
      </c>
      <c r="N70" s="467" t="s">
        <v>141</v>
      </c>
      <c r="O70" s="467"/>
      <c r="P70" s="468">
        <v>100</v>
      </c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7</v>
      </c>
      <c r="B71" s="462"/>
      <c r="C71" s="104" t="s">
        <v>118</v>
      </c>
      <c r="D71" s="251"/>
      <c r="E71" s="254" t="s">
        <v>117</v>
      </c>
      <c r="F71" s="463">
        <v>3044110</v>
      </c>
      <c r="G71" s="464"/>
      <c r="H71" s="464"/>
      <c r="I71" s="464"/>
      <c r="J71" s="465"/>
      <c r="K71" s="466">
        <v>7301</v>
      </c>
      <c r="L71" s="466"/>
      <c r="M71" s="51" t="s">
        <v>340</v>
      </c>
      <c r="N71" s="467" t="s">
        <v>201</v>
      </c>
      <c r="O71" s="467"/>
      <c r="P71" s="468"/>
      <c r="Q71" s="468"/>
      <c r="R71" s="442" t="s">
        <v>431</v>
      </c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8</v>
      </c>
      <c r="B72" s="462"/>
      <c r="C72" s="104"/>
      <c r="D72" s="251"/>
      <c r="E72" s="254"/>
      <c r="F72" s="470"/>
      <c r="G72" s="466"/>
      <c r="H72" s="466"/>
      <c r="I72" s="466"/>
      <c r="J72" s="466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9</v>
      </c>
      <c r="B73" s="462"/>
      <c r="C73" s="104"/>
      <c r="D73" s="251"/>
      <c r="E73" s="254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10</v>
      </c>
      <c r="B74" s="462"/>
      <c r="C74" s="104"/>
      <c r="D74" s="251"/>
      <c r="E74" s="254"/>
      <c r="F74" s="470"/>
      <c r="G74" s="466"/>
      <c r="H74" s="466"/>
      <c r="I74" s="466"/>
      <c r="J74" s="466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6.25" customHeight="1" thickBot="1">
      <c r="A75" s="471" t="s">
        <v>433</v>
      </c>
      <c r="B75" s="471"/>
      <c r="C75" s="471"/>
      <c r="D75" s="471"/>
      <c r="E75" s="471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2" t="s">
        <v>126</v>
      </c>
      <c r="B76" s="473"/>
      <c r="C76" s="253" t="s">
        <v>2</v>
      </c>
      <c r="D76" s="253" t="s">
        <v>37</v>
      </c>
      <c r="E76" s="253" t="s">
        <v>125</v>
      </c>
      <c r="F76" s="473" t="s">
        <v>38</v>
      </c>
      <c r="G76" s="473"/>
      <c r="H76" s="473"/>
      <c r="I76" s="473"/>
      <c r="J76" s="473"/>
      <c r="K76" s="474" t="s">
        <v>58</v>
      </c>
      <c r="L76" s="475"/>
      <c r="M76" s="475"/>
      <c r="N76" s="475"/>
      <c r="O76" s="475"/>
      <c r="P76" s="475"/>
      <c r="Q76" s="475"/>
      <c r="R76" s="475"/>
      <c r="S76" s="476"/>
      <c r="T76" s="473" t="s">
        <v>49</v>
      </c>
      <c r="U76" s="473"/>
      <c r="V76" s="474" t="s">
        <v>50</v>
      </c>
      <c r="W76" s="476"/>
      <c r="X76" s="475" t="s">
        <v>51</v>
      </c>
      <c r="Y76" s="475"/>
      <c r="Z76" s="475"/>
      <c r="AA76" s="475"/>
      <c r="AB76" s="475"/>
      <c r="AC76" s="475"/>
      <c r="AD76" s="477"/>
      <c r="AF76" s="50"/>
    </row>
    <row r="77" spans="1:32" ht="33.75" customHeight="1">
      <c r="A77" s="486">
        <v>1</v>
      </c>
      <c r="B77" s="487"/>
      <c r="C77" s="252" t="s">
        <v>112</v>
      </c>
      <c r="D77" s="252"/>
      <c r="E77" s="65" t="s">
        <v>117</v>
      </c>
      <c r="F77" s="488" t="s">
        <v>116</v>
      </c>
      <c r="G77" s="489"/>
      <c r="H77" s="489"/>
      <c r="I77" s="489"/>
      <c r="J77" s="490"/>
      <c r="K77" s="491" t="s">
        <v>119</v>
      </c>
      <c r="L77" s="492"/>
      <c r="M77" s="492"/>
      <c r="N77" s="492"/>
      <c r="O77" s="492"/>
      <c r="P77" s="492"/>
      <c r="Q77" s="492"/>
      <c r="R77" s="492"/>
      <c r="S77" s="493"/>
      <c r="T77" s="494">
        <v>44118</v>
      </c>
      <c r="U77" s="495"/>
      <c r="V77" s="496"/>
      <c r="W77" s="496"/>
      <c r="X77" s="497"/>
      <c r="Y77" s="497"/>
      <c r="Z77" s="497"/>
      <c r="AA77" s="497"/>
      <c r="AB77" s="497"/>
      <c r="AC77" s="497"/>
      <c r="AD77" s="498"/>
      <c r="AF77" s="50"/>
    </row>
    <row r="78" spans="1:32" ht="30" customHeight="1">
      <c r="A78" s="478">
        <f>A77+1</f>
        <v>2</v>
      </c>
      <c r="B78" s="479"/>
      <c r="C78" s="251"/>
      <c r="D78" s="251"/>
      <c r="E78" s="32"/>
      <c r="F78" s="479"/>
      <c r="G78" s="479"/>
      <c r="H78" s="479"/>
      <c r="I78" s="479"/>
      <c r="J78" s="479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78">
        <f t="shared" ref="A79:A83" si="19">A78+1</f>
        <v>3</v>
      </c>
      <c r="B79" s="479"/>
      <c r="C79" s="251"/>
      <c r="D79" s="251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si="19"/>
        <v>4</v>
      </c>
      <c r="B80" s="479"/>
      <c r="C80" s="251"/>
      <c r="D80" s="251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19"/>
        <v>5</v>
      </c>
      <c r="B81" s="479"/>
      <c r="C81" s="251"/>
      <c r="D81" s="251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19"/>
        <v>6</v>
      </c>
      <c r="B82" s="479"/>
      <c r="C82" s="251"/>
      <c r="D82" s="251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19"/>
        <v>7</v>
      </c>
      <c r="B83" s="479"/>
      <c r="C83" s="251"/>
      <c r="D83" s="251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1" t="s">
        <v>434</v>
      </c>
      <c r="B84" s="471"/>
      <c r="C84" s="471"/>
      <c r="D84" s="471"/>
      <c r="E84" s="471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2" t="s">
        <v>111</v>
      </c>
      <c r="B85" s="473"/>
      <c r="C85" s="499" t="s">
        <v>52</v>
      </c>
      <c r="D85" s="499"/>
      <c r="E85" s="499" t="s">
        <v>53</v>
      </c>
      <c r="F85" s="499"/>
      <c r="G85" s="499"/>
      <c r="H85" s="499"/>
      <c r="I85" s="499"/>
      <c r="J85" s="499"/>
      <c r="K85" s="499" t="s">
        <v>54</v>
      </c>
      <c r="L85" s="499"/>
      <c r="M85" s="499"/>
      <c r="N85" s="499"/>
      <c r="O85" s="499"/>
      <c r="P85" s="499"/>
      <c r="Q85" s="499"/>
      <c r="R85" s="499"/>
      <c r="S85" s="499"/>
      <c r="T85" s="499" t="s">
        <v>55</v>
      </c>
      <c r="U85" s="499"/>
      <c r="V85" s="499" t="s">
        <v>56</v>
      </c>
      <c r="W85" s="499"/>
      <c r="X85" s="499"/>
      <c r="Y85" s="499" t="s">
        <v>51</v>
      </c>
      <c r="Z85" s="499"/>
      <c r="AA85" s="499"/>
      <c r="AB85" s="499"/>
      <c r="AC85" s="499"/>
      <c r="AD85" s="500"/>
      <c r="AF85" s="50"/>
    </row>
    <row r="86" spans="1:32" ht="30.75" customHeight="1">
      <c r="A86" s="486">
        <v>1</v>
      </c>
      <c r="B86" s="487"/>
      <c r="C86" s="501">
        <v>9</v>
      </c>
      <c r="D86" s="501"/>
      <c r="E86" s="501" t="s">
        <v>149</v>
      </c>
      <c r="F86" s="501"/>
      <c r="G86" s="501"/>
      <c r="H86" s="501"/>
      <c r="I86" s="501"/>
      <c r="J86" s="501"/>
      <c r="K86" s="501" t="s">
        <v>150</v>
      </c>
      <c r="L86" s="501"/>
      <c r="M86" s="501"/>
      <c r="N86" s="501"/>
      <c r="O86" s="501"/>
      <c r="P86" s="501"/>
      <c r="Q86" s="501"/>
      <c r="R86" s="501"/>
      <c r="S86" s="501"/>
      <c r="T86" s="501" t="s">
        <v>151</v>
      </c>
      <c r="U86" s="501"/>
      <c r="V86" s="502" t="s">
        <v>265</v>
      </c>
      <c r="W86" s="502"/>
      <c r="X86" s="502"/>
      <c r="Y86" s="503" t="s">
        <v>239</v>
      </c>
      <c r="Z86" s="503"/>
      <c r="AA86" s="503"/>
      <c r="AB86" s="503"/>
      <c r="AC86" s="503"/>
      <c r="AD86" s="504"/>
      <c r="AF86" s="50"/>
    </row>
    <row r="87" spans="1:32" ht="30.75" customHeight="1">
      <c r="A87" s="478">
        <v>2</v>
      </c>
      <c r="B87" s="479"/>
      <c r="C87" s="512"/>
      <c r="D87" s="512"/>
      <c r="E87" s="512"/>
      <c r="F87" s="512"/>
      <c r="G87" s="512"/>
      <c r="H87" s="512"/>
      <c r="I87" s="512"/>
      <c r="J87" s="512"/>
      <c r="K87" s="512"/>
      <c r="L87" s="512"/>
      <c r="M87" s="512"/>
      <c r="N87" s="512"/>
      <c r="O87" s="512"/>
      <c r="P87" s="512"/>
      <c r="Q87" s="512"/>
      <c r="R87" s="512"/>
      <c r="S87" s="512"/>
      <c r="T87" s="513"/>
      <c r="U87" s="513"/>
      <c r="V87" s="514"/>
      <c r="W87" s="514"/>
      <c r="X87" s="514"/>
      <c r="Y87" s="505"/>
      <c r="Z87" s="505"/>
      <c r="AA87" s="505"/>
      <c r="AB87" s="505"/>
      <c r="AC87" s="505"/>
      <c r="AD87" s="506"/>
      <c r="AF87" s="50"/>
    </row>
    <row r="88" spans="1:32" ht="30.75" customHeight="1" thickBot="1">
      <c r="A88" s="507">
        <v>3</v>
      </c>
      <c r="B88" s="508"/>
      <c r="C88" s="509"/>
      <c r="D88" s="509"/>
      <c r="E88" s="509"/>
      <c r="F88" s="509"/>
      <c r="G88" s="509"/>
      <c r="H88" s="509"/>
      <c r="I88" s="509"/>
      <c r="J88" s="509"/>
      <c r="K88" s="509"/>
      <c r="L88" s="509"/>
      <c r="M88" s="509"/>
      <c r="N88" s="509"/>
      <c r="O88" s="509"/>
      <c r="P88" s="509"/>
      <c r="Q88" s="509"/>
      <c r="R88" s="509"/>
      <c r="S88" s="509"/>
      <c r="T88" s="509"/>
      <c r="U88" s="509"/>
      <c r="V88" s="509"/>
      <c r="W88" s="509"/>
      <c r="X88" s="509"/>
      <c r="Y88" s="510"/>
      <c r="Z88" s="510"/>
      <c r="AA88" s="510"/>
      <c r="AB88" s="510"/>
      <c r="AC88" s="510"/>
      <c r="AD88" s="511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C59B-A161-464E-9ABD-C8BF15962664}">
  <dimension ref="A1:AF89"/>
  <sheetViews>
    <sheetView view="pageBreakPreview" zoomScale="70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435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264" t="s">
        <v>17</v>
      </c>
      <c r="L5" s="264" t="s">
        <v>18</v>
      </c>
      <c r="M5" s="264" t="s">
        <v>19</v>
      </c>
      <c r="N5" s="26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251</v>
      </c>
      <c r="E6" s="53" t="s">
        <v>399</v>
      </c>
      <c r="F6" s="30" t="s">
        <v>267</v>
      </c>
      <c r="G6" s="12">
        <v>1</v>
      </c>
      <c r="H6" s="13">
        <v>24</v>
      </c>
      <c r="I6" s="7">
        <v>4500</v>
      </c>
      <c r="J6" s="14">
        <v>707</v>
      </c>
      <c r="K6" s="15">
        <f>L6+2951</f>
        <v>3658</v>
      </c>
      <c r="L6" s="15">
        <f>707</f>
        <v>707</v>
      </c>
      <c r="M6" s="15">
        <f t="shared" ref="M6:M23" si="0">L6-N6</f>
        <v>707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4</v>
      </c>
      <c r="Q6" s="40">
        <f t="shared" ref="Q6:Q23" si="3">SUM(R6:AA6)</f>
        <v>20</v>
      </c>
      <c r="R6" s="7"/>
      <c r="S6" s="6">
        <v>20</v>
      </c>
      <c r="T6" s="16"/>
      <c r="U6" s="16"/>
      <c r="V6" s="17"/>
      <c r="W6" s="5"/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0.16666666666666666</v>
      </c>
      <c r="AD6" s="10">
        <f t="shared" ref="AD6:AD23" si="6">AC6*AB6*(1-O6)</f>
        <v>0.16666666666666666</v>
      </c>
      <c r="AE6" s="36">
        <f t="shared" ref="AE6:AE23" si="7">$AD$24</f>
        <v>0.52083333333333337</v>
      </c>
      <c r="AF6" s="84">
        <f t="shared" ref="AF6:AF23" si="8">A6</f>
        <v>1</v>
      </c>
    </row>
    <row r="7" spans="1:32" ht="27" customHeight="1">
      <c r="A7" s="112">
        <v>1</v>
      </c>
      <c r="B7" s="11" t="s">
        <v>57</v>
      </c>
      <c r="C7" s="34" t="s">
        <v>402</v>
      </c>
      <c r="D7" s="52" t="s">
        <v>212</v>
      </c>
      <c r="E7" s="53" t="s">
        <v>427</v>
      </c>
      <c r="F7" s="30" t="s">
        <v>367</v>
      </c>
      <c r="G7" s="12">
        <v>1</v>
      </c>
      <c r="H7" s="13">
        <v>24</v>
      </c>
      <c r="I7" s="31">
        <v>1000</v>
      </c>
      <c r="J7" s="14">
        <v>2619</v>
      </c>
      <c r="K7" s="15">
        <f>L7</f>
        <v>2619</v>
      </c>
      <c r="L7" s="15">
        <v>2619</v>
      </c>
      <c r="M7" s="15">
        <f t="shared" ref="M7" si="9">L7-N7</f>
        <v>2619</v>
      </c>
      <c r="N7" s="15">
        <v>0</v>
      </c>
      <c r="O7" s="58">
        <f t="shared" ref="O7" si="10">IF(L7=0,"0",N7/L7)</f>
        <v>0</v>
      </c>
      <c r="P7" s="39">
        <f t="shared" ref="P7" si="11">IF(L7=0,"0",(24-Q7))</f>
        <v>14</v>
      </c>
      <c r="Q7" s="40">
        <f t="shared" ref="Q7" si="12">SUM(R7:AA7)</f>
        <v>10</v>
      </c>
      <c r="R7" s="7"/>
      <c r="S7" s="6">
        <v>10</v>
      </c>
      <c r="T7" s="16"/>
      <c r="U7" s="16"/>
      <c r="V7" s="17"/>
      <c r="W7" s="5"/>
      <c r="X7" s="16"/>
      <c r="Y7" s="16"/>
      <c r="Z7" s="16"/>
      <c r="AA7" s="18"/>
      <c r="AB7" s="8">
        <f t="shared" ref="AB7" si="13">IF(J7=0,"0",(L7/J7))</f>
        <v>1</v>
      </c>
      <c r="AC7" s="9">
        <f t="shared" ref="AC7" si="14">IF(P7=0,"0",(P7/24))</f>
        <v>0.58333333333333337</v>
      </c>
      <c r="AD7" s="10">
        <f t="shared" ref="AD7" si="15">AC7*AB7*(1-O7)</f>
        <v>0.58333333333333337</v>
      </c>
      <c r="AE7" s="36">
        <f t="shared" si="7"/>
        <v>0.52083333333333337</v>
      </c>
      <c r="AF7" s="84">
        <f t="shared" ref="AF7" si="16">A7</f>
        <v>1</v>
      </c>
    </row>
    <row r="8" spans="1:32" ht="27" customHeight="1">
      <c r="A8" s="112">
        <v>2</v>
      </c>
      <c r="B8" s="11" t="s">
        <v>57</v>
      </c>
      <c r="C8" s="34" t="s">
        <v>118</v>
      </c>
      <c r="D8" s="52" t="s">
        <v>228</v>
      </c>
      <c r="E8" s="53" t="s">
        <v>299</v>
      </c>
      <c r="F8" s="30" t="s">
        <v>344</v>
      </c>
      <c r="G8" s="12">
        <v>2</v>
      </c>
      <c r="H8" s="13">
        <v>24</v>
      </c>
      <c r="I8" s="31">
        <v>80000</v>
      </c>
      <c r="J8" s="14">
        <v>12272</v>
      </c>
      <c r="K8" s="15">
        <f>L8+20667+13102</f>
        <v>46041</v>
      </c>
      <c r="L8" s="15">
        <f>2838*2+3298*2</f>
        <v>12272</v>
      </c>
      <c r="M8" s="15">
        <f t="shared" si="0"/>
        <v>12272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0.52083333333333337</v>
      </c>
      <c r="AF8" s="84">
        <f t="shared" si="8"/>
        <v>2</v>
      </c>
    </row>
    <row r="9" spans="1:32" ht="27" customHeight="1">
      <c r="A9" s="96">
        <v>3</v>
      </c>
      <c r="B9" s="11" t="s">
        <v>57</v>
      </c>
      <c r="C9" s="34" t="s">
        <v>139</v>
      </c>
      <c r="D9" s="52" t="s">
        <v>115</v>
      </c>
      <c r="E9" s="53" t="s">
        <v>294</v>
      </c>
      <c r="F9" s="30" t="s">
        <v>165</v>
      </c>
      <c r="G9" s="33">
        <v>2</v>
      </c>
      <c r="H9" s="35">
        <v>24</v>
      </c>
      <c r="I9" s="7">
        <v>10000</v>
      </c>
      <c r="J9" s="5">
        <v>11550</v>
      </c>
      <c r="K9" s="15">
        <f>L9+8450</f>
        <v>20000</v>
      </c>
      <c r="L9" s="15">
        <f>2893*2+2882*2</f>
        <v>11550</v>
      </c>
      <c r="M9" s="15">
        <f t="shared" si="0"/>
        <v>11550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0.52083333333333337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135</v>
      </c>
      <c r="E10" s="53" t="s">
        <v>134</v>
      </c>
      <c r="F10" s="30" t="s">
        <v>133</v>
      </c>
      <c r="G10" s="12">
        <v>1</v>
      </c>
      <c r="H10" s="13">
        <v>24</v>
      </c>
      <c r="I10" s="7">
        <v>50000</v>
      </c>
      <c r="J10" s="14">
        <v>5490</v>
      </c>
      <c r="K10" s="15">
        <f>L10+4441+5448+5546+5454+5474+5364+5279+1939+4542+4891+3967</f>
        <v>57835</v>
      </c>
      <c r="L10" s="15">
        <f>2756+2734</f>
        <v>5490</v>
      </c>
      <c r="M10" s="15">
        <f t="shared" si="0"/>
        <v>5490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0.52083333333333337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118</v>
      </c>
      <c r="D11" s="52" t="s">
        <v>332</v>
      </c>
      <c r="E11" s="53" t="s">
        <v>333</v>
      </c>
      <c r="F11" s="30" t="s">
        <v>131</v>
      </c>
      <c r="G11" s="33">
        <v>1</v>
      </c>
      <c r="H11" s="35">
        <v>24</v>
      </c>
      <c r="I11" s="7">
        <v>34000</v>
      </c>
      <c r="J11" s="14">
        <v>6190</v>
      </c>
      <c r="K11" s="15">
        <f>L11+3378+6577+6217+6595</f>
        <v>28957</v>
      </c>
      <c r="L11" s="15">
        <f>2937+3253</f>
        <v>6190</v>
      </c>
      <c r="M11" s="15">
        <f t="shared" si="0"/>
        <v>6190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0.52083333333333337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159</v>
      </c>
      <c r="D12" s="52" t="s">
        <v>130</v>
      </c>
      <c r="E12" s="53" t="s">
        <v>171</v>
      </c>
      <c r="F12" s="30" t="s">
        <v>389</v>
      </c>
      <c r="G12" s="33">
        <v>2</v>
      </c>
      <c r="H12" s="35">
        <v>24</v>
      </c>
      <c r="I12" s="7">
        <v>60000</v>
      </c>
      <c r="J12" s="14">
        <v>7322</v>
      </c>
      <c r="K12" s="15">
        <f>L12+13256+13638+7322</f>
        <v>34216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0.52083333333333337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144</v>
      </c>
      <c r="F13" s="30" t="s">
        <v>145</v>
      </c>
      <c r="G13" s="12">
        <v>1</v>
      </c>
      <c r="H13" s="13">
        <v>22</v>
      </c>
      <c r="I13" s="31">
        <v>120000</v>
      </c>
      <c r="J13" s="5">
        <v>3494</v>
      </c>
      <c r="K13" s="15">
        <f>L13+4597+5041+5597+5567+5537+3364+5103+4208+3250+4473+4603+3900+3271+5266+5310+2806+4497+4981+4384+3503+3445+4608+5518+1083</f>
        <v>107406</v>
      </c>
      <c r="L13" s="15">
        <f>2197+1297</f>
        <v>3494</v>
      </c>
      <c r="M13" s="15">
        <f t="shared" si="0"/>
        <v>3494</v>
      </c>
      <c r="N13" s="15">
        <v>0</v>
      </c>
      <c r="O13" s="58">
        <f t="shared" si="1"/>
        <v>0</v>
      </c>
      <c r="P13" s="39">
        <f t="shared" si="2"/>
        <v>17</v>
      </c>
      <c r="Q13" s="40">
        <f t="shared" si="3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0.70833333333333337</v>
      </c>
      <c r="AD13" s="10">
        <f t="shared" si="6"/>
        <v>0.70833333333333337</v>
      </c>
      <c r="AE13" s="36">
        <f t="shared" si="7"/>
        <v>0.52083333333333337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139</v>
      </c>
      <c r="D14" s="52" t="s">
        <v>436</v>
      </c>
      <c r="E14" s="53" t="s">
        <v>437</v>
      </c>
      <c r="F14" s="30" t="s">
        <v>165</v>
      </c>
      <c r="G14" s="33" t="s">
        <v>169</v>
      </c>
      <c r="H14" s="35">
        <v>24</v>
      </c>
      <c r="I14" s="7">
        <v>2000</v>
      </c>
      <c r="J14" s="14">
        <v>3483</v>
      </c>
      <c r="K14" s="15">
        <f>L14</f>
        <v>3483</v>
      </c>
      <c r="L14" s="15">
        <f>579+2904</f>
        <v>3483</v>
      </c>
      <c r="M14" s="15">
        <f t="shared" si="0"/>
        <v>3483</v>
      </c>
      <c r="N14" s="15">
        <v>0</v>
      </c>
      <c r="O14" s="58">
        <f t="shared" si="1"/>
        <v>0</v>
      </c>
      <c r="P14" s="39">
        <f t="shared" si="2"/>
        <v>17</v>
      </c>
      <c r="Q14" s="40">
        <f t="shared" si="3"/>
        <v>7</v>
      </c>
      <c r="R14" s="7"/>
      <c r="S14" s="6">
        <v>7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0.70833333333333337</v>
      </c>
      <c r="AD14" s="10">
        <f t="shared" si="6"/>
        <v>0.70833333333333337</v>
      </c>
      <c r="AE14" s="36">
        <f t="shared" si="7"/>
        <v>0.52083333333333337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400</v>
      </c>
      <c r="F15" s="30" t="s">
        <v>147</v>
      </c>
      <c r="G15" s="33">
        <v>1</v>
      </c>
      <c r="H15" s="35">
        <v>50</v>
      </c>
      <c r="I15" s="7">
        <v>300</v>
      </c>
      <c r="J15" s="5">
        <v>365</v>
      </c>
      <c r="K15" s="15">
        <f>L15+365</f>
        <v>365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0.52083333333333337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139</v>
      </c>
      <c r="D16" s="52" t="s">
        <v>130</v>
      </c>
      <c r="E16" s="53" t="s">
        <v>369</v>
      </c>
      <c r="F16" s="12" t="s">
        <v>367</v>
      </c>
      <c r="G16" s="12">
        <v>1</v>
      </c>
      <c r="H16" s="13">
        <v>24</v>
      </c>
      <c r="I16" s="31">
        <v>2500</v>
      </c>
      <c r="J16" s="14">
        <v>2700</v>
      </c>
      <c r="K16" s="15">
        <f>L16+2700</f>
        <v>2700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0.52083333333333337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228</v>
      </c>
      <c r="E17" s="53" t="s">
        <v>225</v>
      </c>
      <c r="F17" s="30" t="s">
        <v>233</v>
      </c>
      <c r="G17" s="12">
        <v>1</v>
      </c>
      <c r="H17" s="13">
        <v>24</v>
      </c>
      <c r="I17" s="7">
        <v>500</v>
      </c>
      <c r="J17" s="14">
        <v>624</v>
      </c>
      <c r="K17" s="15">
        <f>L17</f>
        <v>624</v>
      </c>
      <c r="L17" s="15">
        <f>312*2</f>
        <v>624</v>
      </c>
      <c r="M17" s="15">
        <f t="shared" si="0"/>
        <v>624</v>
      </c>
      <c r="N17" s="15">
        <v>0</v>
      </c>
      <c r="O17" s="58">
        <f t="shared" si="1"/>
        <v>0</v>
      </c>
      <c r="P17" s="39">
        <f t="shared" si="2"/>
        <v>3</v>
      </c>
      <c r="Q17" s="40">
        <f t="shared" si="3"/>
        <v>21</v>
      </c>
      <c r="R17" s="7"/>
      <c r="S17" s="6"/>
      <c r="T17" s="16"/>
      <c r="U17" s="16"/>
      <c r="V17" s="17"/>
      <c r="W17" s="5">
        <v>21</v>
      </c>
      <c r="X17" s="16"/>
      <c r="Y17" s="16"/>
      <c r="Z17" s="16"/>
      <c r="AA17" s="18"/>
      <c r="AB17" s="8">
        <f t="shared" si="4"/>
        <v>1</v>
      </c>
      <c r="AC17" s="9">
        <f t="shared" si="5"/>
        <v>0.125</v>
      </c>
      <c r="AD17" s="10">
        <f t="shared" si="6"/>
        <v>0.125</v>
      </c>
      <c r="AE17" s="36">
        <f t="shared" si="7"/>
        <v>0.52083333333333337</v>
      </c>
      <c r="AF17" s="84">
        <f t="shared" si="8"/>
        <v>11</v>
      </c>
    </row>
    <row r="18" spans="1:32" ht="30" customHeight="1">
      <c r="A18" s="112">
        <v>11</v>
      </c>
      <c r="B18" s="11" t="s">
        <v>57</v>
      </c>
      <c r="C18" s="34" t="s">
        <v>118</v>
      </c>
      <c r="D18" s="52" t="s">
        <v>115</v>
      </c>
      <c r="E18" s="53" t="s">
        <v>260</v>
      </c>
      <c r="F18" s="30" t="s">
        <v>145</v>
      </c>
      <c r="G18" s="12">
        <v>1</v>
      </c>
      <c r="H18" s="13">
        <v>24</v>
      </c>
      <c r="I18" s="7">
        <v>500</v>
      </c>
      <c r="J18" s="14">
        <v>646</v>
      </c>
      <c r="K18" s="15">
        <f>L18</f>
        <v>646</v>
      </c>
      <c r="L18" s="15">
        <f>323*2</f>
        <v>646</v>
      </c>
      <c r="M18" s="15">
        <f t="shared" ref="M18" si="17">L18-N18</f>
        <v>646</v>
      </c>
      <c r="N18" s="15">
        <v>0</v>
      </c>
      <c r="O18" s="58">
        <f t="shared" ref="O18" si="18">IF(L18=0,"0",N18/L18)</f>
        <v>0</v>
      </c>
      <c r="P18" s="39">
        <f t="shared" ref="P18" si="19">IF(L18=0,"0",(24-Q18))</f>
        <v>3</v>
      </c>
      <c r="Q18" s="40">
        <f t="shared" ref="Q18" si="20">SUM(R18:AA18)</f>
        <v>21</v>
      </c>
      <c r="R18" s="7"/>
      <c r="S18" s="6"/>
      <c r="T18" s="16"/>
      <c r="U18" s="16"/>
      <c r="V18" s="17"/>
      <c r="W18" s="5">
        <v>21</v>
      </c>
      <c r="X18" s="16"/>
      <c r="Y18" s="16"/>
      <c r="Z18" s="16"/>
      <c r="AA18" s="18"/>
      <c r="AB18" s="8">
        <f t="shared" ref="AB18" si="21">IF(J18=0,"0",(L18/J18))</f>
        <v>1</v>
      </c>
      <c r="AC18" s="9">
        <f t="shared" ref="AC18" si="22">IF(P18=0,"0",(P18/24))</f>
        <v>0.125</v>
      </c>
      <c r="AD18" s="10">
        <f t="shared" ref="AD18" si="23">AC18*AB18*(1-O18)</f>
        <v>0.125</v>
      </c>
      <c r="AE18" s="36">
        <f t="shared" si="7"/>
        <v>0.52083333333333337</v>
      </c>
      <c r="AF18" s="84">
        <f t="shared" ref="AF18" si="24">A18</f>
        <v>11</v>
      </c>
    </row>
    <row r="19" spans="1:32" ht="30" customHeight="1">
      <c r="A19" s="95">
        <v>12</v>
      </c>
      <c r="B19" s="11" t="s">
        <v>57</v>
      </c>
      <c r="C19" s="34" t="s">
        <v>120</v>
      </c>
      <c r="D19" s="52"/>
      <c r="E19" s="53" t="s">
        <v>301</v>
      </c>
      <c r="F19" s="30" t="s">
        <v>128</v>
      </c>
      <c r="G19" s="12">
        <v>1</v>
      </c>
      <c r="H19" s="13">
        <v>24</v>
      </c>
      <c r="I19" s="7">
        <v>5400</v>
      </c>
      <c r="J19" s="14">
        <v>3740</v>
      </c>
      <c r="K19" s="15">
        <f>L19+2945+3740</f>
        <v>6685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0.52083333333333337</v>
      </c>
      <c r="AF19" s="84">
        <f t="shared" si="8"/>
        <v>12</v>
      </c>
    </row>
    <row r="20" spans="1:32" ht="27" customHeight="1">
      <c r="A20" s="96">
        <v>13</v>
      </c>
      <c r="B20" s="11" t="s">
        <v>57</v>
      </c>
      <c r="C20" s="11" t="s">
        <v>139</v>
      </c>
      <c r="D20" s="52" t="s">
        <v>115</v>
      </c>
      <c r="E20" s="53" t="s">
        <v>370</v>
      </c>
      <c r="F20" s="30" t="s">
        <v>165</v>
      </c>
      <c r="G20" s="33">
        <v>1</v>
      </c>
      <c r="H20" s="35">
        <v>24</v>
      </c>
      <c r="I20" s="7">
        <v>3000</v>
      </c>
      <c r="J20" s="14">
        <v>897</v>
      </c>
      <c r="K20" s="15">
        <f>L20</f>
        <v>897</v>
      </c>
      <c r="L20" s="15">
        <f>897</f>
        <v>897</v>
      </c>
      <c r="M20" s="15">
        <f t="shared" si="0"/>
        <v>897</v>
      </c>
      <c r="N20" s="15">
        <v>0</v>
      </c>
      <c r="O20" s="58">
        <f t="shared" si="1"/>
        <v>0</v>
      </c>
      <c r="P20" s="39">
        <f t="shared" si="2"/>
        <v>5</v>
      </c>
      <c r="Q20" s="40">
        <f t="shared" si="3"/>
        <v>19</v>
      </c>
      <c r="R20" s="7"/>
      <c r="S20" s="6">
        <v>19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0.20833333333333334</v>
      </c>
      <c r="AD20" s="10">
        <f t="shared" si="6"/>
        <v>0.20833333333333334</v>
      </c>
      <c r="AE20" s="36">
        <f t="shared" si="7"/>
        <v>0.52083333333333337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11" t="s">
        <v>402</v>
      </c>
      <c r="D21" s="52" t="s">
        <v>326</v>
      </c>
      <c r="E21" s="53" t="s">
        <v>425</v>
      </c>
      <c r="F21" s="30" t="s">
        <v>438</v>
      </c>
      <c r="G21" s="33">
        <v>1</v>
      </c>
      <c r="H21" s="35">
        <v>24</v>
      </c>
      <c r="I21" s="7">
        <v>1000</v>
      </c>
      <c r="J21" s="14">
        <v>3332</v>
      </c>
      <c r="K21" s="15">
        <f>L21</f>
        <v>3332</v>
      </c>
      <c r="L21" s="15">
        <f>1691+1641</f>
        <v>3332</v>
      </c>
      <c r="M21" s="15">
        <f t="shared" si="0"/>
        <v>3332</v>
      </c>
      <c r="N21" s="15">
        <v>0</v>
      </c>
      <c r="O21" s="58">
        <f t="shared" si="1"/>
        <v>0</v>
      </c>
      <c r="P21" s="39">
        <f t="shared" si="2"/>
        <v>18</v>
      </c>
      <c r="Q21" s="40">
        <f t="shared" si="3"/>
        <v>6</v>
      </c>
      <c r="R21" s="7"/>
      <c r="S21" s="6">
        <v>6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0.75</v>
      </c>
      <c r="AD21" s="10">
        <f t="shared" si="6"/>
        <v>0.75</v>
      </c>
      <c r="AE21" s="36">
        <f t="shared" si="7"/>
        <v>0.52083333333333337</v>
      </c>
      <c r="AF21" s="84">
        <f t="shared" si="8"/>
        <v>14</v>
      </c>
    </row>
    <row r="22" spans="1:32" ht="30" customHeight="1">
      <c r="A22" s="112">
        <v>15</v>
      </c>
      <c r="B22" s="11" t="s">
        <v>57</v>
      </c>
      <c r="C22" s="34" t="s">
        <v>118</v>
      </c>
      <c r="D22" s="52" t="s">
        <v>115</v>
      </c>
      <c r="E22" s="53" t="s">
        <v>309</v>
      </c>
      <c r="F22" s="30" t="s">
        <v>129</v>
      </c>
      <c r="G22" s="12">
        <v>4</v>
      </c>
      <c r="H22" s="13">
        <v>24</v>
      </c>
      <c r="I22" s="7">
        <v>130000</v>
      </c>
      <c r="J22" s="14">
        <v>20356</v>
      </c>
      <c r="K22" s="15">
        <f>L22+13156+20408+13276+22084+10984</f>
        <v>100264</v>
      </c>
      <c r="L22" s="15">
        <f>2564*4+2525*4</f>
        <v>20356</v>
      </c>
      <c r="M22" s="15">
        <f t="shared" si="0"/>
        <v>20356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0.52083333333333337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346</v>
      </c>
      <c r="F23" s="12" t="s">
        <v>114</v>
      </c>
      <c r="G23" s="12">
        <v>3</v>
      </c>
      <c r="H23" s="35">
        <v>20</v>
      </c>
      <c r="I23" s="7">
        <v>1000000</v>
      </c>
      <c r="J23" s="14">
        <v>75632</v>
      </c>
      <c r="K23" s="15">
        <f>L23+28316+74820+71924+69164+75560</f>
        <v>395416</v>
      </c>
      <c r="L23" s="15">
        <f>9504*4+9404*4</f>
        <v>75632</v>
      </c>
      <c r="M23" s="15">
        <f t="shared" si="0"/>
        <v>75632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6"/>
        <v>1</v>
      </c>
      <c r="AE23" s="36">
        <f t="shared" si="7"/>
        <v>0.52083333333333337</v>
      </c>
      <c r="AF23" s="84">
        <f t="shared" si="8"/>
        <v>16</v>
      </c>
    </row>
    <row r="24" spans="1:32" ht="31.5" customHeight="1" thickBot="1">
      <c r="A24" s="408" t="s">
        <v>34</v>
      </c>
      <c r="B24" s="409"/>
      <c r="C24" s="409"/>
      <c r="D24" s="409"/>
      <c r="E24" s="409"/>
      <c r="F24" s="409"/>
      <c r="G24" s="409"/>
      <c r="H24" s="410"/>
      <c r="I24" s="22">
        <f t="shared" ref="I24:N24" si="25">SUM(I6:I23)</f>
        <v>1504700</v>
      </c>
      <c r="J24" s="19">
        <f t="shared" si="25"/>
        <v>161419</v>
      </c>
      <c r="K24" s="20">
        <f t="shared" si="25"/>
        <v>815144</v>
      </c>
      <c r="L24" s="21">
        <f t="shared" si="25"/>
        <v>147292</v>
      </c>
      <c r="M24" s="20">
        <f t="shared" si="25"/>
        <v>147292</v>
      </c>
      <c r="N24" s="21">
        <f t="shared" si="25"/>
        <v>0</v>
      </c>
      <c r="O24" s="41">
        <f t="shared" si="1"/>
        <v>0</v>
      </c>
      <c r="P24" s="42">
        <f t="shared" ref="P24:AA24" si="26">SUM(P6:P23)</f>
        <v>225</v>
      </c>
      <c r="Q24" s="43">
        <f t="shared" si="26"/>
        <v>207</v>
      </c>
      <c r="R24" s="23">
        <f t="shared" si="26"/>
        <v>0</v>
      </c>
      <c r="S24" s="24">
        <f t="shared" si="26"/>
        <v>93</v>
      </c>
      <c r="T24" s="24">
        <f t="shared" si="26"/>
        <v>0</v>
      </c>
      <c r="U24" s="24">
        <f t="shared" si="26"/>
        <v>0</v>
      </c>
      <c r="V24" s="25">
        <f t="shared" si="26"/>
        <v>0</v>
      </c>
      <c r="W24" s="26">
        <f t="shared" si="26"/>
        <v>114</v>
      </c>
      <c r="X24" s="27">
        <f t="shared" si="26"/>
        <v>0</v>
      </c>
      <c r="Y24" s="27">
        <f t="shared" si="26"/>
        <v>0</v>
      </c>
      <c r="Z24" s="27">
        <f t="shared" si="26"/>
        <v>0</v>
      </c>
      <c r="AA24" s="27">
        <f t="shared" si="26"/>
        <v>0</v>
      </c>
      <c r="AB24" s="28">
        <f>AVERAGE(AB6:AB23)</f>
        <v>0.77777777777777779</v>
      </c>
      <c r="AC24" s="4">
        <f>AVERAGE(AC6:AC23)</f>
        <v>0.52083333333333337</v>
      </c>
      <c r="AD24" s="4">
        <f>AVERAGE(AD6:AD23)</f>
        <v>0.52083333333333337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11" t="s">
        <v>45</v>
      </c>
      <c r="B51" s="411"/>
      <c r="C51" s="411"/>
      <c r="D51" s="411"/>
      <c r="E51" s="411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12" t="s">
        <v>439</v>
      </c>
      <c r="B52" s="413"/>
      <c r="C52" s="413"/>
      <c r="D52" s="413"/>
      <c r="E52" s="413"/>
      <c r="F52" s="413"/>
      <c r="G52" s="413"/>
      <c r="H52" s="413"/>
      <c r="I52" s="413"/>
      <c r="J52" s="413"/>
      <c r="K52" s="413"/>
      <c r="L52" s="413"/>
      <c r="M52" s="414"/>
      <c r="N52" s="415" t="s">
        <v>444</v>
      </c>
      <c r="O52" s="416"/>
      <c r="P52" s="416"/>
      <c r="Q52" s="416"/>
      <c r="R52" s="416"/>
      <c r="S52" s="416"/>
      <c r="T52" s="416"/>
      <c r="U52" s="416"/>
      <c r="V52" s="416"/>
      <c r="W52" s="416"/>
      <c r="X52" s="416"/>
      <c r="Y52" s="416"/>
      <c r="Z52" s="416"/>
      <c r="AA52" s="416"/>
      <c r="AB52" s="416"/>
      <c r="AC52" s="416"/>
      <c r="AD52" s="417"/>
    </row>
    <row r="53" spans="1:32" ht="27" customHeight="1">
      <c r="A53" s="418" t="s">
        <v>2</v>
      </c>
      <c r="B53" s="419"/>
      <c r="C53" s="265" t="s">
        <v>46</v>
      </c>
      <c r="D53" s="265" t="s">
        <v>47</v>
      </c>
      <c r="E53" s="265" t="s">
        <v>107</v>
      </c>
      <c r="F53" s="420" t="s">
        <v>106</v>
      </c>
      <c r="G53" s="421"/>
      <c r="H53" s="421"/>
      <c r="I53" s="421"/>
      <c r="J53" s="421"/>
      <c r="K53" s="421"/>
      <c r="L53" s="421"/>
      <c r="M53" s="422"/>
      <c r="N53" s="67" t="s">
        <v>110</v>
      </c>
      <c r="O53" s="265" t="s">
        <v>46</v>
      </c>
      <c r="P53" s="420" t="s">
        <v>47</v>
      </c>
      <c r="Q53" s="423"/>
      <c r="R53" s="420" t="s">
        <v>38</v>
      </c>
      <c r="S53" s="421"/>
      <c r="T53" s="421"/>
      <c r="U53" s="423"/>
      <c r="V53" s="420" t="s">
        <v>48</v>
      </c>
      <c r="W53" s="421"/>
      <c r="X53" s="421"/>
      <c r="Y53" s="421"/>
      <c r="Z53" s="421"/>
      <c r="AA53" s="421"/>
      <c r="AB53" s="421"/>
      <c r="AC53" s="421"/>
      <c r="AD53" s="422"/>
    </row>
    <row r="54" spans="1:32" ht="27" customHeight="1">
      <c r="A54" s="434" t="s">
        <v>112</v>
      </c>
      <c r="B54" s="435"/>
      <c r="C54" s="267" t="s">
        <v>250</v>
      </c>
      <c r="D54" s="267" t="s">
        <v>251</v>
      </c>
      <c r="E54" s="267" t="s">
        <v>399</v>
      </c>
      <c r="F54" s="436" t="s">
        <v>440</v>
      </c>
      <c r="G54" s="437"/>
      <c r="H54" s="437"/>
      <c r="I54" s="437"/>
      <c r="J54" s="437"/>
      <c r="K54" s="437"/>
      <c r="L54" s="437"/>
      <c r="M54" s="438"/>
      <c r="N54" s="266" t="s">
        <v>139</v>
      </c>
      <c r="O54" s="273" t="s">
        <v>200</v>
      </c>
      <c r="P54" s="439" t="s">
        <v>115</v>
      </c>
      <c r="Q54" s="440"/>
      <c r="R54" s="439" t="s">
        <v>261</v>
      </c>
      <c r="S54" s="441"/>
      <c r="T54" s="441"/>
      <c r="U54" s="440"/>
      <c r="V54" s="442" t="s">
        <v>445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402</v>
      </c>
      <c r="B55" s="435"/>
      <c r="C55" s="267" t="s">
        <v>250</v>
      </c>
      <c r="D55" s="267" t="s">
        <v>212</v>
      </c>
      <c r="E55" s="267" t="s">
        <v>427</v>
      </c>
      <c r="F55" s="436" t="s">
        <v>312</v>
      </c>
      <c r="G55" s="437"/>
      <c r="H55" s="437"/>
      <c r="I55" s="437"/>
      <c r="J55" s="437"/>
      <c r="K55" s="437"/>
      <c r="L55" s="437"/>
      <c r="M55" s="438"/>
      <c r="N55" s="266" t="s">
        <v>118</v>
      </c>
      <c r="O55" s="273" t="s">
        <v>136</v>
      </c>
      <c r="P55" s="439" t="s">
        <v>115</v>
      </c>
      <c r="Q55" s="440"/>
      <c r="R55" s="439" t="s">
        <v>144</v>
      </c>
      <c r="S55" s="441"/>
      <c r="T55" s="441"/>
      <c r="U55" s="440"/>
      <c r="V55" s="442" t="s">
        <v>124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402</v>
      </c>
      <c r="B56" s="435"/>
      <c r="C56" s="267" t="s">
        <v>201</v>
      </c>
      <c r="D56" s="267" t="s">
        <v>326</v>
      </c>
      <c r="E56" s="267" t="s">
        <v>425</v>
      </c>
      <c r="F56" s="436" t="s">
        <v>441</v>
      </c>
      <c r="G56" s="437"/>
      <c r="H56" s="437"/>
      <c r="I56" s="437"/>
      <c r="J56" s="437"/>
      <c r="K56" s="437"/>
      <c r="L56" s="437"/>
      <c r="M56" s="438"/>
      <c r="N56" s="266" t="s">
        <v>402</v>
      </c>
      <c r="O56" s="273" t="s">
        <v>201</v>
      </c>
      <c r="P56" s="439" t="s">
        <v>326</v>
      </c>
      <c r="Q56" s="440"/>
      <c r="R56" s="439" t="s">
        <v>425</v>
      </c>
      <c r="S56" s="441"/>
      <c r="T56" s="441"/>
      <c r="U56" s="440"/>
      <c r="V56" s="442" t="s">
        <v>124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118</v>
      </c>
      <c r="B57" s="435"/>
      <c r="C57" s="267" t="s">
        <v>140</v>
      </c>
      <c r="D57" s="267" t="s">
        <v>228</v>
      </c>
      <c r="E57" s="267" t="s">
        <v>299</v>
      </c>
      <c r="F57" s="436" t="s">
        <v>124</v>
      </c>
      <c r="G57" s="437"/>
      <c r="H57" s="437"/>
      <c r="I57" s="437"/>
      <c r="J57" s="437"/>
      <c r="K57" s="437"/>
      <c r="L57" s="437"/>
      <c r="M57" s="438"/>
      <c r="N57" s="266"/>
      <c r="O57" s="273"/>
      <c r="P57" s="439"/>
      <c r="Q57" s="440"/>
      <c r="R57" s="439"/>
      <c r="S57" s="441"/>
      <c r="T57" s="441"/>
      <c r="U57" s="440"/>
      <c r="V57" s="442"/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118</v>
      </c>
      <c r="B58" s="435"/>
      <c r="C58" s="267" t="s">
        <v>141</v>
      </c>
      <c r="D58" s="267" t="s">
        <v>228</v>
      </c>
      <c r="E58" s="267" t="s">
        <v>225</v>
      </c>
      <c r="F58" s="436" t="s">
        <v>138</v>
      </c>
      <c r="G58" s="437"/>
      <c r="H58" s="437"/>
      <c r="I58" s="437"/>
      <c r="J58" s="437"/>
      <c r="K58" s="437"/>
      <c r="L58" s="437"/>
      <c r="M58" s="438"/>
      <c r="N58" s="266"/>
      <c r="O58" s="273"/>
      <c r="P58" s="439"/>
      <c r="Q58" s="440"/>
      <c r="R58" s="439"/>
      <c r="S58" s="441"/>
      <c r="T58" s="441"/>
      <c r="U58" s="440"/>
      <c r="V58" s="442"/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 t="s">
        <v>118</v>
      </c>
      <c r="B59" s="435"/>
      <c r="C59" s="267" t="s">
        <v>141</v>
      </c>
      <c r="D59" s="267" t="s">
        <v>115</v>
      </c>
      <c r="E59" s="267" t="s">
        <v>260</v>
      </c>
      <c r="F59" s="436" t="s">
        <v>138</v>
      </c>
      <c r="G59" s="437"/>
      <c r="H59" s="437"/>
      <c r="I59" s="437"/>
      <c r="J59" s="437"/>
      <c r="K59" s="437"/>
      <c r="L59" s="437"/>
      <c r="M59" s="438"/>
      <c r="N59" s="266"/>
      <c r="O59" s="273"/>
      <c r="P59" s="439"/>
      <c r="Q59" s="440"/>
      <c r="R59" s="439"/>
      <c r="S59" s="441"/>
      <c r="T59" s="441"/>
      <c r="U59" s="440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34" t="s">
        <v>139</v>
      </c>
      <c r="B60" s="435"/>
      <c r="C60" s="267" t="s">
        <v>200</v>
      </c>
      <c r="D60" s="267" t="s">
        <v>115</v>
      </c>
      <c r="E60" s="267" t="s">
        <v>442</v>
      </c>
      <c r="F60" s="436" t="s">
        <v>443</v>
      </c>
      <c r="G60" s="437"/>
      <c r="H60" s="437"/>
      <c r="I60" s="437"/>
      <c r="J60" s="437"/>
      <c r="K60" s="437"/>
      <c r="L60" s="437"/>
      <c r="M60" s="438"/>
      <c r="N60" s="266"/>
      <c r="O60" s="273"/>
      <c r="P60" s="439"/>
      <c r="Q60" s="440"/>
      <c r="R60" s="439"/>
      <c r="S60" s="441"/>
      <c r="T60" s="441"/>
      <c r="U60" s="440"/>
      <c r="V60" s="442"/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57" t="s">
        <v>118</v>
      </c>
      <c r="B61" s="458"/>
      <c r="C61" s="271" t="s">
        <v>136</v>
      </c>
      <c r="D61" s="271" t="s">
        <v>115</v>
      </c>
      <c r="E61" s="267" t="s">
        <v>144</v>
      </c>
      <c r="F61" s="436" t="s">
        <v>446</v>
      </c>
      <c r="G61" s="437"/>
      <c r="H61" s="437"/>
      <c r="I61" s="437"/>
      <c r="J61" s="437"/>
      <c r="K61" s="437"/>
      <c r="L61" s="437"/>
      <c r="M61" s="438"/>
      <c r="N61" s="266"/>
      <c r="O61" s="273"/>
      <c r="P61" s="439"/>
      <c r="Q61" s="440"/>
      <c r="R61" s="435"/>
      <c r="S61" s="435"/>
      <c r="T61" s="435"/>
      <c r="U61" s="435"/>
      <c r="V61" s="442"/>
      <c r="W61" s="442"/>
      <c r="X61" s="442"/>
      <c r="Y61" s="442"/>
      <c r="Z61" s="442"/>
      <c r="AA61" s="442"/>
      <c r="AB61" s="442"/>
      <c r="AC61" s="442"/>
      <c r="AD61" s="443"/>
    </row>
    <row r="62" spans="1:32" ht="27" customHeight="1">
      <c r="A62" s="457"/>
      <c r="B62" s="458"/>
      <c r="C62" s="271"/>
      <c r="D62" s="271"/>
      <c r="E62" s="267"/>
      <c r="F62" s="436"/>
      <c r="G62" s="437"/>
      <c r="H62" s="437"/>
      <c r="I62" s="437"/>
      <c r="J62" s="437"/>
      <c r="K62" s="437"/>
      <c r="L62" s="437"/>
      <c r="M62" s="438"/>
      <c r="N62" s="266"/>
      <c r="O62" s="273"/>
      <c r="P62" s="435"/>
      <c r="Q62" s="435"/>
      <c r="R62" s="435"/>
      <c r="S62" s="435"/>
      <c r="T62" s="435"/>
      <c r="U62" s="435"/>
      <c r="V62" s="442"/>
      <c r="W62" s="442"/>
      <c r="X62" s="442"/>
      <c r="Y62" s="442"/>
      <c r="Z62" s="442"/>
      <c r="AA62" s="442"/>
      <c r="AB62" s="442"/>
      <c r="AC62" s="442"/>
      <c r="AD62" s="443"/>
      <c r="AF62" s="84">
        <f>8*3000</f>
        <v>24000</v>
      </c>
    </row>
    <row r="63" spans="1:32" ht="27" customHeight="1" thickBot="1">
      <c r="A63" s="444"/>
      <c r="B63" s="445"/>
      <c r="C63" s="268"/>
      <c r="D63" s="269"/>
      <c r="E63" s="268"/>
      <c r="F63" s="446"/>
      <c r="G63" s="447"/>
      <c r="H63" s="447"/>
      <c r="I63" s="447"/>
      <c r="J63" s="447"/>
      <c r="K63" s="447"/>
      <c r="L63" s="447"/>
      <c r="M63" s="448"/>
      <c r="N63" s="111"/>
      <c r="O63" s="103"/>
      <c r="P63" s="449"/>
      <c r="Q63" s="449"/>
      <c r="R63" s="449"/>
      <c r="S63" s="449"/>
      <c r="T63" s="449"/>
      <c r="U63" s="449"/>
      <c r="V63" s="450"/>
      <c r="W63" s="450"/>
      <c r="X63" s="450"/>
      <c r="Y63" s="450"/>
      <c r="Z63" s="450"/>
      <c r="AA63" s="450"/>
      <c r="AB63" s="450"/>
      <c r="AC63" s="450"/>
      <c r="AD63" s="451"/>
      <c r="AF63" s="84">
        <f>16*3000</f>
        <v>48000</v>
      </c>
    </row>
    <row r="64" spans="1:32" ht="27.75" thickBot="1">
      <c r="A64" s="452" t="s">
        <v>447</v>
      </c>
      <c r="B64" s="452"/>
      <c r="C64" s="452"/>
      <c r="D64" s="452"/>
      <c r="E64" s="452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53" t="s">
        <v>111</v>
      </c>
      <c r="B65" s="454"/>
      <c r="C65" s="270" t="s">
        <v>2</v>
      </c>
      <c r="D65" s="270" t="s">
        <v>37</v>
      </c>
      <c r="E65" s="270" t="s">
        <v>3</v>
      </c>
      <c r="F65" s="454" t="s">
        <v>109</v>
      </c>
      <c r="G65" s="454"/>
      <c r="H65" s="454"/>
      <c r="I65" s="454"/>
      <c r="J65" s="454"/>
      <c r="K65" s="454" t="s">
        <v>39</v>
      </c>
      <c r="L65" s="454"/>
      <c r="M65" s="270" t="s">
        <v>40</v>
      </c>
      <c r="N65" s="454" t="s">
        <v>41</v>
      </c>
      <c r="O65" s="454"/>
      <c r="P65" s="455" t="s">
        <v>42</v>
      </c>
      <c r="Q65" s="456"/>
      <c r="R65" s="455" t="s">
        <v>43</v>
      </c>
      <c r="S65" s="459"/>
      <c r="T65" s="459"/>
      <c r="U65" s="459"/>
      <c r="V65" s="459"/>
      <c r="W65" s="459"/>
      <c r="X65" s="459"/>
      <c r="Y65" s="459"/>
      <c r="Z65" s="459"/>
      <c r="AA65" s="456"/>
      <c r="AB65" s="454" t="s">
        <v>44</v>
      </c>
      <c r="AC65" s="454"/>
      <c r="AD65" s="460"/>
      <c r="AF65" s="84">
        <f>SUM(AF62:AF64)</f>
        <v>96000</v>
      </c>
    </row>
    <row r="66" spans="1:32" ht="25.5" customHeight="1">
      <c r="A66" s="461">
        <v>1</v>
      </c>
      <c r="B66" s="462"/>
      <c r="C66" s="104" t="s">
        <v>118</v>
      </c>
      <c r="D66" s="275"/>
      <c r="E66" s="272" t="s">
        <v>130</v>
      </c>
      <c r="F66" s="463" t="s">
        <v>269</v>
      </c>
      <c r="G66" s="464"/>
      <c r="H66" s="464"/>
      <c r="I66" s="464"/>
      <c r="J66" s="465"/>
      <c r="K66" s="466" t="s">
        <v>131</v>
      </c>
      <c r="L66" s="466"/>
      <c r="M66" s="51" t="s">
        <v>230</v>
      </c>
      <c r="N66" s="467" t="s">
        <v>141</v>
      </c>
      <c r="O66" s="467"/>
      <c r="P66" s="468">
        <v>100</v>
      </c>
      <c r="Q66" s="468"/>
      <c r="R66" s="442" t="s">
        <v>448</v>
      </c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2</v>
      </c>
      <c r="B67" s="462"/>
      <c r="C67" s="104"/>
      <c r="D67" s="275"/>
      <c r="E67" s="272"/>
      <c r="F67" s="463"/>
      <c r="G67" s="464"/>
      <c r="H67" s="464"/>
      <c r="I67" s="464"/>
      <c r="J67" s="465"/>
      <c r="K67" s="466"/>
      <c r="L67" s="466"/>
      <c r="M67" s="51"/>
      <c r="N67" s="467"/>
      <c r="O67" s="467"/>
      <c r="P67" s="468"/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3</v>
      </c>
      <c r="B68" s="462"/>
      <c r="C68" s="104"/>
      <c r="D68" s="275"/>
      <c r="E68" s="272"/>
      <c r="F68" s="463"/>
      <c r="G68" s="464"/>
      <c r="H68" s="464"/>
      <c r="I68" s="464"/>
      <c r="J68" s="465"/>
      <c r="K68" s="466"/>
      <c r="L68" s="466"/>
      <c r="M68" s="51"/>
      <c r="N68" s="467"/>
      <c r="O68" s="467"/>
      <c r="P68" s="468"/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4</v>
      </c>
      <c r="B69" s="462"/>
      <c r="C69" s="104"/>
      <c r="D69" s="275"/>
      <c r="E69" s="272"/>
      <c r="F69" s="463"/>
      <c r="G69" s="464"/>
      <c r="H69" s="464"/>
      <c r="I69" s="464"/>
      <c r="J69" s="465"/>
      <c r="K69" s="466"/>
      <c r="L69" s="466"/>
      <c r="M69" s="51"/>
      <c r="N69" s="467"/>
      <c r="O69" s="467"/>
      <c r="P69" s="468"/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5</v>
      </c>
      <c r="B70" s="462"/>
      <c r="C70" s="104"/>
      <c r="D70" s="275"/>
      <c r="E70" s="272"/>
      <c r="F70" s="463"/>
      <c r="G70" s="464"/>
      <c r="H70" s="464"/>
      <c r="I70" s="464"/>
      <c r="J70" s="465"/>
      <c r="K70" s="466"/>
      <c r="L70" s="466"/>
      <c r="M70" s="51"/>
      <c r="N70" s="467"/>
      <c r="O70" s="467"/>
      <c r="P70" s="468"/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6</v>
      </c>
      <c r="B71" s="462"/>
      <c r="C71" s="104"/>
      <c r="D71" s="275"/>
      <c r="E71" s="272"/>
      <c r="F71" s="463"/>
      <c r="G71" s="464"/>
      <c r="H71" s="464"/>
      <c r="I71" s="464"/>
      <c r="J71" s="465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7</v>
      </c>
      <c r="B72" s="462"/>
      <c r="C72" s="104"/>
      <c r="D72" s="275"/>
      <c r="E72" s="272"/>
      <c r="F72" s="463"/>
      <c r="G72" s="464"/>
      <c r="H72" s="464"/>
      <c r="I72" s="464"/>
      <c r="J72" s="465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8</v>
      </c>
      <c r="B73" s="462"/>
      <c r="C73" s="104"/>
      <c r="D73" s="275"/>
      <c r="E73" s="272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9</v>
      </c>
      <c r="B74" s="462"/>
      <c r="C74" s="104"/>
      <c r="D74" s="275"/>
      <c r="E74" s="272"/>
      <c r="F74" s="470"/>
      <c r="G74" s="466"/>
      <c r="H74" s="466"/>
      <c r="I74" s="466"/>
      <c r="J74" s="466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5.5" customHeight="1">
      <c r="A75" s="461">
        <v>10</v>
      </c>
      <c r="B75" s="462"/>
      <c r="C75" s="104"/>
      <c r="D75" s="275"/>
      <c r="E75" s="272"/>
      <c r="F75" s="470"/>
      <c r="G75" s="466"/>
      <c r="H75" s="466"/>
      <c r="I75" s="466"/>
      <c r="J75" s="466"/>
      <c r="K75" s="466"/>
      <c r="L75" s="466"/>
      <c r="M75" s="51"/>
      <c r="N75" s="467"/>
      <c r="O75" s="467"/>
      <c r="P75" s="468"/>
      <c r="Q75" s="468"/>
      <c r="R75" s="442"/>
      <c r="S75" s="442"/>
      <c r="T75" s="442"/>
      <c r="U75" s="442"/>
      <c r="V75" s="442"/>
      <c r="W75" s="442"/>
      <c r="X75" s="442"/>
      <c r="Y75" s="442"/>
      <c r="Z75" s="442"/>
      <c r="AA75" s="442"/>
      <c r="AB75" s="466"/>
      <c r="AC75" s="466"/>
      <c r="AD75" s="469"/>
      <c r="AF75" s="50"/>
    </row>
    <row r="76" spans="1:32" ht="26.25" customHeight="1" thickBot="1">
      <c r="A76" s="471" t="s">
        <v>449</v>
      </c>
      <c r="B76" s="471"/>
      <c r="C76" s="471"/>
      <c r="D76" s="471"/>
      <c r="E76" s="471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72" t="s">
        <v>126</v>
      </c>
      <c r="B77" s="473"/>
      <c r="C77" s="274" t="s">
        <v>2</v>
      </c>
      <c r="D77" s="274" t="s">
        <v>37</v>
      </c>
      <c r="E77" s="274" t="s">
        <v>125</v>
      </c>
      <c r="F77" s="473" t="s">
        <v>38</v>
      </c>
      <c r="G77" s="473"/>
      <c r="H77" s="473"/>
      <c r="I77" s="473"/>
      <c r="J77" s="473"/>
      <c r="K77" s="474" t="s">
        <v>58</v>
      </c>
      <c r="L77" s="475"/>
      <c r="M77" s="475"/>
      <c r="N77" s="475"/>
      <c r="O77" s="475"/>
      <c r="P77" s="475"/>
      <c r="Q77" s="475"/>
      <c r="R77" s="475"/>
      <c r="S77" s="476"/>
      <c r="T77" s="473" t="s">
        <v>49</v>
      </c>
      <c r="U77" s="473"/>
      <c r="V77" s="474" t="s">
        <v>50</v>
      </c>
      <c r="W77" s="476"/>
      <c r="X77" s="475" t="s">
        <v>51</v>
      </c>
      <c r="Y77" s="475"/>
      <c r="Z77" s="475"/>
      <c r="AA77" s="475"/>
      <c r="AB77" s="475"/>
      <c r="AC77" s="475"/>
      <c r="AD77" s="477"/>
      <c r="AF77" s="50"/>
    </row>
    <row r="78" spans="1:32" ht="33.75" customHeight="1">
      <c r="A78" s="486">
        <v>1</v>
      </c>
      <c r="B78" s="487"/>
      <c r="C78" s="276" t="s">
        <v>112</v>
      </c>
      <c r="D78" s="276"/>
      <c r="E78" s="65" t="s">
        <v>117</v>
      </c>
      <c r="F78" s="488" t="s">
        <v>116</v>
      </c>
      <c r="G78" s="489"/>
      <c r="H78" s="489"/>
      <c r="I78" s="489"/>
      <c r="J78" s="490"/>
      <c r="K78" s="491" t="s">
        <v>119</v>
      </c>
      <c r="L78" s="492"/>
      <c r="M78" s="492"/>
      <c r="N78" s="492"/>
      <c r="O78" s="492"/>
      <c r="P78" s="492"/>
      <c r="Q78" s="492"/>
      <c r="R78" s="492"/>
      <c r="S78" s="493"/>
      <c r="T78" s="494">
        <v>44118</v>
      </c>
      <c r="U78" s="495"/>
      <c r="V78" s="496"/>
      <c r="W78" s="496"/>
      <c r="X78" s="497"/>
      <c r="Y78" s="497"/>
      <c r="Z78" s="497"/>
      <c r="AA78" s="497"/>
      <c r="AB78" s="497"/>
      <c r="AC78" s="497"/>
      <c r="AD78" s="498"/>
      <c r="AF78" s="50"/>
    </row>
    <row r="79" spans="1:32" ht="30" customHeight="1">
      <c r="A79" s="478">
        <f>A78+1</f>
        <v>2</v>
      </c>
      <c r="B79" s="479"/>
      <c r="C79" s="275"/>
      <c r="D79" s="275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ref="A80:A84" si="27">A79+1</f>
        <v>3</v>
      </c>
      <c r="B80" s="479"/>
      <c r="C80" s="275"/>
      <c r="D80" s="275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27"/>
        <v>4</v>
      </c>
      <c r="B81" s="479"/>
      <c r="C81" s="275"/>
      <c r="D81" s="275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27"/>
        <v>5</v>
      </c>
      <c r="B82" s="479"/>
      <c r="C82" s="275"/>
      <c r="D82" s="275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27"/>
        <v>6</v>
      </c>
      <c r="B83" s="479"/>
      <c r="C83" s="275"/>
      <c r="D83" s="275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78">
        <f t="shared" si="27"/>
        <v>7</v>
      </c>
      <c r="B84" s="479"/>
      <c r="C84" s="275"/>
      <c r="D84" s="275"/>
      <c r="E84" s="32"/>
      <c r="F84" s="479"/>
      <c r="G84" s="479"/>
      <c r="H84" s="479"/>
      <c r="I84" s="479"/>
      <c r="J84" s="479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6" thickBot="1">
      <c r="A85" s="471" t="s">
        <v>450</v>
      </c>
      <c r="B85" s="471"/>
      <c r="C85" s="471"/>
      <c r="D85" s="471"/>
      <c r="E85" s="471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2" t="s">
        <v>111</v>
      </c>
      <c r="B86" s="473"/>
      <c r="C86" s="499" t="s">
        <v>52</v>
      </c>
      <c r="D86" s="499"/>
      <c r="E86" s="499" t="s">
        <v>53</v>
      </c>
      <c r="F86" s="499"/>
      <c r="G86" s="499"/>
      <c r="H86" s="499"/>
      <c r="I86" s="499"/>
      <c r="J86" s="499"/>
      <c r="K86" s="499" t="s">
        <v>54</v>
      </c>
      <c r="L86" s="499"/>
      <c r="M86" s="499"/>
      <c r="N86" s="499"/>
      <c r="O86" s="499"/>
      <c r="P86" s="499"/>
      <c r="Q86" s="499"/>
      <c r="R86" s="499"/>
      <c r="S86" s="499"/>
      <c r="T86" s="499" t="s">
        <v>55</v>
      </c>
      <c r="U86" s="499"/>
      <c r="V86" s="499" t="s">
        <v>56</v>
      </c>
      <c r="W86" s="499"/>
      <c r="X86" s="499"/>
      <c r="Y86" s="499" t="s">
        <v>51</v>
      </c>
      <c r="Z86" s="499"/>
      <c r="AA86" s="499"/>
      <c r="AB86" s="499"/>
      <c r="AC86" s="499"/>
      <c r="AD86" s="500"/>
      <c r="AF86" s="50"/>
    </row>
    <row r="87" spans="1:32" ht="30.75" customHeight="1">
      <c r="A87" s="486">
        <v>1</v>
      </c>
      <c r="B87" s="487"/>
      <c r="C87" s="501">
        <v>9</v>
      </c>
      <c r="D87" s="501"/>
      <c r="E87" s="501" t="s">
        <v>149</v>
      </c>
      <c r="F87" s="501"/>
      <c r="G87" s="501"/>
      <c r="H87" s="501"/>
      <c r="I87" s="501"/>
      <c r="J87" s="501"/>
      <c r="K87" s="501" t="s">
        <v>150</v>
      </c>
      <c r="L87" s="501"/>
      <c r="M87" s="501"/>
      <c r="N87" s="501"/>
      <c r="O87" s="501"/>
      <c r="P87" s="501"/>
      <c r="Q87" s="501"/>
      <c r="R87" s="501"/>
      <c r="S87" s="501"/>
      <c r="T87" s="501" t="s">
        <v>151</v>
      </c>
      <c r="U87" s="501"/>
      <c r="V87" s="502" t="s">
        <v>265</v>
      </c>
      <c r="W87" s="502"/>
      <c r="X87" s="502"/>
      <c r="Y87" s="503" t="s">
        <v>239</v>
      </c>
      <c r="Z87" s="503"/>
      <c r="AA87" s="503"/>
      <c r="AB87" s="503"/>
      <c r="AC87" s="503"/>
      <c r="AD87" s="504"/>
      <c r="AF87" s="50"/>
    </row>
    <row r="88" spans="1:32" ht="30.75" customHeight="1">
      <c r="A88" s="478">
        <v>2</v>
      </c>
      <c r="B88" s="479"/>
      <c r="C88" s="512"/>
      <c r="D88" s="512"/>
      <c r="E88" s="512"/>
      <c r="F88" s="512"/>
      <c r="G88" s="512"/>
      <c r="H88" s="512"/>
      <c r="I88" s="512"/>
      <c r="J88" s="512"/>
      <c r="K88" s="512"/>
      <c r="L88" s="512"/>
      <c r="M88" s="512"/>
      <c r="N88" s="512"/>
      <c r="O88" s="512"/>
      <c r="P88" s="512"/>
      <c r="Q88" s="512"/>
      <c r="R88" s="512"/>
      <c r="S88" s="512"/>
      <c r="T88" s="513"/>
      <c r="U88" s="513"/>
      <c r="V88" s="514"/>
      <c r="W88" s="514"/>
      <c r="X88" s="514"/>
      <c r="Y88" s="505"/>
      <c r="Z88" s="505"/>
      <c r="AA88" s="505"/>
      <c r="AB88" s="505"/>
      <c r="AC88" s="505"/>
      <c r="AD88" s="506"/>
      <c r="AF88" s="50"/>
    </row>
    <row r="89" spans="1:32" ht="30.75" customHeight="1" thickBot="1">
      <c r="A89" s="507">
        <v>3</v>
      </c>
      <c r="B89" s="508"/>
      <c r="C89" s="509"/>
      <c r="D89" s="509"/>
      <c r="E89" s="509"/>
      <c r="F89" s="509"/>
      <c r="G89" s="509"/>
      <c r="H89" s="509"/>
      <c r="I89" s="509"/>
      <c r="J89" s="509"/>
      <c r="K89" s="509"/>
      <c r="L89" s="509"/>
      <c r="M89" s="509"/>
      <c r="N89" s="509"/>
      <c r="O89" s="509"/>
      <c r="P89" s="509"/>
      <c r="Q89" s="509"/>
      <c r="R89" s="509"/>
      <c r="S89" s="509"/>
      <c r="T89" s="509"/>
      <c r="U89" s="509"/>
      <c r="V89" s="509"/>
      <c r="W89" s="509"/>
      <c r="X89" s="509"/>
      <c r="Y89" s="510"/>
      <c r="Z89" s="510"/>
      <c r="AA89" s="510"/>
      <c r="AB89" s="510"/>
      <c r="AC89" s="510"/>
      <c r="AD89" s="511"/>
      <c r="AF89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4976-D0D6-431E-8363-DEE4EC8D6BF1}">
  <dimension ref="A1:AF88"/>
  <sheetViews>
    <sheetView view="pageBreakPreview" zoomScale="70" zoomScaleNormal="72" zoomScaleSheetLayoutView="70" workbookViewId="0">
      <selection activeCell="K78" sqref="K78:S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451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289" t="s">
        <v>17</v>
      </c>
      <c r="L5" s="289" t="s">
        <v>18</v>
      </c>
      <c r="M5" s="289" t="s">
        <v>19</v>
      </c>
      <c r="N5" s="28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27" customHeight="1">
      <c r="A6" s="112">
        <v>1</v>
      </c>
      <c r="B6" s="11" t="s">
        <v>57</v>
      </c>
      <c r="C6" s="34" t="s">
        <v>402</v>
      </c>
      <c r="D6" s="52" t="s">
        <v>212</v>
      </c>
      <c r="E6" s="53" t="s">
        <v>427</v>
      </c>
      <c r="F6" s="30" t="s">
        <v>367</v>
      </c>
      <c r="G6" s="12">
        <v>1</v>
      </c>
      <c r="H6" s="13">
        <v>24</v>
      </c>
      <c r="I6" s="31">
        <v>1000</v>
      </c>
      <c r="J6" s="14">
        <v>347</v>
      </c>
      <c r="K6" s="15">
        <f>L6+2619</f>
        <v>2966</v>
      </c>
      <c r="L6" s="15">
        <v>347</v>
      </c>
      <c r="M6" s="15">
        <f t="shared" ref="M6:M22" si="0">L6-N6</f>
        <v>347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4</v>
      </c>
      <c r="Q6" s="40">
        <f t="shared" ref="Q6:Q22" si="3">SUM(R6:AA6)</f>
        <v>20</v>
      </c>
      <c r="R6" s="7"/>
      <c r="S6" s="6"/>
      <c r="T6" s="16"/>
      <c r="U6" s="16"/>
      <c r="V6" s="17"/>
      <c r="W6" s="5"/>
      <c r="X6" s="16"/>
      <c r="Y6" s="16"/>
      <c r="Z6" s="16"/>
      <c r="AA6" s="18">
        <v>20</v>
      </c>
      <c r="AB6" s="8">
        <f t="shared" ref="AB6:AB22" si="4">IF(J6=0,"0",(L6/J6))</f>
        <v>1</v>
      </c>
      <c r="AC6" s="9">
        <f t="shared" ref="AC6:AC22" si="5">IF(P6=0,"0",(P6/24))</f>
        <v>0.16666666666666666</v>
      </c>
      <c r="AD6" s="10">
        <f t="shared" ref="AD6:AD22" si="6">AC6*AB6*(1-O6)</f>
        <v>0.16666666666666666</v>
      </c>
      <c r="AE6" s="36">
        <f t="shared" ref="AE6:AE22" si="7">$AD$23</f>
        <v>0.52696078431372539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228</v>
      </c>
      <c r="E7" s="53" t="s">
        <v>299</v>
      </c>
      <c r="F7" s="30" t="s">
        <v>344</v>
      </c>
      <c r="G7" s="12">
        <v>2</v>
      </c>
      <c r="H7" s="13">
        <v>24</v>
      </c>
      <c r="I7" s="31">
        <v>130000</v>
      </c>
      <c r="J7" s="14">
        <v>13122</v>
      </c>
      <c r="K7" s="15">
        <f>L7+20667+13102+12272</f>
        <v>59163</v>
      </c>
      <c r="L7" s="15">
        <f>3280*2+3281*2</f>
        <v>13122</v>
      </c>
      <c r="M7" s="15">
        <f t="shared" si="0"/>
        <v>13122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0.52696078431372539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139</v>
      </c>
      <c r="D8" s="52" t="s">
        <v>115</v>
      </c>
      <c r="E8" s="53" t="s">
        <v>294</v>
      </c>
      <c r="F8" s="30" t="s">
        <v>165</v>
      </c>
      <c r="G8" s="33">
        <v>2</v>
      </c>
      <c r="H8" s="35">
        <v>24</v>
      </c>
      <c r="I8" s="7">
        <v>10000</v>
      </c>
      <c r="J8" s="5">
        <v>11386</v>
      </c>
      <c r="K8" s="15">
        <f>L8+8450+11550</f>
        <v>31386</v>
      </c>
      <c r="L8" s="15">
        <f>2879*2+2814*2</f>
        <v>11386</v>
      </c>
      <c r="M8" s="15">
        <f t="shared" si="0"/>
        <v>11386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0.52696078431372539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134</v>
      </c>
      <c r="F9" s="30" t="s">
        <v>133</v>
      </c>
      <c r="G9" s="12">
        <v>1</v>
      </c>
      <c r="H9" s="13">
        <v>24</v>
      </c>
      <c r="I9" s="7">
        <v>50000</v>
      </c>
      <c r="J9" s="14">
        <v>5482</v>
      </c>
      <c r="K9" s="15">
        <f>L9+4441+5448+5546+5454+5474+5364+5279+1939+4542+4891+3967+5490</f>
        <v>63317</v>
      </c>
      <c r="L9" s="15">
        <f>2745+2737</f>
        <v>5482</v>
      </c>
      <c r="M9" s="15">
        <f t="shared" si="0"/>
        <v>5482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0.52696078431372539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332</v>
      </c>
      <c r="E10" s="53" t="s">
        <v>333</v>
      </c>
      <c r="F10" s="30" t="s">
        <v>131</v>
      </c>
      <c r="G10" s="33">
        <v>1</v>
      </c>
      <c r="H10" s="35">
        <v>24</v>
      </c>
      <c r="I10" s="7">
        <v>34000</v>
      </c>
      <c r="J10" s="14">
        <v>6462</v>
      </c>
      <c r="K10" s="15">
        <f>L10+3378+6577+6217+6595+6190</f>
        <v>35419</v>
      </c>
      <c r="L10" s="15">
        <f>3226+3236</f>
        <v>6462</v>
      </c>
      <c r="M10" s="15">
        <f t="shared" si="0"/>
        <v>6462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0.52696078431372539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/>
      <c r="E11" s="53" t="s">
        <v>164</v>
      </c>
      <c r="F11" s="30" t="s">
        <v>165</v>
      </c>
      <c r="G11" s="33">
        <v>2</v>
      </c>
      <c r="H11" s="35">
        <v>24</v>
      </c>
      <c r="I11" s="7">
        <v>1500</v>
      </c>
      <c r="J11" s="14">
        <v>1652</v>
      </c>
      <c r="K11" s="15">
        <f>L11</f>
        <v>1652</v>
      </c>
      <c r="L11" s="15">
        <f>826*2</f>
        <v>1652</v>
      </c>
      <c r="M11" s="15">
        <f t="shared" si="0"/>
        <v>1652</v>
      </c>
      <c r="N11" s="15">
        <v>0</v>
      </c>
      <c r="O11" s="58">
        <f t="shared" si="1"/>
        <v>0</v>
      </c>
      <c r="P11" s="39">
        <f t="shared" si="2"/>
        <v>5</v>
      </c>
      <c r="Q11" s="40">
        <f t="shared" si="3"/>
        <v>19</v>
      </c>
      <c r="R11" s="7"/>
      <c r="S11" s="6"/>
      <c r="T11" s="16"/>
      <c r="U11" s="16"/>
      <c r="V11" s="17"/>
      <c r="W11" s="5">
        <v>19</v>
      </c>
      <c r="X11" s="16"/>
      <c r="Y11" s="16"/>
      <c r="Z11" s="16"/>
      <c r="AA11" s="18"/>
      <c r="AB11" s="8">
        <f t="shared" si="4"/>
        <v>1</v>
      </c>
      <c r="AC11" s="9">
        <f t="shared" si="5"/>
        <v>0.20833333333333334</v>
      </c>
      <c r="AD11" s="10">
        <f t="shared" si="6"/>
        <v>0.20833333333333334</v>
      </c>
      <c r="AE11" s="36">
        <f t="shared" si="7"/>
        <v>0.52696078431372539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144</v>
      </c>
      <c r="F12" s="30" t="s">
        <v>145</v>
      </c>
      <c r="G12" s="12">
        <v>1</v>
      </c>
      <c r="H12" s="13">
        <v>22</v>
      </c>
      <c r="I12" s="31">
        <v>120000</v>
      </c>
      <c r="J12" s="5">
        <v>3542</v>
      </c>
      <c r="K12" s="15">
        <f>L12+4597+5041+5597+5567+5537+3364+5103+4208+3250+4473+4603+3900+3271+5266+5310+2806+4497+4981+4384+3503+3445+4608+5518+1083+3494</f>
        <v>110948</v>
      </c>
      <c r="L12" s="15">
        <f>1025+2517</f>
        <v>3542</v>
      </c>
      <c r="M12" s="15">
        <f t="shared" si="0"/>
        <v>3542</v>
      </c>
      <c r="N12" s="15">
        <v>0</v>
      </c>
      <c r="O12" s="58">
        <f t="shared" si="1"/>
        <v>0</v>
      </c>
      <c r="P12" s="39">
        <f t="shared" si="2"/>
        <v>17</v>
      </c>
      <c r="Q12" s="40">
        <f t="shared" si="3"/>
        <v>7</v>
      </c>
      <c r="R12" s="7"/>
      <c r="S12" s="6">
        <v>7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0.70833333333333337</v>
      </c>
      <c r="AD12" s="10">
        <f t="shared" si="6"/>
        <v>0.70833333333333337</v>
      </c>
      <c r="AE12" s="36">
        <f t="shared" si="7"/>
        <v>0.52696078431372539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139</v>
      </c>
      <c r="D13" s="52" t="s">
        <v>436</v>
      </c>
      <c r="E13" s="53" t="s">
        <v>437</v>
      </c>
      <c r="F13" s="30" t="s">
        <v>165</v>
      </c>
      <c r="G13" s="33" t="s">
        <v>169</v>
      </c>
      <c r="H13" s="35">
        <v>24</v>
      </c>
      <c r="I13" s="7">
        <v>2000</v>
      </c>
      <c r="J13" s="14">
        <v>1547</v>
      </c>
      <c r="K13" s="15">
        <f>L13+3483</f>
        <v>5030</v>
      </c>
      <c r="L13" s="15">
        <v>1547</v>
      </c>
      <c r="M13" s="15">
        <f t="shared" si="0"/>
        <v>1547</v>
      </c>
      <c r="N13" s="15">
        <v>0</v>
      </c>
      <c r="O13" s="58">
        <f t="shared" si="1"/>
        <v>0</v>
      </c>
      <c r="P13" s="39">
        <f t="shared" si="2"/>
        <v>10</v>
      </c>
      <c r="Q13" s="40">
        <f t="shared" si="3"/>
        <v>14</v>
      </c>
      <c r="R13" s="7"/>
      <c r="S13" s="6"/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4"/>
        <v>1</v>
      </c>
      <c r="AC13" s="9">
        <f t="shared" si="5"/>
        <v>0.41666666666666669</v>
      </c>
      <c r="AD13" s="10">
        <f t="shared" si="6"/>
        <v>0.41666666666666669</v>
      </c>
      <c r="AE13" s="36">
        <f t="shared" si="7"/>
        <v>0.52696078431372539</v>
      </c>
      <c r="AF13" s="84">
        <f t="shared" si="8"/>
        <v>8</v>
      </c>
    </row>
    <row r="14" spans="1:32" ht="27" customHeight="1">
      <c r="A14" s="96">
        <v>8</v>
      </c>
      <c r="B14" s="11" t="s">
        <v>57</v>
      </c>
      <c r="C14" s="11" t="s">
        <v>120</v>
      </c>
      <c r="D14" s="52"/>
      <c r="E14" s="53" t="s">
        <v>176</v>
      </c>
      <c r="F14" s="30" t="s">
        <v>142</v>
      </c>
      <c r="G14" s="33">
        <v>1</v>
      </c>
      <c r="H14" s="35">
        <v>24</v>
      </c>
      <c r="I14" s="7">
        <v>1500</v>
      </c>
      <c r="J14" s="14">
        <v>1634</v>
      </c>
      <c r="K14" s="15">
        <f>L14</f>
        <v>1634</v>
      </c>
      <c r="L14" s="15">
        <f>817*2</f>
        <v>1634</v>
      </c>
      <c r="M14" s="15">
        <f t="shared" ref="M14" si="9">L14-N14</f>
        <v>1634</v>
      </c>
      <c r="N14" s="15">
        <v>0</v>
      </c>
      <c r="O14" s="58">
        <f t="shared" ref="O14" si="10">IF(L14=0,"0",N14/L14)</f>
        <v>0</v>
      </c>
      <c r="P14" s="39">
        <f t="shared" ref="P14" si="11">IF(L14=0,"0",(24-Q14))</f>
        <v>5</v>
      </c>
      <c r="Q14" s="40">
        <f t="shared" ref="Q14" si="12">SUM(R14:AA14)</f>
        <v>19</v>
      </c>
      <c r="R14" s="7"/>
      <c r="S14" s="6"/>
      <c r="T14" s="16"/>
      <c r="U14" s="16"/>
      <c r="V14" s="17"/>
      <c r="W14" s="5">
        <v>19</v>
      </c>
      <c r="X14" s="16"/>
      <c r="Y14" s="16"/>
      <c r="Z14" s="16"/>
      <c r="AA14" s="18"/>
      <c r="AB14" s="8">
        <f t="shared" ref="AB14" si="13">IF(J14=0,"0",(L14/J14))</f>
        <v>1</v>
      </c>
      <c r="AC14" s="9">
        <f t="shared" ref="AC14" si="14">IF(P14=0,"0",(P14/24))</f>
        <v>0.20833333333333334</v>
      </c>
      <c r="AD14" s="10">
        <f t="shared" ref="AD14" si="15">AC14*AB14*(1-O14)</f>
        <v>0.20833333333333334</v>
      </c>
      <c r="AE14" s="36">
        <f t="shared" si="7"/>
        <v>0.52696078431372539</v>
      </c>
      <c r="AF14" s="84">
        <f t="shared" ref="AF14" si="16">A14</f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400</v>
      </c>
      <c r="F15" s="30" t="s">
        <v>147</v>
      </c>
      <c r="G15" s="33">
        <v>1</v>
      </c>
      <c r="H15" s="35">
        <v>50</v>
      </c>
      <c r="I15" s="7">
        <v>300</v>
      </c>
      <c r="J15" s="5">
        <v>365</v>
      </c>
      <c r="K15" s="15">
        <f>L15+365</f>
        <v>365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0.52696078431372539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139</v>
      </c>
      <c r="D16" s="52" t="s">
        <v>130</v>
      </c>
      <c r="E16" s="53" t="s">
        <v>369</v>
      </c>
      <c r="F16" s="12" t="s">
        <v>367</v>
      </c>
      <c r="G16" s="12">
        <v>1</v>
      </c>
      <c r="H16" s="13">
        <v>24</v>
      </c>
      <c r="I16" s="31">
        <v>2500</v>
      </c>
      <c r="J16" s="14">
        <v>2700</v>
      </c>
      <c r="K16" s="15">
        <f>L16+2700</f>
        <v>2700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0.52696078431372539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115</v>
      </c>
      <c r="E17" s="53" t="s">
        <v>260</v>
      </c>
      <c r="F17" s="30" t="s">
        <v>145</v>
      </c>
      <c r="G17" s="12">
        <v>1</v>
      </c>
      <c r="H17" s="13">
        <v>24</v>
      </c>
      <c r="I17" s="7">
        <v>500</v>
      </c>
      <c r="J17" s="14">
        <v>646</v>
      </c>
      <c r="K17" s="15">
        <f>L17+646</f>
        <v>646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0.52696078431372539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/>
      <c r="E18" s="53" t="s">
        <v>301</v>
      </c>
      <c r="F18" s="30" t="s">
        <v>128</v>
      </c>
      <c r="G18" s="12">
        <v>1</v>
      </c>
      <c r="H18" s="13">
        <v>24</v>
      </c>
      <c r="I18" s="7">
        <v>5400</v>
      </c>
      <c r="J18" s="14">
        <v>3740</v>
      </c>
      <c r="K18" s="15">
        <f>L18+2945+3740</f>
        <v>6685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0.52696078431372539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139</v>
      </c>
      <c r="D19" s="52" t="s">
        <v>115</v>
      </c>
      <c r="E19" s="53" t="s">
        <v>370</v>
      </c>
      <c r="F19" s="30" t="s">
        <v>165</v>
      </c>
      <c r="G19" s="33">
        <v>1</v>
      </c>
      <c r="H19" s="35">
        <v>24</v>
      </c>
      <c r="I19" s="7">
        <v>3000</v>
      </c>
      <c r="J19" s="14">
        <v>3479</v>
      </c>
      <c r="K19" s="15">
        <f>L19+897</f>
        <v>4376</v>
      </c>
      <c r="L19" s="15">
        <f>805+2674</f>
        <v>3479</v>
      </c>
      <c r="M19" s="15">
        <f t="shared" si="0"/>
        <v>3479</v>
      </c>
      <c r="N19" s="15">
        <v>0</v>
      </c>
      <c r="O19" s="58">
        <f t="shared" si="1"/>
        <v>0</v>
      </c>
      <c r="P19" s="39">
        <f t="shared" si="2"/>
        <v>18</v>
      </c>
      <c r="Q19" s="40">
        <f t="shared" si="3"/>
        <v>6</v>
      </c>
      <c r="R19" s="7"/>
      <c r="S19" s="6">
        <v>6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0.75</v>
      </c>
      <c r="AD19" s="10">
        <f t="shared" si="6"/>
        <v>0.75</v>
      </c>
      <c r="AE19" s="36">
        <f t="shared" si="7"/>
        <v>0.52696078431372539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402</v>
      </c>
      <c r="D20" s="52" t="s">
        <v>326</v>
      </c>
      <c r="E20" s="53" t="s">
        <v>425</v>
      </c>
      <c r="F20" s="30" t="s">
        <v>438</v>
      </c>
      <c r="G20" s="33">
        <v>1</v>
      </c>
      <c r="H20" s="35">
        <v>24</v>
      </c>
      <c r="I20" s="7">
        <v>1000</v>
      </c>
      <c r="J20" s="14">
        <v>2412</v>
      </c>
      <c r="K20" s="15">
        <f>L20+3332</f>
        <v>5744</v>
      </c>
      <c r="L20" s="15">
        <f>1780+632</f>
        <v>2412</v>
      </c>
      <c r="M20" s="15">
        <f t="shared" si="0"/>
        <v>2412</v>
      </c>
      <c r="N20" s="15">
        <v>0</v>
      </c>
      <c r="O20" s="58">
        <f t="shared" si="1"/>
        <v>0</v>
      </c>
      <c r="P20" s="39">
        <f t="shared" si="2"/>
        <v>12</v>
      </c>
      <c r="Q20" s="40">
        <f t="shared" si="3"/>
        <v>12</v>
      </c>
      <c r="R20" s="7"/>
      <c r="S20" s="6">
        <v>12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6">
        <f t="shared" si="7"/>
        <v>0.52696078431372539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118</v>
      </c>
      <c r="D21" s="52" t="s">
        <v>115</v>
      </c>
      <c r="E21" s="53" t="s">
        <v>309</v>
      </c>
      <c r="F21" s="30" t="s">
        <v>129</v>
      </c>
      <c r="G21" s="12">
        <v>4</v>
      </c>
      <c r="H21" s="13">
        <v>24</v>
      </c>
      <c r="I21" s="7">
        <v>130000</v>
      </c>
      <c r="J21" s="14">
        <v>20356</v>
      </c>
      <c r="K21" s="15">
        <f>L21+13156+20408+13276+22084+10984+20356</f>
        <v>120620</v>
      </c>
      <c r="L21" s="15">
        <f>2555*4+2534*4</f>
        <v>20356</v>
      </c>
      <c r="M21" s="15">
        <f t="shared" si="0"/>
        <v>20356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0.52696078431372539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346</v>
      </c>
      <c r="F22" s="12" t="s">
        <v>114</v>
      </c>
      <c r="G22" s="12">
        <v>3</v>
      </c>
      <c r="H22" s="35">
        <v>20</v>
      </c>
      <c r="I22" s="7">
        <v>1000000</v>
      </c>
      <c r="J22" s="14">
        <v>75472</v>
      </c>
      <c r="K22" s="15">
        <f>L22+28316+74820+71924+69164+75560+75632</f>
        <v>470888</v>
      </c>
      <c r="L22" s="15">
        <f>9454*4+9414*4</f>
        <v>75472</v>
      </c>
      <c r="M22" s="15">
        <f t="shared" si="0"/>
        <v>75472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0.52696078431372539</v>
      </c>
      <c r="AF22" s="84">
        <f t="shared" si="8"/>
        <v>16</v>
      </c>
    </row>
    <row r="23" spans="1:32" ht="31.5" customHeight="1" thickBot="1">
      <c r="A23" s="408" t="s">
        <v>34</v>
      </c>
      <c r="B23" s="409"/>
      <c r="C23" s="409"/>
      <c r="D23" s="409"/>
      <c r="E23" s="409"/>
      <c r="F23" s="409"/>
      <c r="G23" s="409"/>
      <c r="H23" s="410"/>
      <c r="I23" s="22">
        <f t="shared" ref="I23:N23" si="17">SUM(I6:I22)</f>
        <v>1492700</v>
      </c>
      <c r="J23" s="19">
        <f t="shared" si="17"/>
        <v>154344</v>
      </c>
      <c r="K23" s="20">
        <f t="shared" si="17"/>
        <v>923539</v>
      </c>
      <c r="L23" s="21">
        <f t="shared" si="17"/>
        <v>146893</v>
      </c>
      <c r="M23" s="20">
        <f t="shared" si="17"/>
        <v>146893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215</v>
      </c>
      <c r="Q23" s="43">
        <f t="shared" si="18"/>
        <v>193</v>
      </c>
      <c r="R23" s="23">
        <f t="shared" si="18"/>
        <v>0</v>
      </c>
      <c r="S23" s="24">
        <f t="shared" si="18"/>
        <v>25</v>
      </c>
      <c r="T23" s="24">
        <f t="shared" si="18"/>
        <v>0</v>
      </c>
      <c r="U23" s="24">
        <f t="shared" si="18"/>
        <v>0</v>
      </c>
      <c r="V23" s="25">
        <f t="shared" si="18"/>
        <v>0</v>
      </c>
      <c r="W23" s="26">
        <f t="shared" si="18"/>
        <v>124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44</v>
      </c>
      <c r="AB23" s="28">
        <f>AVERAGE(AB6:AB22)</f>
        <v>0.76470588235294112</v>
      </c>
      <c r="AC23" s="4">
        <f>AVERAGE(AC6:AC22)</f>
        <v>0.52696078431372539</v>
      </c>
      <c r="AD23" s="4">
        <f>AVERAGE(AD6:AD22)</f>
        <v>0.52696078431372539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11" t="s">
        <v>45</v>
      </c>
      <c r="B50" s="411"/>
      <c r="C50" s="411"/>
      <c r="D50" s="411"/>
      <c r="E50" s="411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12" t="s">
        <v>452</v>
      </c>
      <c r="B51" s="413"/>
      <c r="C51" s="413"/>
      <c r="D51" s="413"/>
      <c r="E51" s="413"/>
      <c r="F51" s="413"/>
      <c r="G51" s="413"/>
      <c r="H51" s="413"/>
      <c r="I51" s="413"/>
      <c r="J51" s="413"/>
      <c r="K51" s="413"/>
      <c r="L51" s="413"/>
      <c r="M51" s="414"/>
      <c r="N51" s="415" t="s">
        <v>454</v>
      </c>
      <c r="O51" s="416"/>
      <c r="P51" s="416"/>
      <c r="Q51" s="416"/>
      <c r="R51" s="416"/>
      <c r="S51" s="416"/>
      <c r="T51" s="416"/>
      <c r="U51" s="416"/>
      <c r="V51" s="416"/>
      <c r="W51" s="416"/>
      <c r="X51" s="416"/>
      <c r="Y51" s="416"/>
      <c r="Z51" s="416"/>
      <c r="AA51" s="416"/>
      <c r="AB51" s="416"/>
      <c r="AC51" s="416"/>
      <c r="AD51" s="417"/>
    </row>
    <row r="52" spans="1:32" ht="27" customHeight="1">
      <c r="A52" s="418" t="s">
        <v>2</v>
      </c>
      <c r="B52" s="419"/>
      <c r="C52" s="288" t="s">
        <v>46</v>
      </c>
      <c r="D52" s="288" t="s">
        <v>47</v>
      </c>
      <c r="E52" s="288" t="s">
        <v>107</v>
      </c>
      <c r="F52" s="420" t="s">
        <v>106</v>
      </c>
      <c r="G52" s="421"/>
      <c r="H52" s="421"/>
      <c r="I52" s="421"/>
      <c r="J52" s="421"/>
      <c r="K52" s="421"/>
      <c r="L52" s="421"/>
      <c r="M52" s="422"/>
      <c r="N52" s="67" t="s">
        <v>110</v>
      </c>
      <c r="O52" s="288" t="s">
        <v>46</v>
      </c>
      <c r="P52" s="420" t="s">
        <v>47</v>
      </c>
      <c r="Q52" s="423"/>
      <c r="R52" s="420" t="s">
        <v>38</v>
      </c>
      <c r="S52" s="421"/>
      <c r="T52" s="421"/>
      <c r="U52" s="423"/>
      <c r="V52" s="420" t="s">
        <v>48</v>
      </c>
      <c r="W52" s="421"/>
      <c r="X52" s="421"/>
      <c r="Y52" s="421"/>
      <c r="Z52" s="421"/>
      <c r="AA52" s="421"/>
      <c r="AB52" s="421"/>
      <c r="AC52" s="421"/>
      <c r="AD52" s="422"/>
    </row>
    <row r="53" spans="1:32" ht="27" customHeight="1">
      <c r="A53" s="434" t="s">
        <v>120</v>
      </c>
      <c r="B53" s="435"/>
      <c r="C53" s="284" t="s">
        <v>224</v>
      </c>
      <c r="D53" s="284"/>
      <c r="E53" s="284" t="s">
        <v>164</v>
      </c>
      <c r="F53" s="436" t="s">
        <v>138</v>
      </c>
      <c r="G53" s="437"/>
      <c r="H53" s="437"/>
      <c r="I53" s="437"/>
      <c r="J53" s="437"/>
      <c r="K53" s="437"/>
      <c r="L53" s="437"/>
      <c r="M53" s="438"/>
      <c r="N53" s="287" t="s">
        <v>118</v>
      </c>
      <c r="O53" s="281" t="s">
        <v>136</v>
      </c>
      <c r="P53" s="439" t="s">
        <v>115</v>
      </c>
      <c r="Q53" s="440"/>
      <c r="R53" s="439" t="s">
        <v>144</v>
      </c>
      <c r="S53" s="441"/>
      <c r="T53" s="441"/>
      <c r="U53" s="440"/>
      <c r="V53" s="442" t="s">
        <v>124</v>
      </c>
      <c r="W53" s="442"/>
      <c r="X53" s="442"/>
      <c r="Y53" s="442"/>
      <c r="Z53" s="442"/>
      <c r="AA53" s="442"/>
      <c r="AB53" s="442"/>
      <c r="AC53" s="442"/>
      <c r="AD53" s="443"/>
    </row>
    <row r="54" spans="1:32" ht="27" customHeight="1">
      <c r="A54" s="434" t="s">
        <v>118</v>
      </c>
      <c r="B54" s="435"/>
      <c r="C54" s="284" t="s">
        <v>136</v>
      </c>
      <c r="D54" s="284" t="s">
        <v>115</v>
      </c>
      <c r="E54" s="284" t="s">
        <v>144</v>
      </c>
      <c r="F54" s="436" t="s">
        <v>396</v>
      </c>
      <c r="G54" s="437"/>
      <c r="H54" s="437"/>
      <c r="I54" s="437"/>
      <c r="J54" s="437"/>
      <c r="K54" s="437"/>
      <c r="L54" s="437"/>
      <c r="M54" s="438"/>
      <c r="N54" s="287" t="s">
        <v>139</v>
      </c>
      <c r="O54" s="281" t="s">
        <v>190</v>
      </c>
      <c r="P54" s="439" t="s">
        <v>117</v>
      </c>
      <c r="Q54" s="440"/>
      <c r="R54" s="439" t="s">
        <v>455</v>
      </c>
      <c r="S54" s="441"/>
      <c r="T54" s="441"/>
      <c r="U54" s="440"/>
      <c r="V54" s="442" t="s">
        <v>456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402</v>
      </c>
      <c r="B55" s="435"/>
      <c r="C55" s="284" t="s">
        <v>201</v>
      </c>
      <c r="D55" s="284" t="s">
        <v>326</v>
      </c>
      <c r="E55" s="284" t="s">
        <v>425</v>
      </c>
      <c r="F55" s="436" t="s">
        <v>124</v>
      </c>
      <c r="G55" s="437"/>
      <c r="H55" s="437"/>
      <c r="I55" s="437"/>
      <c r="J55" s="437"/>
      <c r="K55" s="437"/>
      <c r="L55" s="437"/>
      <c r="M55" s="438"/>
      <c r="N55" s="287" t="s">
        <v>112</v>
      </c>
      <c r="O55" s="281" t="s">
        <v>127</v>
      </c>
      <c r="P55" s="439" t="s">
        <v>216</v>
      </c>
      <c r="Q55" s="440"/>
      <c r="R55" s="439" t="s">
        <v>268</v>
      </c>
      <c r="S55" s="441"/>
      <c r="T55" s="441"/>
      <c r="U55" s="440"/>
      <c r="V55" s="442" t="s">
        <v>138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120</v>
      </c>
      <c r="B56" s="435"/>
      <c r="C56" s="284" t="s">
        <v>127</v>
      </c>
      <c r="D56" s="284"/>
      <c r="E56" s="284" t="s">
        <v>176</v>
      </c>
      <c r="F56" s="436" t="s">
        <v>453</v>
      </c>
      <c r="G56" s="437"/>
      <c r="H56" s="437"/>
      <c r="I56" s="437"/>
      <c r="J56" s="437"/>
      <c r="K56" s="437"/>
      <c r="L56" s="437"/>
      <c r="M56" s="438"/>
      <c r="N56" s="287" t="s">
        <v>112</v>
      </c>
      <c r="O56" s="281" t="s">
        <v>200</v>
      </c>
      <c r="P56" s="439" t="s">
        <v>115</v>
      </c>
      <c r="Q56" s="440"/>
      <c r="R56" s="439" t="s">
        <v>322</v>
      </c>
      <c r="S56" s="441"/>
      <c r="T56" s="441"/>
      <c r="U56" s="440"/>
      <c r="V56" s="442" t="s">
        <v>138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139</v>
      </c>
      <c r="B57" s="435"/>
      <c r="C57" s="284" t="s">
        <v>200</v>
      </c>
      <c r="D57" s="284" t="s">
        <v>115</v>
      </c>
      <c r="E57" s="284" t="s">
        <v>442</v>
      </c>
      <c r="F57" s="436" t="s">
        <v>124</v>
      </c>
      <c r="G57" s="437"/>
      <c r="H57" s="437"/>
      <c r="I57" s="437"/>
      <c r="J57" s="437"/>
      <c r="K57" s="437"/>
      <c r="L57" s="437"/>
      <c r="M57" s="438"/>
      <c r="N57" s="287"/>
      <c r="O57" s="281"/>
      <c r="P57" s="439"/>
      <c r="Q57" s="440"/>
      <c r="R57" s="439"/>
      <c r="S57" s="441"/>
      <c r="T57" s="441"/>
      <c r="U57" s="440"/>
      <c r="V57" s="442"/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/>
      <c r="B58" s="435"/>
      <c r="C58" s="284"/>
      <c r="D58" s="284"/>
      <c r="E58" s="284"/>
      <c r="F58" s="436"/>
      <c r="G58" s="437"/>
      <c r="H58" s="437"/>
      <c r="I58" s="437"/>
      <c r="J58" s="437"/>
      <c r="K58" s="437"/>
      <c r="L58" s="437"/>
      <c r="M58" s="438"/>
      <c r="N58" s="287"/>
      <c r="O58" s="281"/>
      <c r="P58" s="439"/>
      <c r="Q58" s="440"/>
      <c r="R58" s="439"/>
      <c r="S58" s="441"/>
      <c r="T58" s="441"/>
      <c r="U58" s="440"/>
      <c r="V58" s="442"/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/>
      <c r="B59" s="435"/>
      <c r="C59" s="284"/>
      <c r="D59" s="284"/>
      <c r="E59" s="284"/>
      <c r="F59" s="436"/>
      <c r="G59" s="437"/>
      <c r="H59" s="437"/>
      <c r="I59" s="437"/>
      <c r="J59" s="437"/>
      <c r="K59" s="437"/>
      <c r="L59" s="437"/>
      <c r="M59" s="438"/>
      <c r="N59" s="287"/>
      <c r="O59" s="281"/>
      <c r="P59" s="439"/>
      <c r="Q59" s="440"/>
      <c r="R59" s="439"/>
      <c r="S59" s="441"/>
      <c r="T59" s="441"/>
      <c r="U59" s="440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57"/>
      <c r="B60" s="458"/>
      <c r="C60" s="283"/>
      <c r="D60" s="283"/>
      <c r="E60" s="284"/>
      <c r="F60" s="436"/>
      <c r="G60" s="437"/>
      <c r="H60" s="437"/>
      <c r="I60" s="437"/>
      <c r="J60" s="437"/>
      <c r="K60" s="437"/>
      <c r="L60" s="437"/>
      <c r="M60" s="438"/>
      <c r="N60" s="287"/>
      <c r="O60" s="281"/>
      <c r="P60" s="439"/>
      <c r="Q60" s="440"/>
      <c r="R60" s="435"/>
      <c r="S60" s="435"/>
      <c r="T60" s="435"/>
      <c r="U60" s="435"/>
      <c r="V60" s="442"/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57"/>
      <c r="B61" s="458"/>
      <c r="C61" s="283"/>
      <c r="D61" s="283"/>
      <c r="E61" s="284"/>
      <c r="F61" s="436"/>
      <c r="G61" s="437"/>
      <c r="H61" s="437"/>
      <c r="I61" s="437"/>
      <c r="J61" s="437"/>
      <c r="K61" s="437"/>
      <c r="L61" s="437"/>
      <c r="M61" s="438"/>
      <c r="N61" s="287"/>
      <c r="O61" s="281"/>
      <c r="P61" s="435"/>
      <c r="Q61" s="435"/>
      <c r="R61" s="435"/>
      <c r="S61" s="435"/>
      <c r="T61" s="435"/>
      <c r="U61" s="435"/>
      <c r="V61" s="442"/>
      <c r="W61" s="442"/>
      <c r="X61" s="442"/>
      <c r="Y61" s="442"/>
      <c r="Z61" s="442"/>
      <c r="AA61" s="442"/>
      <c r="AB61" s="442"/>
      <c r="AC61" s="442"/>
      <c r="AD61" s="443"/>
      <c r="AF61" s="84">
        <f>8*3000</f>
        <v>24000</v>
      </c>
    </row>
    <row r="62" spans="1:32" ht="27" customHeight="1" thickBot="1">
      <c r="A62" s="444"/>
      <c r="B62" s="445"/>
      <c r="C62" s="285"/>
      <c r="D62" s="286"/>
      <c r="E62" s="285"/>
      <c r="F62" s="446"/>
      <c r="G62" s="447"/>
      <c r="H62" s="447"/>
      <c r="I62" s="447"/>
      <c r="J62" s="447"/>
      <c r="K62" s="447"/>
      <c r="L62" s="447"/>
      <c r="M62" s="448"/>
      <c r="N62" s="111"/>
      <c r="O62" s="103"/>
      <c r="P62" s="449"/>
      <c r="Q62" s="449"/>
      <c r="R62" s="449"/>
      <c r="S62" s="449"/>
      <c r="T62" s="449"/>
      <c r="U62" s="449"/>
      <c r="V62" s="450"/>
      <c r="W62" s="450"/>
      <c r="X62" s="450"/>
      <c r="Y62" s="450"/>
      <c r="Z62" s="450"/>
      <c r="AA62" s="450"/>
      <c r="AB62" s="450"/>
      <c r="AC62" s="450"/>
      <c r="AD62" s="451"/>
      <c r="AF62" s="84">
        <f>16*3000</f>
        <v>48000</v>
      </c>
    </row>
    <row r="63" spans="1:32" ht="27.75" thickBot="1">
      <c r="A63" s="452" t="s">
        <v>457</v>
      </c>
      <c r="B63" s="452"/>
      <c r="C63" s="452"/>
      <c r="D63" s="452"/>
      <c r="E63" s="45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3" t="s">
        <v>111</v>
      </c>
      <c r="B64" s="454"/>
      <c r="C64" s="282" t="s">
        <v>2</v>
      </c>
      <c r="D64" s="282" t="s">
        <v>37</v>
      </c>
      <c r="E64" s="282" t="s">
        <v>3</v>
      </c>
      <c r="F64" s="454" t="s">
        <v>109</v>
      </c>
      <c r="G64" s="454"/>
      <c r="H64" s="454"/>
      <c r="I64" s="454"/>
      <c r="J64" s="454"/>
      <c r="K64" s="454" t="s">
        <v>39</v>
      </c>
      <c r="L64" s="454"/>
      <c r="M64" s="282" t="s">
        <v>40</v>
      </c>
      <c r="N64" s="454" t="s">
        <v>41</v>
      </c>
      <c r="O64" s="454"/>
      <c r="P64" s="455" t="s">
        <v>42</v>
      </c>
      <c r="Q64" s="456"/>
      <c r="R64" s="455" t="s">
        <v>43</v>
      </c>
      <c r="S64" s="459"/>
      <c r="T64" s="459"/>
      <c r="U64" s="459"/>
      <c r="V64" s="459"/>
      <c r="W64" s="459"/>
      <c r="X64" s="459"/>
      <c r="Y64" s="459"/>
      <c r="Z64" s="459"/>
      <c r="AA64" s="456"/>
      <c r="AB64" s="454" t="s">
        <v>44</v>
      </c>
      <c r="AC64" s="454"/>
      <c r="AD64" s="460"/>
      <c r="AF64" s="84">
        <f>SUM(AF61:AF63)</f>
        <v>96000</v>
      </c>
    </row>
    <row r="65" spans="1:32" ht="25.5" customHeight="1">
      <c r="A65" s="461">
        <v>1</v>
      </c>
      <c r="B65" s="462"/>
      <c r="C65" s="104" t="s">
        <v>112</v>
      </c>
      <c r="D65" s="277"/>
      <c r="E65" s="280" t="s">
        <v>251</v>
      </c>
      <c r="F65" s="463" t="s">
        <v>429</v>
      </c>
      <c r="G65" s="464"/>
      <c r="H65" s="464"/>
      <c r="I65" s="464"/>
      <c r="J65" s="465"/>
      <c r="K65" s="466" t="s">
        <v>132</v>
      </c>
      <c r="L65" s="466"/>
      <c r="M65" s="51" t="s">
        <v>230</v>
      </c>
      <c r="N65" s="467" t="s">
        <v>250</v>
      </c>
      <c r="O65" s="467"/>
      <c r="P65" s="468">
        <v>200</v>
      </c>
      <c r="Q65" s="468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66"/>
      <c r="AC65" s="466"/>
      <c r="AD65" s="469"/>
      <c r="AF65" s="50"/>
    </row>
    <row r="66" spans="1:32" ht="25.5" customHeight="1">
      <c r="A66" s="461">
        <v>2</v>
      </c>
      <c r="B66" s="462"/>
      <c r="C66" s="104" t="s">
        <v>118</v>
      </c>
      <c r="D66" s="277"/>
      <c r="E66" s="280" t="s">
        <v>212</v>
      </c>
      <c r="F66" s="463" t="s">
        <v>404</v>
      </c>
      <c r="G66" s="464"/>
      <c r="H66" s="464"/>
      <c r="I66" s="464"/>
      <c r="J66" s="465"/>
      <c r="K66" s="466" t="s">
        <v>406</v>
      </c>
      <c r="L66" s="466"/>
      <c r="M66" s="51" t="s">
        <v>230</v>
      </c>
      <c r="N66" s="467" t="s">
        <v>250</v>
      </c>
      <c r="O66" s="467"/>
      <c r="P66" s="468">
        <v>50</v>
      </c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3</v>
      </c>
      <c r="B67" s="462"/>
      <c r="C67" s="104" t="s">
        <v>112</v>
      </c>
      <c r="D67" s="277"/>
      <c r="E67" s="280" t="s">
        <v>174</v>
      </c>
      <c r="F67" s="463" t="s">
        <v>430</v>
      </c>
      <c r="G67" s="464"/>
      <c r="H67" s="464"/>
      <c r="I67" s="464"/>
      <c r="J67" s="465"/>
      <c r="K67" s="466" t="s">
        <v>432</v>
      </c>
      <c r="L67" s="466"/>
      <c r="M67" s="51" t="s">
        <v>302</v>
      </c>
      <c r="N67" s="467" t="s">
        <v>250</v>
      </c>
      <c r="O67" s="467"/>
      <c r="P67" s="468">
        <v>200</v>
      </c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4</v>
      </c>
      <c r="B68" s="462"/>
      <c r="C68" s="104" t="s">
        <v>112</v>
      </c>
      <c r="D68" s="277"/>
      <c r="E68" s="280" t="s">
        <v>115</v>
      </c>
      <c r="F68" s="463" t="s">
        <v>458</v>
      </c>
      <c r="G68" s="464"/>
      <c r="H68" s="464"/>
      <c r="I68" s="464"/>
      <c r="J68" s="465"/>
      <c r="K68" s="466" t="s">
        <v>131</v>
      </c>
      <c r="L68" s="466"/>
      <c r="M68" s="51" t="s">
        <v>362</v>
      </c>
      <c r="N68" s="467" t="s">
        <v>224</v>
      </c>
      <c r="O68" s="467"/>
      <c r="P68" s="468">
        <v>200</v>
      </c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5</v>
      </c>
      <c r="B69" s="462"/>
      <c r="C69" s="104" t="s">
        <v>120</v>
      </c>
      <c r="D69" s="277"/>
      <c r="E69" s="280"/>
      <c r="F69" s="463" t="s">
        <v>173</v>
      </c>
      <c r="G69" s="464"/>
      <c r="H69" s="464"/>
      <c r="I69" s="464"/>
      <c r="J69" s="465"/>
      <c r="K69" s="466" t="s">
        <v>142</v>
      </c>
      <c r="L69" s="466"/>
      <c r="M69" s="51" t="s">
        <v>230</v>
      </c>
      <c r="N69" s="467" t="s">
        <v>141</v>
      </c>
      <c r="O69" s="467"/>
      <c r="P69" s="468"/>
      <c r="Q69" s="468"/>
      <c r="R69" s="442" t="s">
        <v>459</v>
      </c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6</v>
      </c>
      <c r="B70" s="462"/>
      <c r="C70" s="104" t="s">
        <v>118</v>
      </c>
      <c r="D70" s="277"/>
      <c r="E70" s="280" t="s">
        <v>115</v>
      </c>
      <c r="F70" s="463" t="s">
        <v>334</v>
      </c>
      <c r="G70" s="464"/>
      <c r="H70" s="464"/>
      <c r="I70" s="464"/>
      <c r="J70" s="465"/>
      <c r="K70" s="466">
        <v>7301</v>
      </c>
      <c r="L70" s="466"/>
      <c r="M70" s="51" t="s">
        <v>340</v>
      </c>
      <c r="N70" s="467" t="s">
        <v>141</v>
      </c>
      <c r="O70" s="467"/>
      <c r="P70" s="468"/>
      <c r="Q70" s="468"/>
      <c r="R70" s="442" t="s">
        <v>377</v>
      </c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7</v>
      </c>
      <c r="B71" s="462"/>
      <c r="C71" s="104"/>
      <c r="D71" s="277"/>
      <c r="E71" s="280"/>
      <c r="F71" s="463"/>
      <c r="G71" s="464"/>
      <c r="H71" s="464"/>
      <c r="I71" s="464"/>
      <c r="J71" s="465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8</v>
      </c>
      <c r="B72" s="462"/>
      <c r="C72" s="104"/>
      <c r="D72" s="277"/>
      <c r="E72" s="280"/>
      <c r="F72" s="470"/>
      <c r="G72" s="466"/>
      <c r="H72" s="466"/>
      <c r="I72" s="466"/>
      <c r="J72" s="466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9</v>
      </c>
      <c r="B73" s="462"/>
      <c r="C73" s="104"/>
      <c r="D73" s="277"/>
      <c r="E73" s="280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10</v>
      </c>
      <c r="B74" s="462"/>
      <c r="C74" s="104"/>
      <c r="D74" s="277"/>
      <c r="E74" s="280"/>
      <c r="F74" s="470"/>
      <c r="G74" s="466"/>
      <c r="H74" s="466"/>
      <c r="I74" s="466"/>
      <c r="J74" s="466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6.25" customHeight="1" thickBot="1">
      <c r="A75" s="471" t="s">
        <v>460</v>
      </c>
      <c r="B75" s="471"/>
      <c r="C75" s="471"/>
      <c r="D75" s="471"/>
      <c r="E75" s="471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2" t="s">
        <v>126</v>
      </c>
      <c r="B76" s="473"/>
      <c r="C76" s="279" t="s">
        <v>2</v>
      </c>
      <c r="D76" s="279" t="s">
        <v>37</v>
      </c>
      <c r="E76" s="279" t="s">
        <v>125</v>
      </c>
      <c r="F76" s="473" t="s">
        <v>38</v>
      </c>
      <c r="G76" s="473"/>
      <c r="H76" s="473"/>
      <c r="I76" s="473"/>
      <c r="J76" s="473"/>
      <c r="K76" s="474" t="s">
        <v>58</v>
      </c>
      <c r="L76" s="475"/>
      <c r="M76" s="475"/>
      <c r="N76" s="475"/>
      <c r="O76" s="475"/>
      <c r="P76" s="475"/>
      <c r="Q76" s="475"/>
      <c r="R76" s="475"/>
      <c r="S76" s="476"/>
      <c r="T76" s="473" t="s">
        <v>49</v>
      </c>
      <c r="U76" s="473"/>
      <c r="V76" s="474" t="s">
        <v>50</v>
      </c>
      <c r="W76" s="476"/>
      <c r="X76" s="475" t="s">
        <v>51</v>
      </c>
      <c r="Y76" s="475"/>
      <c r="Z76" s="475"/>
      <c r="AA76" s="475"/>
      <c r="AB76" s="475"/>
      <c r="AC76" s="475"/>
      <c r="AD76" s="477"/>
      <c r="AF76" s="50"/>
    </row>
    <row r="77" spans="1:32" ht="33.75" customHeight="1">
      <c r="A77" s="486">
        <v>1</v>
      </c>
      <c r="B77" s="487"/>
      <c r="C77" s="278" t="s">
        <v>112</v>
      </c>
      <c r="D77" s="278"/>
      <c r="E77" s="65" t="s">
        <v>117</v>
      </c>
      <c r="F77" s="488" t="s">
        <v>116</v>
      </c>
      <c r="G77" s="489"/>
      <c r="H77" s="489"/>
      <c r="I77" s="489"/>
      <c r="J77" s="490"/>
      <c r="K77" s="491" t="s">
        <v>119</v>
      </c>
      <c r="L77" s="492"/>
      <c r="M77" s="492"/>
      <c r="N77" s="492"/>
      <c r="O77" s="492"/>
      <c r="P77" s="492"/>
      <c r="Q77" s="492"/>
      <c r="R77" s="492"/>
      <c r="S77" s="493"/>
      <c r="T77" s="494">
        <v>44118</v>
      </c>
      <c r="U77" s="495"/>
      <c r="V77" s="496"/>
      <c r="W77" s="496"/>
      <c r="X77" s="497"/>
      <c r="Y77" s="497"/>
      <c r="Z77" s="497"/>
      <c r="AA77" s="497"/>
      <c r="AB77" s="497"/>
      <c r="AC77" s="497"/>
      <c r="AD77" s="498"/>
      <c r="AF77" s="50"/>
    </row>
    <row r="78" spans="1:32" ht="30" customHeight="1">
      <c r="A78" s="478">
        <f>A77+1</f>
        <v>2</v>
      </c>
      <c r="B78" s="479"/>
      <c r="C78" s="277"/>
      <c r="D78" s="277"/>
      <c r="E78" s="32"/>
      <c r="F78" s="479"/>
      <c r="G78" s="479"/>
      <c r="H78" s="479"/>
      <c r="I78" s="479"/>
      <c r="J78" s="479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78">
        <f t="shared" ref="A79:A83" si="19">A78+1</f>
        <v>3</v>
      </c>
      <c r="B79" s="479"/>
      <c r="C79" s="277"/>
      <c r="D79" s="277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si="19"/>
        <v>4</v>
      </c>
      <c r="B80" s="479"/>
      <c r="C80" s="277"/>
      <c r="D80" s="277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19"/>
        <v>5</v>
      </c>
      <c r="B81" s="479"/>
      <c r="C81" s="277"/>
      <c r="D81" s="277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19"/>
        <v>6</v>
      </c>
      <c r="B82" s="479"/>
      <c r="C82" s="277"/>
      <c r="D82" s="277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19"/>
        <v>7</v>
      </c>
      <c r="B83" s="479"/>
      <c r="C83" s="277"/>
      <c r="D83" s="277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1" t="s">
        <v>461</v>
      </c>
      <c r="B84" s="471"/>
      <c r="C84" s="471"/>
      <c r="D84" s="471"/>
      <c r="E84" s="471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2" t="s">
        <v>111</v>
      </c>
      <c r="B85" s="473"/>
      <c r="C85" s="499" t="s">
        <v>52</v>
      </c>
      <c r="D85" s="499"/>
      <c r="E85" s="499" t="s">
        <v>53</v>
      </c>
      <c r="F85" s="499"/>
      <c r="G85" s="499"/>
      <c r="H85" s="499"/>
      <c r="I85" s="499"/>
      <c r="J85" s="499"/>
      <c r="K85" s="499" t="s">
        <v>54</v>
      </c>
      <c r="L85" s="499"/>
      <c r="M85" s="499"/>
      <c r="N85" s="499"/>
      <c r="O85" s="499"/>
      <c r="P85" s="499"/>
      <c r="Q85" s="499"/>
      <c r="R85" s="499"/>
      <c r="S85" s="499"/>
      <c r="T85" s="499" t="s">
        <v>55</v>
      </c>
      <c r="U85" s="499"/>
      <c r="V85" s="499" t="s">
        <v>56</v>
      </c>
      <c r="W85" s="499"/>
      <c r="X85" s="499"/>
      <c r="Y85" s="499" t="s">
        <v>51</v>
      </c>
      <c r="Z85" s="499"/>
      <c r="AA85" s="499"/>
      <c r="AB85" s="499"/>
      <c r="AC85" s="499"/>
      <c r="AD85" s="500"/>
      <c r="AF85" s="50"/>
    </row>
    <row r="86" spans="1:32" ht="30.75" customHeight="1">
      <c r="A86" s="486">
        <v>1</v>
      </c>
      <c r="B86" s="487"/>
      <c r="C86" s="501">
        <v>9</v>
      </c>
      <c r="D86" s="501"/>
      <c r="E86" s="501" t="s">
        <v>149</v>
      </c>
      <c r="F86" s="501"/>
      <c r="G86" s="501"/>
      <c r="H86" s="501"/>
      <c r="I86" s="501"/>
      <c r="J86" s="501"/>
      <c r="K86" s="501" t="s">
        <v>462</v>
      </c>
      <c r="L86" s="501"/>
      <c r="M86" s="501"/>
      <c r="N86" s="501"/>
      <c r="O86" s="501"/>
      <c r="P86" s="501"/>
      <c r="Q86" s="501"/>
      <c r="R86" s="501"/>
      <c r="S86" s="501"/>
      <c r="T86" s="501" t="s">
        <v>151</v>
      </c>
      <c r="U86" s="501"/>
      <c r="V86" s="502" t="s">
        <v>265</v>
      </c>
      <c r="W86" s="502"/>
      <c r="X86" s="502"/>
      <c r="Y86" s="503"/>
      <c r="Z86" s="503"/>
      <c r="AA86" s="503"/>
      <c r="AB86" s="503"/>
      <c r="AC86" s="503"/>
      <c r="AD86" s="504"/>
      <c r="AF86" s="50"/>
    </row>
    <row r="87" spans="1:32" ht="30.75" customHeight="1">
      <c r="A87" s="478">
        <v>2</v>
      </c>
      <c r="B87" s="479"/>
      <c r="C87" s="512"/>
      <c r="D87" s="512"/>
      <c r="E87" s="512"/>
      <c r="F87" s="512"/>
      <c r="G87" s="512"/>
      <c r="H87" s="512"/>
      <c r="I87" s="512"/>
      <c r="J87" s="512"/>
      <c r="K87" s="512"/>
      <c r="L87" s="512"/>
      <c r="M87" s="512"/>
      <c r="N87" s="512"/>
      <c r="O87" s="512"/>
      <c r="P87" s="512"/>
      <c r="Q87" s="512"/>
      <c r="R87" s="512"/>
      <c r="S87" s="512"/>
      <c r="T87" s="513"/>
      <c r="U87" s="513"/>
      <c r="V87" s="514"/>
      <c r="W87" s="514"/>
      <c r="X87" s="514"/>
      <c r="Y87" s="505"/>
      <c r="Z87" s="505"/>
      <c r="AA87" s="505"/>
      <c r="AB87" s="505"/>
      <c r="AC87" s="505"/>
      <c r="AD87" s="506"/>
      <c r="AF87" s="50"/>
    </row>
    <row r="88" spans="1:32" ht="30.75" customHeight="1" thickBot="1">
      <c r="A88" s="507">
        <v>3</v>
      </c>
      <c r="B88" s="508"/>
      <c r="C88" s="509"/>
      <c r="D88" s="509"/>
      <c r="E88" s="509"/>
      <c r="F88" s="509"/>
      <c r="G88" s="509"/>
      <c r="H88" s="509"/>
      <c r="I88" s="509"/>
      <c r="J88" s="509"/>
      <c r="K88" s="509"/>
      <c r="L88" s="509"/>
      <c r="M88" s="509"/>
      <c r="N88" s="509"/>
      <c r="O88" s="509"/>
      <c r="P88" s="509"/>
      <c r="Q88" s="509"/>
      <c r="R88" s="509"/>
      <c r="S88" s="509"/>
      <c r="T88" s="509"/>
      <c r="U88" s="509"/>
      <c r="V88" s="509"/>
      <c r="W88" s="509"/>
      <c r="X88" s="509"/>
      <c r="Y88" s="510"/>
      <c r="Z88" s="510"/>
      <c r="AA88" s="510"/>
      <c r="AB88" s="510"/>
      <c r="AC88" s="510"/>
      <c r="AD88" s="511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D322-1983-4659-BAFB-9E9D50945424}">
  <dimension ref="A1:AF88"/>
  <sheetViews>
    <sheetView view="pageBreakPreview" zoomScale="70" zoomScaleNormal="72" zoomScaleSheetLayoutView="70" workbookViewId="0">
      <selection activeCell="F81" sqref="F81:J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463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290" t="s">
        <v>17</v>
      </c>
      <c r="L5" s="290" t="s">
        <v>18</v>
      </c>
      <c r="M5" s="290" t="s">
        <v>19</v>
      </c>
      <c r="N5" s="29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212</v>
      </c>
      <c r="E6" s="53" t="s">
        <v>298</v>
      </c>
      <c r="F6" s="30" t="s">
        <v>132</v>
      </c>
      <c r="G6" s="12">
        <v>1</v>
      </c>
      <c r="H6" s="13">
        <v>24</v>
      </c>
      <c r="I6" s="31">
        <v>1000</v>
      </c>
      <c r="J6" s="14">
        <v>1641</v>
      </c>
      <c r="K6" s="15">
        <f>L6</f>
        <v>1641</v>
      </c>
      <c r="L6" s="15">
        <v>1641</v>
      </c>
      <c r="M6" s="15">
        <f t="shared" ref="M6:M22" si="0">L6-N6</f>
        <v>1641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9</v>
      </c>
      <c r="Q6" s="40">
        <f t="shared" ref="Q6:Q22" si="3">SUM(R6:AA6)</f>
        <v>15</v>
      </c>
      <c r="R6" s="7"/>
      <c r="S6" s="6"/>
      <c r="T6" s="16"/>
      <c r="U6" s="16"/>
      <c r="V6" s="17"/>
      <c r="W6" s="5"/>
      <c r="X6" s="16"/>
      <c r="Y6" s="16"/>
      <c r="Z6" s="16"/>
      <c r="AA6" s="18">
        <v>15</v>
      </c>
      <c r="AB6" s="8">
        <f t="shared" ref="AB6:AB22" si="4">IF(J6=0,"0",(L6/J6))</f>
        <v>1</v>
      </c>
      <c r="AC6" s="9">
        <f t="shared" ref="AC6:AC22" si="5">IF(P6=0,"0",(P6/24))</f>
        <v>0.375</v>
      </c>
      <c r="AD6" s="10">
        <f t="shared" ref="AD6:AD22" si="6">AC6*AB6*(1-O6)</f>
        <v>0.375</v>
      </c>
      <c r="AE6" s="36">
        <f t="shared" ref="AE6:AE22" si="7">$AD$23</f>
        <v>0.46813725490196084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228</v>
      </c>
      <c r="E7" s="53" t="s">
        <v>299</v>
      </c>
      <c r="F7" s="30" t="s">
        <v>344</v>
      </c>
      <c r="G7" s="12">
        <v>2</v>
      </c>
      <c r="H7" s="13">
        <v>24</v>
      </c>
      <c r="I7" s="31">
        <v>130000</v>
      </c>
      <c r="J7" s="14">
        <v>5600</v>
      </c>
      <c r="K7" s="15">
        <f>L7+20667+13102+12272+13122</f>
        <v>64763</v>
      </c>
      <c r="L7" s="15">
        <f>2800*2</f>
        <v>5600</v>
      </c>
      <c r="M7" s="15">
        <f t="shared" si="0"/>
        <v>5600</v>
      </c>
      <c r="N7" s="15">
        <v>0</v>
      </c>
      <c r="O7" s="58">
        <f t="shared" si="1"/>
        <v>0</v>
      </c>
      <c r="P7" s="39">
        <f t="shared" si="2"/>
        <v>10</v>
      </c>
      <c r="Q7" s="40">
        <f t="shared" si="3"/>
        <v>14</v>
      </c>
      <c r="R7" s="7"/>
      <c r="S7" s="6">
        <v>14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0.41666666666666669</v>
      </c>
      <c r="AD7" s="10">
        <f t="shared" si="6"/>
        <v>0.41666666666666669</v>
      </c>
      <c r="AE7" s="36">
        <f t="shared" si="7"/>
        <v>0.46813725490196084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139</v>
      </c>
      <c r="D8" s="52" t="s">
        <v>117</v>
      </c>
      <c r="E8" s="53" t="s">
        <v>455</v>
      </c>
      <c r="F8" s="30" t="s">
        <v>165</v>
      </c>
      <c r="G8" s="33">
        <v>2</v>
      </c>
      <c r="H8" s="35">
        <v>24</v>
      </c>
      <c r="I8" s="7">
        <v>2000</v>
      </c>
      <c r="J8" s="5">
        <v>2151</v>
      </c>
      <c r="K8" s="15">
        <f>L8</f>
        <v>2151</v>
      </c>
      <c r="L8" s="15">
        <f>1364+787</f>
        <v>2151</v>
      </c>
      <c r="M8" s="15">
        <f t="shared" si="0"/>
        <v>2151</v>
      </c>
      <c r="N8" s="15">
        <v>0</v>
      </c>
      <c r="O8" s="58">
        <f t="shared" si="1"/>
        <v>0</v>
      </c>
      <c r="P8" s="39">
        <f t="shared" si="2"/>
        <v>13</v>
      </c>
      <c r="Q8" s="40">
        <f t="shared" si="3"/>
        <v>11</v>
      </c>
      <c r="R8" s="7"/>
      <c r="S8" s="6">
        <v>6</v>
      </c>
      <c r="T8" s="16"/>
      <c r="U8" s="16"/>
      <c r="V8" s="17"/>
      <c r="W8" s="5">
        <v>5</v>
      </c>
      <c r="X8" s="16"/>
      <c r="Y8" s="16"/>
      <c r="Z8" s="16"/>
      <c r="AA8" s="18"/>
      <c r="AB8" s="8">
        <f t="shared" si="4"/>
        <v>1</v>
      </c>
      <c r="AC8" s="9">
        <f t="shared" si="5"/>
        <v>0.54166666666666663</v>
      </c>
      <c r="AD8" s="10">
        <f t="shared" si="6"/>
        <v>0.54166666666666663</v>
      </c>
      <c r="AE8" s="36">
        <f t="shared" si="7"/>
        <v>0.46813725490196084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134</v>
      </c>
      <c r="F9" s="30" t="s">
        <v>133</v>
      </c>
      <c r="G9" s="12">
        <v>1</v>
      </c>
      <c r="H9" s="13">
        <v>24</v>
      </c>
      <c r="I9" s="7">
        <v>50000</v>
      </c>
      <c r="J9" s="14">
        <v>5324</v>
      </c>
      <c r="K9" s="15">
        <f>L9+4441+5448+5546+5454+5474+5364+5279+1939+4542+4891+3967+5490+5482</f>
        <v>68641</v>
      </c>
      <c r="L9" s="15">
        <f>2597+2727</f>
        <v>5324</v>
      </c>
      <c r="M9" s="15">
        <f t="shared" si="0"/>
        <v>5324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0.46813725490196084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332</v>
      </c>
      <c r="E10" s="53" t="s">
        <v>333</v>
      </c>
      <c r="F10" s="30" t="s">
        <v>131</v>
      </c>
      <c r="G10" s="33">
        <v>1</v>
      </c>
      <c r="H10" s="35">
        <v>24</v>
      </c>
      <c r="I10" s="7">
        <v>34000</v>
      </c>
      <c r="J10" s="14">
        <v>6437</v>
      </c>
      <c r="K10" s="15">
        <f>L10+3378+6577+6217+6595+6190+6462</f>
        <v>41856</v>
      </c>
      <c r="L10" s="15">
        <f>3205+3232</f>
        <v>6437</v>
      </c>
      <c r="M10" s="15">
        <f t="shared" si="0"/>
        <v>6437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0.46813725490196084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464</v>
      </c>
      <c r="E11" s="53" t="s">
        <v>465</v>
      </c>
      <c r="F11" s="30" t="s">
        <v>466</v>
      </c>
      <c r="G11" s="33">
        <v>16</v>
      </c>
      <c r="H11" s="35">
        <v>24</v>
      </c>
      <c r="I11" s="7">
        <v>100000</v>
      </c>
      <c r="J11" s="14">
        <v>39816</v>
      </c>
      <c r="K11" s="15">
        <f>L11</f>
        <v>39816</v>
      </c>
      <c r="L11" s="15">
        <f>1735*14+1109*14</f>
        <v>39816</v>
      </c>
      <c r="M11" s="15">
        <f t="shared" si="0"/>
        <v>39816</v>
      </c>
      <c r="N11" s="15">
        <v>0</v>
      </c>
      <c r="O11" s="58">
        <f t="shared" si="1"/>
        <v>0</v>
      </c>
      <c r="P11" s="39">
        <f t="shared" si="2"/>
        <v>14</v>
      </c>
      <c r="Q11" s="40">
        <f t="shared" si="3"/>
        <v>10</v>
      </c>
      <c r="R11" s="7"/>
      <c r="S11" s="6">
        <v>5</v>
      </c>
      <c r="T11" s="16"/>
      <c r="U11" s="16"/>
      <c r="V11" s="17"/>
      <c r="W11" s="5"/>
      <c r="X11" s="16"/>
      <c r="Y11" s="16"/>
      <c r="Z11" s="16"/>
      <c r="AA11" s="18">
        <v>5</v>
      </c>
      <c r="AB11" s="8">
        <f t="shared" si="4"/>
        <v>1</v>
      </c>
      <c r="AC11" s="9">
        <f t="shared" si="5"/>
        <v>0.58333333333333337</v>
      </c>
      <c r="AD11" s="10">
        <f t="shared" si="6"/>
        <v>0.58333333333333337</v>
      </c>
      <c r="AE11" s="36">
        <f t="shared" si="7"/>
        <v>0.46813725490196084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144</v>
      </c>
      <c r="F12" s="30" t="s">
        <v>145</v>
      </c>
      <c r="G12" s="12">
        <v>1</v>
      </c>
      <c r="H12" s="13">
        <v>22</v>
      </c>
      <c r="I12" s="31">
        <v>120000</v>
      </c>
      <c r="J12" s="5">
        <v>4277</v>
      </c>
      <c r="K12" s="15">
        <f>L12+4597+5041+5597+5567+5537+3364+5103+4208+3250+4473+4603+3900+3271+5266+5310+2806+4497+4981+4384+3503+3445+4608+5518+1083+3494+3542</f>
        <v>115225</v>
      </c>
      <c r="L12" s="15">
        <f>2685+1592</f>
        <v>4277</v>
      </c>
      <c r="M12" s="15">
        <f t="shared" si="0"/>
        <v>4277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6"/>
        <v>0.83333333333333337</v>
      </c>
      <c r="AE12" s="36">
        <f t="shared" si="7"/>
        <v>0.46813725490196084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135</v>
      </c>
      <c r="E13" s="53" t="s">
        <v>268</v>
      </c>
      <c r="F13" s="30" t="s">
        <v>244</v>
      </c>
      <c r="G13" s="33">
        <v>1</v>
      </c>
      <c r="H13" s="35">
        <v>24</v>
      </c>
      <c r="I13" s="7">
        <v>24000</v>
      </c>
      <c r="J13" s="14">
        <v>5620</v>
      </c>
      <c r="K13" s="15">
        <f>L13</f>
        <v>5620</v>
      </c>
      <c r="L13" s="15">
        <f>2453+3167</f>
        <v>5620</v>
      </c>
      <c r="M13" s="15">
        <f t="shared" si="0"/>
        <v>5620</v>
      </c>
      <c r="N13" s="15">
        <v>0</v>
      </c>
      <c r="O13" s="58">
        <f t="shared" si="1"/>
        <v>0</v>
      </c>
      <c r="P13" s="39">
        <f t="shared" si="2"/>
        <v>22</v>
      </c>
      <c r="Q13" s="40">
        <f t="shared" si="3"/>
        <v>2</v>
      </c>
      <c r="R13" s="7"/>
      <c r="S13" s="6"/>
      <c r="T13" s="16">
        <v>2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0.91666666666666663</v>
      </c>
      <c r="AD13" s="10">
        <f t="shared" si="6"/>
        <v>0.91666666666666663</v>
      </c>
      <c r="AE13" s="36">
        <f t="shared" si="7"/>
        <v>0.46813725490196084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400</v>
      </c>
      <c r="F14" s="30" t="s">
        <v>147</v>
      </c>
      <c r="G14" s="33">
        <v>1</v>
      </c>
      <c r="H14" s="35">
        <v>50</v>
      </c>
      <c r="I14" s="7">
        <v>300</v>
      </c>
      <c r="J14" s="5">
        <v>365</v>
      </c>
      <c r="K14" s="15">
        <f>L14+365</f>
        <v>365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0.46813725490196084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139</v>
      </c>
      <c r="D15" s="52" t="s">
        <v>130</v>
      </c>
      <c r="E15" s="53" t="s">
        <v>369</v>
      </c>
      <c r="F15" s="12" t="s">
        <v>367</v>
      </c>
      <c r="G15" s="12">
        <v>1</v>
      </c>
      <c r="H15" s="13">
        <v>24</v>
      </c>
      <c r="I15" s="31">
        <v>2500</v>
      </c>
      <c r="J15" s="14">
        <v>2700</v>
      </c>
      <c r="K15" s="15">
        <f>L15+2700</f>
        <v>2700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0.46813725490196084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115</v>
      </c>
      <c r="E16" s="53" t="s">
        <v>260</v>
      </c>
      <c r="F16" s="30" t="s">
        <v>145</v>
      </c>
      <c r="G16" s="12">
        <v>1</v>
      </c>
      <c r="H16" s="13">
        <v>24</v>
      </c>
      <c r="I16" s="7">
        <v>500</v>
      </c>
      <c r="J16" s="14">
        <v>646</v>
      </c>
      <c r="K16" s="15">
        <f>L16+646</f>
        <v>646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0.46813725490196084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/>
      <c r="E17" s="53" t="s">
        <v>301</v>
      </c>
      <c r="F17" s="30" t="s">
        <v>128</v>
      </c>
      <c r="G17" s="12">
        <v>1</v>
      </c>
      <c r="H17" s="13">
        <v>24</v>
      </c>
      <c r="I17" s="7">
        <v>5400</v>
      </c>
      <c r="J17" s="14">
        <v>3740</v>
      </c>
      <c r="K17" s="15">
        <f>L17+2945+3740</f>
        <v>6685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0.46813725490196084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139</v>
      </c>
      <c r="D18" s="52" t="s">
        <v>115</v>
      </c>
      <c r="E18" s="53" t="s">
        <v>370</v>
      </c>
      <c r="F18" s="30" t="s">
        <v>165</v>
      </c>
      <c r="G18" s="33">
        <v>1</v>
      </c>
      <c r="H18" s="35">
        <v>24</v>
      </c>
      <c r="I18" s="7">
        <v>3000</v>
      </c>
      <c r="J18" s="14">
        <v>771</v>
      </c>
      <c r="K18" s="15">
        <f>L18+897+3479</f>
        <v>5147</v>
      </c>
      <c r="L18" s="15">
        <v>771</v>
      </c>
      <c r="M18" s="15">
        <f t="shared" si="0"/>
        <v>771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7"/>
        <v>0.46813725490196084</v>
      </c>
      <c r="AF18" s="84">
        <f t="shared" si="8"/>
        <v>13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115</v>
      </c>
      <c r="E19" s="53" t="s">
        <v>467</v>
      </c>
      <c r="F19" s="30" t="s">
        <v>129</v>
      </c>
      <c r="G19" s="33">
        <v>1</v>
      </c>
      <c r="H19" s="35">
        <v>24</v>
      </c>
      <c r="I19" s="7">
        <v>23400</v>
      </c>
      <c r="J19" s="14">
        <v>783</v>
      </c>
      <c r="K19" s="15">
        <f>L19</f>
        <v>783</v>
      </c>
      <c r="L19" s="15">
        <f>247+536</f>
        <v>783</v>
      </c>
      <c r="M19" s="15">
        <f t="shared" ref="M19" si="9">L19-N19</f>
        <v>783</v>
      </c>
      <c r="N19" s="15">
        <v>0</v>
      </c>
      <c r="O19" s="58">
        <f t="shared" ref="O19" si="10">IF(L19=0,"0",N19/L19)</f>
        <v>0</v>
      </c>
      <c r="P19" s="39">
        <f t="shared" ref="P19" si="11">IF(L19=0,"0",(24-Q19))</f>
        <v>5</v>
      </c>
      <c r="Q19" s="40">
        <f t="shared" ref="Q19" si="12">SUM(R19:AA19)</f>
        <v>19</v>
      </c>
      <c r="R19" s="7"/>
      <c r="S19" s="6">
        <v>14</v>
      </c>
      <c r="T19" s="16">
        <v>5</v>
      </c>
      <c r="U19" s="16"/>
      <c r="V19" s="17"/>
      <c r="W19" s="5"/>
      <c r="X19" s="16"/>
      <c r="Y19" s="16"/>
      <c r="Z19" s="16"/>
      <c r="AA19" s="18"/>
      <c r="AB19" s="8">
        <f t="shared" ref="AB19" si="13">IF(J19=0,"0",(L19/J19))</f>
        <v>1</v>
      </c>
      <c r="AC19" s="9">
        <f t="shared" ref="AC19" si="14">IF(P19=0,"0",(P19/24))</f>
        <v>0.20833333333333334</v>
      </c>
      <c r="AD19" s="10">
        <f t="shared" ref="AD19" si="15">AC19*AB19*(1-O19)</f>
        <v>0.20833333333333334</v>
      </c>
      <c r="AE19" s="36">
        <f t="shared" si="7"/>
        <v>0.46813725490196084</v>
      </c>
      <c r="AF19" s="84">
        <f t="shared" ref="AF19" si="16">A19</f>
        <v>13</v>
      </c>
    </row>
    <row r="20" spans="1:32" ht="27" customHeight="1">
      <c r="A20" s="96">
        <v>14</v>
      </c>
      <c r="B20" s="11" t="s">
        <v>57</v>
      </c>
      <c r="C20" s="11" t="s">
        <v>402</v>
      </c>
      <c r="D20" s="52" t="s">
        <v>326</v>
      </c>
      <c r="E20" s="53" t="s">
        <v>425</v>
      </c>
      <c r="F20" s="30" t="s">
        <v>438</v>
      </c>
      <c r="G20" s="33">
        <v>1</v>
      </c>
      <c r="H20" s="35">
        <v>24</v>
      </c>
      <c r="I20" s="7">
        <v>1000</v>
      </c>
      <c r="J20" s="14">
        <v>2412</v>
      </c>
      <c r="K20" s="15">
        <f>L20+3332+2412</f>
        <v>5744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24</v>
      </c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0.46813725490196084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118</v>
      </c>
      <c r="D21" s="52" t="s">
        <v>115</v>
      </c>
      <c r="E21" s="53" t="s">
        <v>309</v>
      </c>
      <c r="F21" s="30" t="s">
        <v>129</v>
      </c>
      <c r="G21" s="12">
        <v>4</v>
      </c>
      <c r="H21" s="13">
        <v>24</v>
      </c>
      <c r="I21" s="7">
        <v>130000</v>
      </c>
      <c r="J21" s="14">
        <v>18684</v>
      </c>
      <c r="K21" s="15">
        <f>L21+13156+20408+13276+22084+10984+20356+20356</f>
        <v>139304</v>
      </c>
      <c r="L21" s="15">
        <f>2138*4+2533*4</f>
        <v>18684</v>
      </c>
      <c r="M21" s="15">
        <f t="shared" si="0"/>
        <v>18684</v>
      </c>
      <c r="N21" s="15">
        <v>0</v>
      </c>
      <c r="O21" s="58">
        <f t="shared" si="1"/>
        <v>0</v>
      </c>
      <c r="P21" s="39">
        <f t="shared" si="2"/>
        <v>22</v>
      </c>
      <c r="Q21" s="40">
        <f t="shared" si="3"/>
        <v>2</v>
      </c>
      <c r="R21" s="7"/>
      <c r="S21" s="6">
        <v>2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0.91666666666666663</v>
      </c>
      <c r="AD21" s="10">
        <f t="shared" si="6"/>
        <v>0.91666666666666663</v>
      </c>
      <c r="AE21" s="36">
        <f t="shared" si="7"/>
        <v>0.46813725490196084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346</v>
      </c>
      <c r="F22" s="12" t="s">
        <v>114</v>
      </c>
      <c r="G22" s="12">
        <v>3</v>
      </c>
      <c r="H22" s="35">
        <v>20</v>
      </c>
      <c r="I22" s="7">
        <v>1000000</v>
      </c>
      <c r="J22" s="14">
        <v>75276</v>
      </c>
      <c r="K22" s="15">
        <f>L22+28316+74820+71924+69164+75560+75632+75472</f>
        <v>546164</v>
      </c>
      <c r="L22" s="15">
        <f>9436*4+9383*4</f>
        <v>75276</v>
      </c>
      <c r="M22" s="15">
        <f t="shared" si="0"/>
        <v>75276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0.46813725490196084</v>
      </c>
      <c r="AF22" s="84">
        <f t="shared" si="8"/>
        <v>16</v>
      </c>
    </row>
    <row r="23" spans="1:32" ht="31.5" customHeight="1" thickBot="1">
      <c r="A23" s="408" t="s">
        <v>34</v>
      </c>
      <c r="B23" s="409"/>
      <c r="C23" s="409"/>
      <c r="D23" s="409"/>
      <c r="E23" s="409"/>
      <c r="F23" s="409"/>
      <c r="G23" s="409"/>
      <c r="H23" s="410"/>
      <c r="I23" s="22">
        <f t="shared" ref="I23:N23" si="17">SUM(I6:I22)</f>
        <v>1627100</v>
      </c>
      <c r="J23" s="19">
        <f t="shared" si="17"/>
        <v>176243</v>
      </c>
      <c r="K23" s="20">
        <f t="shared" si="17"/>
        <v>1047251</v>
      </c>
      <c r="L23" s="21">
        <f t="shared" si="17"/>
        <v>166380</v>
      </c>
      <c r="M23" s="20">
        <f t="shared" si="17"/>
        <v>166380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191</v>
      </c>
      <c r="Q23" s="43">
        <f t="shared" si="18"/>
        <v>217</v>
      </c>
      <c r="R23" s="23">
        <f t="shared" si="18"/>
        <v>0</v>
      </c>
      <c r="S23" s="24">
        <f t="shared" si="18"/>
        <v>45</v>
      </c>
      <c r="T23" s="24">
        <f t="shared" si="18"/>
        <v>7</v>
      </c>
      <c r="U23" s="24">
        <f t="shared" si="18"/>
        <v>0</v>
      </c>
      <c r="V23" s="25">
        <f t="shared" si="18"/>
        <v>0</v>
      </c>
      <c r="W23" s="26">
        <f t="shared" si="18"/>
        <v>97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68</v>
      </c>
      <c r="AB23" s="28">
        <f>AVERAGE(AB6:AB22)</f>
        <v>0.70588235294117652</v>
      </c>
      <c r="AC23" s="4">
        <f>AVERAGE(AC6:AC22)</f>
        <v>0.46813725490196084</v>
      </c>
      <c r="AD23" s="4">
        <f>AVERAGE(AD6:AD22)</f>
        <v>0.46813725490196084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11" t="s">
        <v>45</v>
      </c>
      <c r="B50" s="411"/>
      <c r="C50" s="411"/>
      <c r="D50" s="411"/>
      <c r="E50" s="411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12" t="s">
        <v>468</v>
      </c>
      <c r="B51" s="413"/>
      <c r="C51" s="413"/>
      <c r="D51" s="413"/>
      <c r="E51" s="413"/>
      <c r="F51" s="413"/>
      <c r="G51" s="413"/>
      <c r="H51" s="413"/>
      <c r="I51" s="413"/>
      <c r="J51" s="413"/>
      <c r="K51" s="413"/>
      <c r="L51" s="413"/>
      <c r="M51" s="414"/>
      <c r="N51" s="415" t="s">
        <v>471</v>
      </c>
      <c r="O51" s="416"/>
      <c r="P51" s="416"/>
      <c r="Q51" s="416"/>
      <c r="R51" s="416"/>
      <c r="S51" s="416"/>
      <c r="T51" s="416"/>
      <c r="U51" s="416"/>
      <c r="V51" s="416"/>
      <c r="W51" s="416"/>
      <c r="X51" s="416"/>
      <c r="Y51" s="416"/>
      <c r="Z51" s="416"/>
      <c r="AA51" s="416"/>
      <c r="AB51" s="416"/>
      <c r="AC51" s="416"/>
      <c r="AD51" s="417"/>
    </row>
    <row r="52" spans="1:32" ht="27" customHeight="1">
      <c r="A52" s="418" t="s">
        <v>2</v>
      </c>
      <c r="B52" s="419"/>
      <c r="C52" s="291" t="s">
        <v>46</v>
      </c>
      <c r="D52" s="291" t="s">
        <v>47</v>
      </c>
      <c r="E52" s="291" t="s">
        <v>107</v>
      </c>
      <c r="F52" s="420" t="s">
        <v>106</v>
      </c>
      <c r="G52" s="421"/>
      <c r="H52" s="421"/>
      <c r="I52" s="421"/>
      <c r="J52" s="421"/>
      <c r="K52" s="421"/>
      <c r="L52" s="421"/>
      <c r="M52" s="422"/>
      <c r="N52" s="67" t="s">
        <v>110</v>
      </c>
      <c r="O52" s="291" t="s">
        <v>46</v>
      </c>
      <c r="P52" s="420" t="s">
        <v>47</v>
      </c>
      <c r="Q52" s="423"/>
      <c r="R52" s="420" t="s">
        <v>38</v>
      </c>
      <c r="S52" s="421"/>
      <c r="T52" s="421"/>
      <c r="U52" s="423"/>
      <c r="V52" s="420" t="s">
        <v>48</v>
      </c>
      <c r="W52" s="421"/>
      <c r="X52" s="421"/>
      <c r="Y52" s="421"/>
      <c r="Z52" s="421"/>
      <c r="AA52" s="421"/>
      <c r="AB52" s="421"/>
      <c r="AC52" s="421"/>
      <c r="AD52" s="422"/>
    </row>
    <row r="53" spans="1:32" ht="27" customHeight="1">
      <c r="A53" s="434" t="s">
        <v>112</v>
      </c>
      <c r="B53" s="435"/>
      <c r="C53" s="293" t="s">
        <v>250</v>
      </c>
      <c r="D53" s="293" t="s">
        <v>212</v>
      </c>
      <c r="E53" s="293" t="s">
        <v>298</v>
      </c>
      <c r="F53" s="436" t="s">
        <v>375</v>
      </c>
      <c r="G53" s="437"/>
      <c r="H53" s="437"/>
      <c r="I53" s="437"/>
      <c r="J53" s="437"/>
      <c r="K53" s="437"/>
      <c r="L53" s="437"/>
      <c r="M53" s="438"/>
      <c r="N53" s="292" t="s">
        <v>120</v>
      </c>
      <c r="O53" s="299" t="s">
        <v>190</v>
      </c>
      <c r="P53" s="439"/>
      <c r="Q53" s="440"/>
      <c r="R53" s="439" t="s">
        <v>472</v>
      </c>
      <c r="S53" s="441"/>
      <c r="T53" s="441"/>
      <c r="U53" s="440"/>
      <c r="V53" s="442" t="s">
        <v>138</v>
      </c>
      <c r="W53" s="442"/>
      <c r="X53" s="442"/>
      <c r="Y53" s="442"/>
      <c r="Z53" s="442"/>
      <c r="AA53" s="442"/>
      <c r="AB53" s="442"/>
      <c r="AC53" s="442"/>
      <c r="AD53" s="443"/>
    </row>
    <row r="54" spans="1:32" ht="27" customHeight="1">
      <c r="A54" s="434" t="s">
        <v>118</v>
      </c>
      <c r="B54" s="435"/>
      <c r="C54" s="293" t="s">
        <v>136</v>
      </c>
      <c r="D54" s="293" t="s">
        <v>115</v>
      </c>
      <c r="E54" s="293" t="s">
        <v>144</v>
      </c>
      <c r="F54" s="436" t="s">
        <v>124</v>
      </c>
      <c r="G54" s="437"/>
      <c r="H54" s="437"/>
      <c r="I54" s="437"/>
      <c r="J54" s="437"/>
      <c r="K54" s="437"/>
      <c r="L54" s="437"/>
      <c r="M54" s="438"/>
      <c r="N54" s="292" t="s">
        <v>112</v>
      </c>
      <c r="O54" s="299" t="s">
        <v>200</v>
      </c>
      <c r="P54" s="439" t="s">
        <v>115</v>
      </c>
      <c r="Q54" s="440"/>
      <c r="R54" s="439" t="s">
        <v>322</v>
      </c>
      <c r="S54" s="441"/>
      <c r="T54" s="441"/>
      <c r="U54" s="440"/>
      <c r="V54" s="442" t="s">
        <v>124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112</v>
      </c>
      <c r="B55" s="435"/>
      <c r="C55" s="293" t="s">
        <v>127</v>
      </c>
      <c r="D55" s="293" t="s">
        <v>216</v>
      </c>
      <c r="E55" s="293" t="s">
        <v>268</v>
      </c>
      <c r="F55" s="436" t="s">
        <v>138</v>
      </c>
      <c r="G55" s="437"/>
      <c r="H55" s="437"/>
      <c r="I55" s="437"/>
      <c r="J55" s="437"/>
      <c r="K55" s="437"/>
      <c r="L55" s="437"/>
      <c r="M55" s="438"/>
      <c r="N55" s="292" t="s">
        <v>112</v>
      </c>
      <c r="O55" s="299" t="s">
        <v>201</v>
      </c>
      <c r="P55" s="439" t="s">
        <v>474</v>
      </c>
      <c r="Q55" s="440"/>
      <c r="R55" s="439" t="s">
        <v>473</v>
      </c>
      <c r="S55" s="441"/>
      <c r="T55" s="441"/>
      <c r="U55" s="440"/>
      <c r="V55" s="442" t="s">
        <v>138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139</v>
      </c>
      <c r="B56" s="435"/>
      <c r="C56" s="293" t="s">
        <v>190</v>
      </c>
      <c r="D56" s="293" t="s">
        <v>117</v>
      </c>
      <c r="E56" s="293" t="s">
        <v>455</v>
      </c>
      <c r="F56" s="436" t="s">
        <v>138</v>
      </c>
      <c r="G56" s="437"/>
      <c r="H56" s="437"/>
      <c r="I56" s="437"/>
      <c r="J56" s="437"/>
      <c r="K56" s="437"/>
      <c r="L56" s="437"/>
      <c r="M56" s="438"/>
      <c r="N56" s="292"/>
      <c r="O56" s="299"/>
      <c r="P56" s="439"/>
      <c r="Q56" s="440"/>
      <c r="R56" s="439"/>
      <c r="S56" s="441"/>
      <c r="T56" s="441"/>
      <c r="U56" s="440"/>
      <c r="V56" s="442"/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112</v>
      </c>
      <c r="B57" s="435"/>
      <c r="C57" s="293" t="s">
        <v>200</v>
      </c>
      <c r="D57" s="293" t="s">
        <v>115</v>
      </c>
      <c r="E57" s="293" t="s">
        <v>467</v>
      </c>
      <c r="F57" s="436" t="s">
        <v>469</v>
      </c>
      <c r="G57" s="437"/>
      <c r="H57" s="437"/>
      <c r="I57" s="437"/>
      <c r="J57" s="437"/>
      <c r="K57" s="437"/>
      <c r="L57" s="437"/>
      <c r="M57" s="438"/>
      <c r="N57" s="292"/>
      <c r="O57" s="299"/>
      <c r="P57" s="439"/>
      <c r="Q57" s="440"/>
      <c r="R57" s="439"/>
      <c r="S57" s="441"/>
      <c r="T57" s="441"/>
      <c r="U57" s="440"/>
      <c r="V57" s="442"/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118</v>
      </c>
      <c r="B58" s="435"/>
      <c r="C58" s="293" t="s">
        <v>224</v>
      </c>
      <c r="D58" s="293" t="s">
        <v>464</v>
      </c>
      <c r="E58" s="293" t="s">
        <v>465</v>
      </c>
      <c r="F58" s="436" t="s">
        <v>470</v>
      </c>
      <c r="G58" s="437"/>
      <c r="H58" s="437"/>
      <c r="I58" s="437"/>
      <c r="J58" s="437"/>
      <c r="K58" s="437"/>
      <c r="L58" s="437"/>
      <c r="M58" s="438"/>
      <c r="N58" s="292"/>
      <c r="O58" s="299"/>
      <c r="P58" s="439"/>
      <c r="Q58" s="440"/>
      <c r="R58" s="439"/>
      <c r="S58" s="441"/>
      <c r="T58" s="441"/>
      <c r="U58" s="440"/>
      <c r="V58" s="442"/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/>
      <c r="B59" s="435"/>
      <c r="C59" s="293"/>
      <c r="D59" s="293"/>
      <c r="E59" s="293"/>
      <c r="F59" s="436"/>
      <c r="G59" s="437"/>
      <c r="H59" s="437"/>
      <c r="I59" s="437"/>
      <c r="J59" s="437"/>
      <c r="K59" s="437"/>
      <c r="L59" s="437"/>
      <c r="M59" s="438"/>
      <c r="N59" s="292"/>
      <c r="O59" s="299"/>
      <c r="P59" s="439"/>
      <c r="Q59" s="440"/>
      <c r="R59" s="439"/>
      <c r="S59" s="441"/>
      <c r="T59" s="441"/>
      <c r="U59" s="440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57"/>
      <c r="B60" s="458"/>
      <c r="C60" s="297"/>
      <c r="D60" s="297"/>
      <c r="E60" s="293"/>
      <c r="F60" s="436"/>
      <c r="G60" s="437"/>
      <c r="H60" s="437"/>
      <c r="I60" s="437"/>
      <c r="J60" s="437"/>
      <c r="K60" s="437"/>
      <c r="L60" s="437"/>
      <c r="M60" s="438"/>
      <c r="N60" s="292"/>
      <c r="O60" s="299"/>
      <c r="P60" s="439"/>
      <c r="Q60" s="440"/>
      <c r="R60" s="435"/>
      <c r="S60" s="435"/>
      <c r="T60" s="435"/>
      <c r="U60" s="435"/>
      <c r="V60" s="442"/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57"/>
      <c r="B61" s="458"/>
      <c r="C61" s="297"/>
      <c r="D61" s="297"/>
      <c r="E61" s="293"/>
      <c r="F61" s="436"/>
      <c r="G61" s="437"/>
      <c r="H61" s="437"/>
      <c r="I61" s="437"/>
      <c r="J61" s="437"/>
      <c r="K61" s="437"/>
      <c r="L61" s="437"/>
      <c r="M61" s="438"/>
      <c r="N61" s="292"/>
      <c r="O61" s="299"/>
      <c r="P61" s="435"/>
      <c r="Q61" s="435"/>
      <c r="R61" s="435"/>
      <c r="S61" s="435"/>
      <c r="T61" s="435"/>
      <c r="U61" s="435"/>
      <c r="V61" s="442"/>
      <c r="W61" s="442"/>
      <c r="X61" s="442"/>
      <c r="Y61" s="442"/>
      <c r="Z61" s="442"/>
      <c r="AA61" s="442"/>
      <c r="AB61" s="442"/>
      <c r="AC61" s="442"/>
      <c r="AD61" s="443"/>
      <c r="AF61" s="84">
        <f>8*3000</f>
        <v>24000</v>
      </c>
    </row>
    <row r="62" spans="1:32" ht="27" customHeight="1" thickBot="1">
      <c r="A62" s="444"/>
      <c r="B62" s="445"/>
      <c r="C62" s="294"/>
      <c r="D62" s="295"/>
      <c r="E62" s="294"/>
      <c r="F62" s="446"/>
      <c r="G62" s="447"/>
      <c r="H62" s="447"/>
      <c r="I62" s="447"/>
      <c r="J62" s="447"/>
      <c r="K62" s="447"/>
      <c r="L62" s="447"/>
      <c r="M62" s="448"/>
      <c r="N62" s="111"/>
      <c r="O62" s="103"/>
      <c r="P62" s="449"/>
      <c r="Q62" s="449"/>
      <c r="R62" s="449"/>
      <c r="S62" s="449"/>
      <c r="T62" s="449"/>
      <c r="U62" s="449"/>
      <c r="V62" s="450"/>
      <c r="W62" s="450"/>
      <c r="X62" s="450"/>
      <c r="Y62" s="450"/>
      <c r="Z62" s="450"/>
      <c r="AA62" s="450"/>
      <c r="AB62" s="450"/>
      <c r="AC62" s="450"/>
      <c r="AD62" s="451"/>
      <c r="AF62" s="84">
        <f>16*3000</f>
        <v>48000</v>
      </c>
    </row>
    <row r="63" spans="1:32" ht="27.75" thickBot="1">
      <c r="A63" s="452" t="s">
        <v>475</v>
      </c>
      <c r="B63" s="452"/>
      <c r="C63" s="452"/>
      <c r="D63" s="452"/>
      <c r="E63" s="45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3" t="s">
        <v>111</v>
      </c>
      <c r="B64" s="454"/>
      <c r="C64" s="296" t="s">
        <v>2</v>
      </c>
      <c r="D64" s="296" t="s">
        <v>37</v>
      </c>
      <c r="E64" s="296" t="s">
        <v>3</v>
      </c>
      <c r="F64" s="454" t="s">
        <v>109</v>
      </c>
      <c r="G64" s="454"/>
      <c r="H64" s="454"/>
      <c r="I64" s="454"/>
      <c r="J64" s="454"/>
      <c r="K64" s="454" t="s">
        <v>39</v>
      </c>
      <c r="L64" s="454"/>
      <c r="M64" s="296" t="s">
        <v>40</v>
      </c>
      <c r="N64" s="454" t="s">
        <v>41</v>
      </c>
      <c r="O64" s="454"/>
      <c r="P64" s="455" t="s">
        <v>42</v>
      </c>
      <c r="Q64" s="456"/>
      <c r="R64" s="455" t="s">
        <v>43</v>
      </c>
      <c r="S64" s="459"/>
      <c r="T64" s="459"/>
      <c r="U64" s="459"/>
      <c r="V64" s="459"/>
      <c r="W64" s="459"/>
      <c r="X64" s="459"/>
      <c r="Y64" s="459"/>
      <c r="Z64" s="459"/>
      <c r="AA64" s="456"/>
      <c r="AB64" s="454" t="s">
        <v>44</v>
      </c>
      <c r="AC64" s="454"/>
      <c r="AD64" s="460"/>
      <c r="AF64" s="84">
        <f>SUM(AF61:AF63)</f>
        <v>96000</v>
      </c>
    </row>
    <row r="65" spans="1:32" ht="25.5" customHeight="1">
      <c r="A65" s="461">
        <v>1</v>
      </c>
      <c r="B65" s="462"/>
      <c r="C65" s="104" t="s">
        <v>112</v>
      </c>
      <c r="D65" s="301"/>
      <c r="E65" s="298" t="s">
        <v>212</v>
      </c>
      <c r="F65" s="463" t="s">
        <v>417</v>
      </c>
      <c r="G65" s="464"/>
      <c r="H65" s="464"/>
      <c r="I65" s="464"/>
      <c r="J65" s="465"/>
      <c r="K65" s="466" t="s">
        <v>132</v>
      </c>
      <c r="L65" s="466"/>
      <c r="M65" s="51" t="s">
        <v>481</v>
      </c>
      <c r="N65" s="467" t="s">
        <v>250</v>
      </c>
      <c r="O65" s="467"/>
      <c r="P65" s="468">
        <v>60</v>
      </c>
      <c r="Q65" s="468"/>
      <c r="R65" s="442" t="s">
        <v>482</v>
      </c>
      <c r="S65" s="442"/>
      <c r="T65" s="442"/>
      <c r="U65" s="442"/>
      <c r="V65" s="442"/>
      <c r="W65" s="442"/>
      <c r="X65" s="442"/>
      <c r="Y65" s="442"/>
      <c r="Z65" s="442"/>
      <c r="AA65" s="442"/>
      <c r="AB65" s="466"/>
      <c r="AC65" s="466"/>
      <c r="AD65" s="469"/>
      <c r="AF65" s="50"/>
    </row>
    <row r="66" spans="1:32" ht="25.5" customHeight="1">
      <c r="A66" s="461">
        <v>2</v>
      </c>
      <c r="B66" s="462"/>
      <c r="C66" s="104" t="s">
        <v>112</v>
      </c>
      <c r="D66" s="301"/>
      <c r="E66" s="298" t="s">
        <v>212</v>
      </c>
      <c r="F66" s="463" t="s">
        <v>476</v>
      </c>
      <c r="G66" s="464"/>
      <c r="H66" s="464"/>
      <c r="I66" s="464"/>
      <c r="J66" s="465"/>
      <c r="K66" s="466" t="s">
        <v>132</v>
      </c>
      <c r="L66" s="466"/>
      <c r="M66" s="51" t="s">
        <v>379</v>
      </c>
      <c r="N66" s="467" t="s">
        <v>140</v>
      </c>
      <c r="O66" s="467"/>
      <c r="P66" s="468">
        <v>30</v>
      </c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3</v>
      </c>
      <c r="B67" s="462"/>
      <c r="C67" s="104" t="s">
        <v>139</v>
      </c>
      <c r="D67" s="301"/>
      <c r="E67" s="298" t="s">
        <v>117</v>
      </c>
      <c r="F67" s="463" t="s">
        <v>455</v>
      </c>
      <c r="G67" s="464"/>
      <c r="H67" s="464"/>
      <c r="I67" s="464"/>
      <c r="J67" s="465"/>
      <c r="K67" s="466" t="s">
        <v>165</v>
      </c>
      <c r="L67" s="466"/>
      <c r="M67" s="51" t="s">
        <v>362</v>
      </c>
      <c r="N67" s="467" t="s">
        <v>190</v>
      </c>
      <c r="O67" s="467"/>
      <c r="P67" s="468">
        <v>20</v>
      </c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4</v>
      </c>
      <c r="B68" s="462"/>
      <c r="C68" s="104" t="s">
        <v>120</v>
      </c>
      <c r="D68" s="301"/>
      <c r="E68" s="298"/>
      <c r="F68" s="463" t="s">
        <v>173</v>
      </c>
      <c r="G68" s="464"/>
      <c r="H68" s="464"/>
      <c r="I68" s="464"/>
      <c r="J68" s="465"/>
      <c r="K68" s="466" t="s">
        <v>142</v>
      </c>
      <c r="L68" s="466"/>
      <c r="M68" s="51" t="s">
        <v>230</v>
      </c>
      <c r="N68" s="467" t="s">
        <v>477</v>
      </c>
      <c r="O68" s="467"/>
      <c r="P68" s="468"/>
      <c r="Q68" s="468"/>
      <c r="R68" s="442" t="s">
        <v>483</v>
      </c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5</v>
      </c>
      <c r="B69" s="462"/>
      <c r="C69" s="104" t="s">
        <v>112</v>
      </c>
      <c r="D69" s="301"/>
      <c r="E69" s="298" t="s">
        <v>130</v>
      </c>
      <c r="F69" s="463" t="s">
        <v>478</v>
      </c>
      <c r="G69" s="464"/>
      <c r="H69" s="464"/>
      <c r="I69" s="464"/>
      <c r="J69" s="465"/>
      <c r="K69" s="466" t="s">
        <v>131</v>
      </c>
      <c r="L69" s="466"/>
      <c r="M69" s="51" t="s">
        <v>379</v>
      </c>
      <c r="N69" s="467" t="s">
        <v>201</v>
      </c>
      <c r="O69" s="467"/>
      <c r="P69" s="468">
        <v>50</v>
      </c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6</v>
      </c>
      <c r="B70" s="462"/>
      <c r="C70" s="104" t="s">
        <v>112</v>
      </c>
      <c r="D70" s="301"/>
      <c r="E70" s="298" t="s">
        <v>216</v>
      </c>
      <c r="F70" s="463" t="s">
        <v>479</v>
      </c>
      <c r="G70" s="464"/>
      <c r="H70" s="464"/>
      <c r="I70" s="464"/>
      <c r="J70" s="465"/>
      <c r="K70" s="466" t="s">
        <v>244</v>
      </c>
      <c r="L70" s="466"/>
      <c r="M70" s="51" t="s">
        <v>379</v>
      </c>
      <c r="N70" s="467" t="s">
        <v>201</v>
      </c>
      <c r="O70" s="467"/>
      <c r="P70" s="468">
        <v>50</v>
      </c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7</v>
      </c>
      <c r="B71" s="462"/>
      <c r="C71" s="104" t="s">
        <v>112</v>
      </c>
      <c r="D71" s="301"/>
      <c r="E71" s="298" t="s">
        <v>115</v>
      </c>
      <c r="F71" s="463" t="s">
        <v>480</v>
      </c>
      <c r="G71" s="464"/>
      <c r="H71" s="464"/>
      <c r="I71" s="464"/>
      <c r="J71" s="465"/>
      <c r="K71" s="466" t="s">
        <v>244</v>
      </c>
      <c r="L71" s="466"/>
      <c r="M71" s="51" t="s">
        <v>379</v>
      </c>
      <c r="N71" s="467" t="s">
        <v>201</v>
      </c>
      <c r="O71" s="467"/>
      <c r="P71" s="468">
        <v>30</v>
      </c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8</v>
      </c>
      <c r="B72" s="462"/>
      <c r="C72" s="104"/>
      <c r="D72" s="301"/>
      <c r="E72" s="298"/>
      <c r="F72" s="470"/>
      <c r="G72" s="466"/>
      <c r="H72" s="466"/>
      <c r="I72" s="466"/>
      <c r="J72" s="466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9</v>
      </c>
      <c r="B73" s="462"/>
      <c r="C73" s="104"/>
      <c r="D73" s="301"/>
      <c r="E73" s="298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10</v>
      </c>
      <c r="B74" s="462"/>
      <c r="C74" s="104"/>
      <c r="D74" s="301"/>
      <c r="E74" s="298"/>
      <c r="F74" s="470"/>
      <c r="G74" s="466"/>
      <c r="H74" s="466"/>
      <c r="I74" s="466"/>
      <c r="J74" s="466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6.25" customHeight="1" thickBot="1">
      <c r="A75" s="471" t="s">
        <v>484</v>
      </c>
      <c r="B75" s="471"/>
      <c r="C75" s="471"/>
      <c r="D75" s="471"/>
      <c r="E75" s="471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2" t="s">
        <v>126</v>
      </c>
      <c r="B76" s="473"/>
      <c r="C76" s="300" t="s">
        <v>2</v>
      </c>
      <c r="D76" s="300" t="s">
        <v>37</v>
      </c>
      <c r="E76" s="300" t="s">
        <v>125</v>
      </c>
      <c r="F76" s="473" t="s">
        <v>38</v>
      </c>
      <c r="G76" s="473"/>
      <c r="H76" s="473"/>
      <c r="I76" s="473"/>
      <c r="J76" s="473"/>
      <c r="K76" s="474" t="s">
        <v>58</v>
      </c>
      <c r="L76" s="475"/>
      <c r="M76" s="475"/>
      <c r="N76" s="475"/>
      <c r="O76" s="475"/>
      <c r="P76" s="475"/>
      <c r="Q76" s="475"/>
      <c r="R76" s="475"/>
      <c r="S76" s="476"/>
      <c r="T76" s="473" t="s">
        <v>49</v>
      </c>
      <c r="U76" s="473"/>
      <c r="V76" s="474" t="s">
        <v>50</v>
      </c>
      <c r="W76" s="476"/>
      <c r="X76" s="475" t="s">
        <v>51</v>
      </c>
      <c r="Y76" s="475"/>
      <c r="Z76" s="475"/>
      <c r="AA76" s="475"/>
      <c r="AB76" s="475"/>
      <c r="AC76" s="475"/>
      <c r="AD76" s="477"/>
      <c r="AF76" s="50"/>
    </row>
    <row r="77" spans="1:32" ht="33.75" customHeight="1">
      <c r="A77" s="486">
        <v>1</v>
      </c>
      <c r="B77" s="487"/>
      <c r="C77" s="302" t="s">
        <v>112</v>
      </c>
      <c r="D77" s="302"/>
      <c r="E77" s="65" t="s">
        <v>117</v>
      </c>
      <c r="F77" s="488" t="s">
        <v>116</v>
      </c>
      <c r="G77" s="489"/>
      <c r="H77" s="489"/>
      <c r="I77" s="489"/>
      <c r="J77" s="490"/>
      <c r="K77" s="491" t="s">
        <v>119</v>
      </c>
      <c r="L77" s="492"/>
      <c r="M77" s="492"/>
      <c r="N77" s="492"/>
      <c r="O77" s="492"/>
      <c r="P77" s="492"/>
      <c r="Q77" s="492"/>
      <c r="R77" s="492"/>
      <c r="S77" s="493"/>
      <c r="T77" s="494">
        <v>44118</v>
      </c>
      <c r="U77" s="495"/>
      <c r="V77" s="496"/>
      <c r="W77" s="496"/>
      <c r="X77" s="497"/>
      <c r="Y77" s="497"/>
      <c r="Z77" s="497"/>
      <c r="AA77" s="497"/>
      <c r="AB77" s="497"/>
      <c r="AC77" s="497"/>
      <c r="AD77" s="498"/>
      <c r="AF77" s="50"/>
    </row>
    <row r="78" spans="1:32" ht="30" customHeight="1">
      <c r="A78" s="478">
        <f>A77+1</f>
        <v>2</v>
      </c>
      <c r="B78" s="479"/>
      <c r="C78" s="301"/>
      <c r="D78" s="301"/>
      <c r="E78" s="32"/>
      <c r="F78" s="479"/>
      <c r="G78" s="479"/>
      <c r="H78" s="479"/>
      <c r="I78" s="479"/>
      <c r="J78" s="479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78">
        <f t="shared" ref="A79:A83" si="19">A78+1</f>
        <v>3</v>
      </c>
      <c r="B79" s="479"/>
      <c r="C79" s="301"/>
      <c r="D79" s="301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si="19"/>
        <v>4</v>
      </c>
      <c r="B80" s="479"/>
      <c r="C80" s="301"/>
      <c r="D80" s="301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19"/>
        <v>5</v>
      </c>
      <c r="B81" s="479"/>
      <c r="C81" s="301"/>
      <c r="D81" s="301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19"/>
        <v>6</v>
      </c>
      <c r="B82" s="479"/>
      <c r="C82" s="301"/>
      <c r="D82" s="301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19"/>
        <v>7</v>
      </c>
      <c r="B83" s="479"/>
      <c r="C83" s="301"/>
      <c r="D83" s="301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1" t="s">
        <v>485</v>
      </c>
      <c r="B84" s="471"/>
      <c r="C84" s="471"/>
      <c r="D84" s="471"/>
      <c r="E84" s="471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2" t="s">
        <v>111</v>
      </c>
      <c r="B85" s="473"/>
      <c r="C85" s="499" t="s">
        <v>52</v>
      </c>
      <c r="D85" s="499"/>
      <c r="E85" s="499" t="s">
        <v>53</v>
      </c>
      <c r="F85" s="499"/>
      <c r="G85" s="499"/>
      <c r="H85" s="499"/>
      <c r="I85" s="499"/>
      <c r="J85" s="499"/>
      <c r="K85" s="499" t="s">
        <v>54</v>
      </c>
      <c r="L85" s="499"/>
      <c r="M85" s="499"/>
      <c r="N85" s="499"/>
      <c r="O85" s="499"/>
      <c r="P85" s="499"/>
      <c r="Q85" s="499"/>
      <c r="R85" s="499"/>
      <c r="S85" s="499"/>
      <c r="T85" s="499" t="s">
        <v>55</v>
      </c>
      <c r="U85" s="499"/>
      <c r="V85" s="499" t="s">
        <v>56</v>
      </c>
      <c r="W85" s="499"/>
      <c r="X85" s="499"/>
      <c r="Y85" s="499" t="s">
        <v>51</v>
      </c>
      <c r="Z85" s="499"/>
      <c r="AA85" s="499"/>
      <c r="AB85" s="499"/>
      <c r="AC85" s="499"/>
      <c r="AD85" s="500"/>
      <c r="AF85" s="50"/>
    </row>
    <row r="86" spans="1:32" ht="30.75" customHeight="1">
      <c r="A86" s="486">
        <v>1</v>
      </c>
      <c r="B86" s="487"/>
      <c r="C86" s="501">
        <v>9</v>
      </c>
      <c r="D86" s="501"/>
      <c r="E86" s="501" t="s">
        <v>149</v>
      </c>
      <c r="F86" s="501"/>
      <c r="G86" s="501"/>
      <c r="H86" s="501"/>
      <c r="I86" s="501"/>
      <c r="J86" s="501"/>
      <c r="K86" s="501" t="s">
        <v>462</v>
      </c>
      <c r="L86" s="501"/>
      <c r="M86" s="501"/>
      <c r="N86" s="501"/>
      <c r="O86" s="501"/>
      <c r="P86" s="501"/>
      <c r="Q86" s="501"/>
      <c r="R86" s="501"/>
      <c r="S86" s="501"/>
      <c r="T86" s="501" t="s">
        <v>151</v>
      </c>
      <c r="U86" s="501"/>
      <c r="V86" s="502" t="s">
        <v>265</v>
      </c>
      <c r="W86" s="502"/>
      <c r="X86" s="502"/>
      <c r="Y86" s="503"/>
      <c r="Z86" s="503"/>
      <c r="AA86" s="503"/>
      <c r="AB86" s="503"/>
      <c r="AC86" s="503"/>
      <c r="AD86" s="504"/>
      <c r="AF86" s="50"/>
    </row>
    <row r="87" spans="1:32" ht="30.75" customHeight="1">
      <c r="A87" s="478">
        <v>2</v>
      </c>
      <c r="B87" s="479"/>
      <c r="C87" s="512"/>
      <c r="D87" s="512"/>
      <c r="E87" s="512"/>
      <c r="F87" s="512"/>
      <c r="G87" s="512"/>
      <c r="H87" s="512"/>
      <c r="I87" s="512"/>
      <c r="J87" s="512"/>
      <c r="K87" s="512"/>
      <c r="L87" s="512"/>
      <c r="M87" s="512"/>
      <c r="N87" s="512"/>
      <c r="O87" s="512"/>
      <c r="P87" s="512"/>
      <c r="Q87" s="512"/>
      <c r="R87" s="512"/>
      <c r="S87" s="512"/>
      <c r="T87" s="513"/>
      <c r="U87" s="513"/>
      <c r="V87" s="514"/>
      <c r="W87" s="514"/>
      <c r="X87" s="514"/>
      <c r="Y87" s="505"/>
      <c r="Z87" s="505"/>
      <c r="AA87" s="505"/>
      <c r="AB87" s="505"/>
      <c r="AC87" s="505"/>
      <c r="AD87" s="506"/>
      <c r="AF87" s="50"/>
    </row>
    <row r="88" spans="1:32" ht="30.75" customHeight="1" thickBot="1">
      <c r="A88" s="507">
        <v>3</v>
      </c>
      <c r="B88" s="508"/>
      <c r="C88" s="509"/>
      <c r="D88" s="509"/>
      <c r="E88" s="509"/>
      <c r="F88" s="509"/>
      <c r="G88" s="509"/>
      <c r="H88" s="509"/>
      <c r="I88" s="509"/>
      <c r="J88" s="509"/>
      <c r="K88" s="509"/>
      <c r="L88" s="509"/>
      <c r="M88" s="509"/>
      <c r="N88" s="509"/>
      <c r="O88" s="509"/>
      <c r="P88" s="509"/>
      <c r="Q88" s="509"/>
      <c r="R88" s="509"/>
      <c r="S88" s="509"/>
      <c r="T88" s="509"/>
      <c r="U88" s="509"/>
      <c r="V88" s="509"/>
      <c r="W88" s="509"/>
      <c r="X88" s="509"/>
      <c r="Y88" s="510"/>
      <c r="Z88" s="510"/>
      <c r="AA88" s="510"/>
      <c r="AB88" s="510"/>
      <c r="AC88" s="510"/>
      <c r="AD88" s="511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FBCA-CC48-433F-AB4C-C93B0A9278FF}">
  <dimension ref="A1:AF87"/>
  <sheetViews>
    <sheetView view="pageBreakPreview" zoomScale="70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486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315" t="s">
        <v>17</v>
      </c>
      <c r="L5" s="315" t="s">
        <v>18</v>
      </c>
      <c r="M5" s="315" t="s">
        <v>19</v>
      </c>
      <c r="N5" s="31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212</v>
      </c>
      <c r="E6" s="53" t="s">
        <v>298</v>
      </c>
      <c r="F6" s="30" t="s">
        <v>132</v>
      </c>
      <c r="G6" s="12">
        <v>1</v>
      </c>
      <c r="H6" s="13">
        <v>24</v>
      </c>
      <c r="I6" s="31">
        <v>1000</v>
      </c>
      <c r="J6" s="14">
        <v>1641</v>
      </c>
      <c r="K6" s="15">
        <f>L6+1641</f>
        <v>1641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0.48697916666666663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228</v>
      </c>
      <c r="E7" s="53" t="s">
        <v>299</v>
      </c>
      <c r="F7" s="30" t="s">
        <v>344</v>
      </c>
      <c r="G7" s="12">
        <v>2</v>
      </c>
      <c r="H7" s="13">
        <v>24</v>
      </c>
      <c r="I7" s="31">
        <v>130000</v>
      </c>
      <c r="J7" s="14">
        <v>5600</v>
      </c>
      <c r="K7" s="15">
        <f>L7+20667+13102+12272+13122+5600</f>
        <v>64763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0.48697916666666663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120</v>
      </c>
      <c r="D8" s="52"/>
      <c r="E8" s="53" t="s">
        <v>472</v>
      </c>
      <c r="F8" s="30" t="s">
        <v>142</v>
      </c>
      <c r="G8" s="33">
        <v>2</v>
      </c>
      <c r="H8" s="35">
        <v>24</v>
      </c>
      <c r="I8" s="7">
        <v>1500</v>
      </c>
      <c r="J8" s="5">
        <v>1722</v>
      </c>
      <c r="K8" s="15">
        <f>L8</f>
        <v>1722</v>
      </c>
      <c r="L8" s="15">
        <v>1722</v>
      </c>
      <c r="M8" s="15">
        <f t="shared" si="0"/>
        <v>1722</v>
      </c>
      <c r="N8" s="15">
        <v>0</v>
      </c>
      <c r="O8" s="58">
        <f t="shared" si="1"/>
        <v>0</v>
      </c>
      <c r="P8" s="39">
        <f t="shared" si="2"/>
        <v>9</v>
      </c>
      <c r="Q8" s="40">
        <f t="shared" si="3"/>
        <v>15</v>
      </c>
      <c r="R8" s="7"/>
      <c r="S8" s="6">
        <v>5</v>
      </c>
      <c r="T8" s="16"/>
      <c r="U8" s="16"/>
      <c r="V8" s="17"/>
      <c r="W8" s="5">
        <v>10</v>
      </c>
      <c r="X8" s="16"/>
      <c r="Y8" s="16"/>
      <c r="Z8" s="16"/>
      <c r="AA8" s="18"/>
      <c r="AB8" s="8">
        <f t="shared" si="4"/>
        <v>1</v>
      </c>
      <c r="AC8" s="9">
        <f t="shared" si="5"/>
        <v>0.375</v>
      </c>
      <c r="AD8" s="10">
        <f t="shared" si="6"/>
        <v>0.375</v>
      </c>
      <c r="AE8" s="36">
        <f t="shared" si="7"/>
        <v>0.48697916666666663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134</v>
      </c>
      <c r="F9" s="30" t="s">
        <v>133</v>
      </c>
      <c r="G9" s="12">
        <v>1</v>
      </c>
      <c r="H9" s="13">
        <v>24</v>
      </c>
      <c r="I9" s="7">
        <v>50000</v>
      </c>
      <c r="J9" s="14">
        <v>5398</v>
      </c>
      <c r="K9" s="15">
        <f>L9+4441+5448+5546+5454+5474+5364+5279+1939+4542+4891+3967+5490+5482+5324</f>
        <v>74039</v>
      </c>
      <c r="L9" s="15">
        <f>2543+2855</f>
        <v>5398</v>
      </c>
      <c r="M9" s="15">
        <f t="shared" si="0"/>
        <v>5398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0.48697916666666663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332</v>
      </c>
      <c r="E10" s="53" t="s">
        <v>333</v>
      </c>
      <c r="F10" s="30" t="s">
        <v>131</v>
      </c>
      <c r="G10" s="33">
        <v>1</v>
      </c>
      <c r="H10" s="35">
        <v>24</v>
      </c>
      <c r="I10" s="7">
        <v>34000</v>
      </c>
      <c r="J10" s="14">
        <v>6482</v>
      </c>
      <c r="K10" s="15">
        <f>L10+3378+6577+6217+6595+6190+6462+6437</f>
        <v>48338</v>
      </c>
      <c r="L10" s="15">
        <f>3470+3012</f>
        <v>6482</v>
      </c>
      <c r="M10" s="15">
        <f t="shared" si="0"/>
        <v>6482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0.48697916666666663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464</v>
      </c>
      <c r="E11" s="53" t="s">
        <v>465</v>
      </c>
      <c r="F11" s="30" t="s">
        <v>466</v>
      </c>
      <c r="G11" s="33">
        <v>16</v>
      </c>
      <c r="H11" s="35">
        <v>24</v>
      </c>
      <c r="I11" s="7">
        <v>100000</v>
      </c>
      <c r="J11" s="14">
        <v>90622</v>
      </c>
      <c r="K11" s="15">
        <f>L11+39816</f>
        <v>130438</v>
      </c>
      <c r="L11" s="15">
        <f>4923*14+1550*14</f>
        <v>90622</v>
      </c>
      <c r="M11" s="15">
        <f t="shared" si="0"/>
        <v>90622</v>
      </c>
      <c r="N11" s="15">
        <v>0</v>
      </c>
      <c r="O11" s="58">
        <f t="shared" si="1"/>
        <v>0</v>
      </c>
      <c r="P11" s="39">
        <f t="shared" si="2"/>
        <v>19</v>
      </c>
      <c r="Q11" s="40">
        <f t="shared" si="3"/>
        <v>5</v>
      </c>
      <c r="R11" s="7"/>
      <c r="S11" s="6">
        <v>5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0.79166666666666663</v>
      </c>
      <c r="AD11" s="10">
        <f t="shared" si="6"/>
        <v>0.79166666666666663</v>
      </c>
      <c r="AE11" s="36">
        <f t="shared" si="7"/>
        <v>0.48697916666666663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144</v>
      </c>
      <c r="F12" s="30" t="s">
        <v>145</v>
      </c>
      <c r="G12" s="12">
        <v>1</v>
      </c>
      <c r="H12" s="13">
        <v>22</v>
      </c>
      <c r="I12" s="31">
        <v>120000</v>
      </c>
      <c r="J12" s="5">
        <v>5011</v>
      </c>
      <c r="K12" s="15">
        <f>L12+4597+5041+5597+5567+5537+3364+5103+4208+3250+4473+4603+3900+3271+5266+5310+2806+4497+4981+4384+3503+3445+4608+5518+1083+3494+3542+4277</f>
        <v>120236</v>
      </c>
      <c r="L12" s="15">
        <f>3233+1778</f>
        <v>5011</v>
      </c>
      <c r="M12" s="15">
        <f t="shared" si="0"/>
        <v>5011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6">
        <f t="shared" si="7"/>
        <v>0.48697916666666663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135</v>
      </c>
      <c r="E13" s="53" t="s">
        <v>268</v>
      </c>
      <c r="F13" s="30" t="s">
        <v>244</v>
      </c>
      <c r="G13" s="33">
        <v>1</v>
      </c>
      <c r="H13" s="35">
        <v>24</v>
      </c>
      <c r="I13" s="7">
        <v>24000</v>
      </c>
      <c r="J13" s="14">
        <v>3366</v>
      </c>
      <c r="K13" s="15">
        <f>L13+5620</f>
        <v>8986</v>
      </c>
      <c r="L13" s="15">
        <f>895+2471</f>
        <v>3366</v>
      </c>
      <c r="M13" s="15">
        <f t="shared" si="0"/>
        <v>3366</v>
      </c>
      <c r="N13" s="15">
        <v>0</v>
      </c>
      <c r="O13" s="58">
        <f t="shared" si="1"/>
        <v>0</v>
      </c>
      <c r="P13" s="39">
        <f t="shared" si="2"/>
        <v>14</v>
      </c>
      <c r="Q13" s="40">
        <f t="shared" si="3"/>
        <v>10</v>
      </c>
      <c r="R13" s="7">
        <v>10</v>
      </c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0.58333333333333337</v>
      </c>
      <c r="AD13" s="10">
        <f t="shared" si="6"/>
        <v>0.58333333333333337</v>
      </c>
      <c r="AE13" s="36">
        <f t="shared" si="7"/>
        <v>0.48697916666666663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400</v>
      </c>
      <c r="F14" s="30" t="s">
        <v>147</v>
      </c>
      <c r="G14" s="33">
        <v>1</v>
      </c>
      <c r="H14" s="35">
        <v>50</v>
      </c>
      <c r="I14" s="7">
        <v>300</v>
      </c>
      <c r="J14" s="5">
        <v>365</v>
      </c>
      <c r="K14" s="15">
        <f>L14+365</f>
        <v>365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0.48697916666666663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139</v>
      </c>
      <c r="D15" s="52" t="s">
        <v>130</v>
      </c>
      <c r="E15" s="53" t="s">
        <v>369</v>
      </c>
      <c r="F15" s="12" t="s">
        <v>367</v>
      </c>
      <c r="G15" s="12">
        <v>1</v>
      </c>
      <c r="H15" s="13">
        <v>24</v>
      </c>
      <c r="I15" s="31">
        <v>2500</v>
      </c>
      <c r="J15" s="14">
        <v>2700</v>
      </c>
      <c r="K15" s="15">
        <f>L15+2700</f>
        <v>2700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0.48697916666666663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115</v>
      </c>
      <c r="E16" s="53" t="s">
        <v>260</v>
      </c>
      <c r="F16" s="30" t="s">
        <v>145</v>
      </c>
      <c r="G16" s="12">
        <v>1</v>
      </c>
      <c r="H16" s="13">
        <v>24</v>
      </c>
      <c r="I16" s="7">
        <v>500</v>
      </c>
      <c r="J16" s="14">
        <v>646</v>
      </c>
      <c r="K16" s="15">
        <f>L16+646</f>
        <v>646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0.48697916666666663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/>
      <c r="E17" s="53" t="s">
        <v>301</v>
      </c>
      <c r="F17" s="30" t="s">
        <v>128</v>
      </c>
      <c r="G17" s="12">
        <v>1</v>
      </c>
      <c r="H17" s="13">
        <v>24</v>
      </c>
      <c r="I17" s="7">
        <v>5400</v>
      </c>
      <c r="J17" s="14">
        <v>3740</v>
      </c>
      <c r="K17" s="15">
        <f>L17+2945+3740</f>
        <v>6685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0.48697916666666663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467</v>
      </c>
      <c r="F18" s="30" t="s">
        <v>129</v>
      </c>
      <c r="G18" s="33">
        <v>1</v>
      </c>
      <c r="H18" s="35">
        <v>24</v>
      </c>
      <c r="I18" s="7">
        <v>23400</v>
      </c>
      <c r="J18" s="14">
        <v>4509</v>
      </c>
      <c r="K18" s="15">
        <f>L18+783</f>
        <v>5292</v>
      </c>
      <c r="L18" s="15">
        <f>3264+1245</f>
        <v>4509</v>
      </c>
      <c r="M18" s="15">
        <f t="shared" si="0"/>
        <v>4509</v>
      </c>
      <c r="N18" s="15">
        <v>0</v>
      </c>
      <c r="O18" s="58">
        <f t="shared" si="1"/>
        <v>0</v>
      </c>
      <c r="P18" s="39">
        <f t="shared" si="2"/>
        <v>19</v>
      </c>
      <c r="Q18" s="40">
        <f t="shared" si="3"/>
        <v>5</v>
      </c>
      <c r="R18" s="7"/>
      <c r="S18" s="6">
        <v>5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0.79166666666666663</v>
      </c>
      <c r="AD18" s="10">
        <f t="shared" si="6"/>
        <v>0.79166666666666663</v>
      </c>
      <c r="AE18" s="36">
        <f t="shared" si="7"/>
        <v>0.48697916666666663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487</v>
      </c>
      <c r="E19" s="53" t="s">
        <v>488</v>
      </c>
      <c r="F19" s="30" t="s">
        <v>245</v>
      </c>
      <c r="G19" s="33" t="s">
        <v>169</v>
      </c>
      <c r="H19" s="35">
        <v>24</v>
      </c>
      <c r="I19" s="7">
        <v>500</v>
      </c>
      <c r="J19" s="14">
        <v>1502</v>
      </c>
      <c r="K19" s="15">
        <f>L19</f>
        <v>1502</v>
      </c>
      <c r="L19" s="15">
        <f>1502</f>
        <v>1502</v>
      </c>
      <c r="M19" s="15">
        <f t="shared" si="0"/>
        <v>1502</v>
      </c>
      <c r="N19" s="15">
        <v>0</v>
      </c>
      <c r="O19" s="58">
        <f t="shared" si="1"/>
        <v>0</v>
      </c>
      <c r="P19" s="39">
        <f t="shared" si="2"/>
        <v>9</v>
      </c>
      <c r="Q19" s="40">
        <f t="shared" si="3"/>
        <v>15</v>
      </c>
      <c r="R19" s="7"/>
      <c r="S19" s="6"/>
      <c r="T19" s="16"/>
      <c r="U19" s="16"/>
      <c r="V19" s="17"/>
      <c r="W19" s="5">
        <v>15</v>
      </c>
      <c r="X19" s="16"/>
      <c r="Y19" s="16"/>
      <c r="Z19" s="16"/>
      <c r="AA19" s="18"/>
      <c r="AB19" s="8">
        <f t="shared" si="4"/>
        <v>1</v>
      </c>
      <c r="AC19" s="9">
        <f t="shared" si="5"/>
        <v>0.375</v>
      </c>
      <c r="AD19" s="10">
        <f t="shared" si="6"/>
        <v>0.375</v>
      </c>
      <c r="AE19" s="36">
        <f t="shared" si="7"/>
        <v>0.48697916666666663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309</v>
      </c>
      <c r="F20" s="30" t="s">
        <v>129</v>
      </c>
      <c r="G20" s="12">
        <v>4</v>
      </c>
      <c r="H20" s="13">
        <v>24</v>
      </c>
      <c r="I20" s="7">
        <v>130000</v>
      </c>
      <c r="J20" s="14">
        <v>20604</v>
      </c>
      <c r="K20" s="15">
        <f>L20+13156+20408+13276+22084+10984+20356+20356+18684</f>
        <v>159908</v>
      </c>
      <c r="L20" s="15">
        <f>2360*4+2791*4</f>
        <v>20604</v>
      </c>
      <c r="M20" s="15">
        <f t="shared" si="0"/>
        <v>20604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0.48697916666666663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346</v>
      </c>
      <c r="F21" s="12" t="s">
        <v>114</v>
      </c>
      <c r="G21" s="12">
        <v>3</v>
      </c>
      <c r="H21" s="35">
        <v>20</v>
      </c>
      <c r="I21" s="7">
        <v>1000000</v>
      </c>
      <c r="J21" s="14">
        <v>75604</v>
      </c>
      <c r="K21" s="15">
        <f>L21+28316+74820+71924+69164+75560+75632+75472+75276</f>
        <v>621768</v>
      </c>
      <c r="L21" s="15">
        <f>8686*4+10215*4</f>
        <v>75604</v>
      </c>
      <c r="M21" s="15">
        <f t="shared" si="0"/>
        <v>75604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0.48697916666666663</v>
      </c>
      <c r="AF21" s="84">
        <f t="shared" si="8"/>
        <v>16</v>
      </c>
    </row>
    <row r="22" spans="1:32" ht="31.5" customHeight="1" thickBot="1">
      <c r="A22" s="408" t="s">
        <v>34</v>
      </c>
      <c r="B22" s="409"/>
      <c r="C22" s="409"/>
      <c r="D22" s="409"/>
      <c r="E22" s="409"/>
      <c r="F22" s="409"/>
      <c r="G22" s="409"/>
      <c r="H22" s="410"/>
      <c r="I22" s="22">
        <f t="shared" ref="I22:N22" si="9">SUM(I6:I21)</f>
        <v>1623100</v>
      </c>
      <c r="J22" s="19">
        <f t="shared" si="9"/>
        <v>229512</v>
      </c>
      <c r="K22" s="20">
        <f t="shared" si="9"/>
        <v>1249029</v>
      </c>
      <c r="L22" s="21">
        <f t="shared" si="9"/>
        <v>214820</v>
      </c>
      <c r="M22" s="20">
        <f t="shared" si="9"/>
        <v>214820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187</v>
      </c>
      <c r="Q22" s="43">
        <f t="shared" si="10"/>
        <v>197</v>
      </c>
      <c r="R22" s="23">
        <f t="shared" si="10"/>
        <v>10</v>
      </c>
      <c r="S22" s="24">
        <f t="shared" si="10"/>
        <v>18</v>
      </c>
      <c r="T22" s="24">
        <f t="shared" si="10"/>
        <v>0</v>
      </c>
      <c r="U22" s="24">
        <f t="shared" si="10"/>
        <v>0</v>
      </c>
      <c r="V22" s="25">
        <f t="shared" si="10"/>
        <v>0</v>
      </c>
      <c r="W22" s="26">
        <f t="shared" si="10"/>
        <v>73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96</v>
      </c>
      <c r="AB22" s="28">
        <f>AVERAGE(AB6:AB21)</f>
        <v>0.625</v>
      </c>
      <c r="AC22" s="4">
        <f>AVERAGE(AC6:AC21)</f>
        <v>0.48697916666666663</v>
      </c>
      <c r="AD22" s="4">
        <f>AVERAGE(AD6:AD21)</f>
        <v>0.48697916666666663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11" t="s">
        <v>45</v>
      </c>
      <c r="B49" s="411"/>
      <c r="C49" s="411"/>
      <c r="D49" s="411"/>
      <c r="E49" s="411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12" t="s">
        <v>489</v>
      </c>
      <c r="B50" s="413"/>
      <c r="C50" s="413"/>
      <c r="D50" s="413"/>
      <c r="E50" s="413"/>
      <c r="F50" s="413"/>
      <c r="G50" s="413"/>
      <c r="H50" s="413"/>
      <c r="I50" s="413"/>
      <c r="J50" s="413"/>
      <c r="K50" s="413"/>
      <c r="L50" s="413"/>
      <c r="M50" s="414"/>
      <c r="N50" s="415" t="s">
        <v>495</v>
      </c>
      <c r="O50" s="416"/>
      <c r="P50" s="416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/>
      <c r="AC50" s="416"/>
      <c r="AD50" s="417"/>
    </row>
    <row r="51" spans="1:32" ht="27" customHeight="1">
      <c r="A51" s="418" t="s">
        <v>2</v>
      </c>
      <c r="B51" s="419"/>
      <c r="C51" s="314" t="s">
        <v>46</v>
      </c>
      <c r="D51" s="314" t="s">
        <v>47</v>
      </c>
      <c r="E51" s="314" t="s">
        <v>107</v>
      </c>
      <c r="F51" s="420" t="s">
        <v>106</v>
      </c>
      <c r="G51" s="421"/>
      <c r="H51" s="421"/>
      <c r="I51" s="421"/>
      <c r="J51" s="421"/>
      <c r="K51" s="421"/>
      <c r="L51" s="421"/>
      <c r="M51" s="422"/>
      <c r="N51" s="67" t="s">
        <v>110</v>
      </c>
      <c r="O51" s="314" t="s">
        <v>46</v>
      </c>
      <c r="P51" s="420" t="s">
        <v>47</v>
      </c>
      <c r="Q51" s="423"/>
      <c r="R51" s="420" t="s">
        <v>38</v>
      </c>
      <c r="S51" s="421"/>
      <c r="T51" s="421"/>
      <c r="U51" s="423"/>
      <c r="V51" s="420" t="s">
        <v>48</v>
      </c>
      <c r="W51" s="421"/>
      <c r="X51" s="421"/>
      <c r="Y51" s="421"/>
      <c r="Z51" s="421"/>
      <c r="AA51" s="421"/>
      <c r="AB51" s="421"/>
      <c r="AC51" s="421"/>
      <c r="AD51" s="422"/>
    </row>
    <row r="52" spans="1:32" ht="27" customHeight="1">
      <c r="A52" s="434" t="s">
        <v>120</v>
      </c>
      <c r="B52" s="435"/>
      <c r="C52" s="310" t="s">
        <v>190</v>
      </c>
      <c r="D52" s="310"/>
      <c r="E52" s="310" t="s">
        <v>472</v>
      </c>
      <c r="F52" s="436" t="s">
        <v>490</v>
      </c>
      <c r="G52" s="437"/>
      <c r="H52" s="437"/>
      <c r="I52" s="437"/>
      <c r="J52" s="437"/>
      <c r="K52" s="437"/>
      <c r="L52" s="437"/>
      <c r="M52" s="438"/>
      <c r="N52" s="313" t="s">
        <v>118</v>
      </c>
      <c r="O52" s="307" t="s">
        <v>140</v>
      </c>
      <c r="P52" s="439" t="s">
        <v>228</v>
      </c>
      <c r="Q52" s="440"/>
      <c r="R52" s="439" t="s">
        <v>299</v>
      </c>
      <c r="S52" s="441"/>
      <c r="T52" s="441"/>
      <c r="U52" s="440"/>
      <c r="V52" s="442" t="s">
        <v>124</v>
      </c>
      <c r="W52" s="442"/>
      <c r="X52" s="442"/>
      <c r="Y52" s="442"/>
      <c r="Z52" s="442"/>
      <c r="AA52" s="442"/>
      <c r="AB52" s="442"/>
      <c r="AC52" s="442"/>
      <c r="AD52" s="443"/>
    </row>
    <row r="53" spans="1:32" ht="27" customHeight="1">
      <c r="A53" s="434" t="s">
        <v>118</v>
      </c>
      <c r="B53" s="435"/>
      <c r="C53" s="310" t="s">
        <v>136</v>
      </c>
      <c r="D53" s="310" t="s">
        <v>115</v>
      </c>
      <c r="E53" s="310" t="s">
        <v>144</v>
      </c>
      <c r="F53" s="436" t="s">
        <v>491</v>
      </c>
      <c r="G53" s="437"/>
      <c r="H53" s="437"/>
      <c r="I53" s="437"/>
      <c r="J53" s="437"/>
      <c r="K53" s="437"/>
      <c r="L53" s="437"/>
      <c r="M53" s="438"/>
      <c r="N53" s="313" t="s">
        <v>112</v>
      </c>
      <c r="O53" s="307" t="s">
        <v>190</v>
      </c>
      <c r="P53" s="439" t="s">
        <v>115</v>
      </c>
      <c r="Q53" s="440"/>
      <c r="R53" s="439" t="s">
        <v>496</v>
      </c>
      <c r="S53" s="441"/>
      <c r="T53" s="441"/>
      <c r="U53" s="440"/>
      <c r="V53" s="442" t="s">
        <v>138</v>
      </c>
      <c r="W53" s="442"/>
      <c r="X53" s="442"/>
      <c r="Y53" s="442"/>
      <c r="Z53" s="442"/>
      <c r="AA53" s="442"/>
      <c r="AB53" s="442"/>
      <c r="AC53" s="442"/>
      <c r="AD53" s="443"/>
    </row>
    <row r="54" spans="1:32" ht="27" customHeight="1">
      <c r="A54" s="434" t="s">
        <v>112</v>
      </c>
      <c r="B54" s="435"/>
      <c r="C54" s="310" t="s">
        <v>127</v>
      </c>
      <c r="D54" s="310" t="s">
        <v>216</v>
      </c>
      <c r="E54" s="310" t="s">
        <v>268</v>
      </c>
      <c r="F54" s="436" t="s">
        <v>492</v>
      </c>
      <c r="G54" s="437"/>
      <c r="H54" s="437"/>
      <c r="I54" s="437"/>
      <c r="J54" s="437"/>
      <c r="K54" s="437"/>
      <c r="L54" s="437"/>
      <c r="M54" s="438"/>
      <c r="N54" s="313" t="s">
        <v>118</v>
      </c>
      <c r="O54" s="307" t="s">
        <v>141</v>
      </c>
      <c r="P54" s="439" t="s">
        <v>115</v>
      </c>
      <c r="Q54" s="440"/>
      <c r="R54" s="439" t="s">
        <v>334</v>
      </c>
      <c r="S54" s="441"/>
      <c r="T54" s="441"/>
      <c r="U54" s="440"/>
      <c r="V54" s="442" t="s">
        <v>206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112</v>
      </c>
      <c r="B55" s="435"/>
      <c r="C55" s="310" t="s">
        <v>200</v>
      </c>
      <c r="D55" s="310" t="s">
        <v>115</v>
      </c>
      <c r="E55" s="310" t="s">
        <v>467</v>
      </c>
      <c r="F55" s="436" t="s">
        <v>493</v>
      </c>
      <c r="G55" s="437"/>
      <c r="H55" s="437"/>
      <c r="I55" s="437"/>
      <c r="J55" s="437"/>
      <c r="K55" s="437"/>
      <c r="L55" s="437"/>
      <c r="M55" s="438"/>
      <c r="N55" s="313"/>
      <c r="O55" s="307"/>
      <c r="P55" s="439"/>
      <c r="Q55" s="440"/>
      <c r="R55" s="439"/>
      <c r="S55" s="441"/>
      <c r="T55" s="441"/>
      <c r="U55" s="440"/>
      <c r="V55" s="442"/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112</v>
      </c>
      <c r="B56" s="435"/>
      <c r="C56" s="310" t="s">
        <v>201</v>
      </c>
      <c r="D56" s="310" t="s">
        <v>474</v>
      </c>
      <c r="E56" s="310" t="s">
        <v>488</v>
      </c>
      <c r="F56" s="436" t="s">
        <v>138</v>
      </c>
      <c r="G56" s="437"/>
      <c r="H56" s="437"/>
      <c r="I56" s="437"/>
      <c r="J56" s="437"/>
      <c r="K56" s="437"/>
      <c r="L56" s="437"/>
      <c r="M56" s="438"/>
      <c r="N56" s="313"/>
      <c r="O56" s="307"/>
      <c r="P56" s="439"/>
      <c r="Q56" s="440"/>
      <c r="R56" s="439"/>
      <c r="S56" s="441"/>
      <c r="T56" s="441"/>
      <c r="U56" s="440"/>
      <c r="V56" s="442"/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118</v>
      </c>
      <c r="B57" s="435"/>
      <c r="C57" s="310" t="s">
        <v>224</v>
      </c>
      <c r="D57" s="310" t="s">
        <v>464</v>
      </c>
      <c r="E57" s="310" t="s">
        <v>465</v>
      </c>
      <c r="F57" s="436" t="s">
        <v>494</v>
      </c>
      <c r="G57" s="437"/>
      <c r="H57" s="437"/>
      <c r="I57" s="437"/>
      <c r="J57" s="437"/>
      <c r="K57" s="437"/>
      <c r="L57" s="437"/>
      <c r="M57" s="438"/>
      <c r="N57" s="313"/>
      <c r="O57" s="307"/>
      <c r="P57" s="439"/>
      <c r="Q57" s="440"/>
      <c r="R57" s="439"/>
      <c r="S57" s="441"/>
      <c r="T57" s="441"/>
      <c r="U57" s="440"/>
      <c r="V57" s="442"/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/>
      <c r="B58" s="435"/>
      <c r="C58" s="310"/>
      <c r="D58" s="310"/>
      <c r="E58" s="310"/>
      <c r="F58" s="436"/>
      <c r="G58" s="437"/>
      <c r="H58" s="437"/>
      <c r="I58" s="437"/>
      <c r="J58" s="437"/>
      <c r="K58" s="437"/>
      <c r="L58" s="437"/>
      <c r="M58" s="438"/>
      <c r="N58" s="313"/>
      <c r="O58" s="307"/>
      <c r="P58" s="439"/>
      <c r="Q58" s="440"/>
      <c r="R58" s="439"/>
      <c r="S58" s="441"/>
      <c r="T58" s="441"/>
      <c r="U58" s="440"/>
      <c r="V58" s="442"/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57"/>
      <c r="B59" s="458"/>
      <c r="C59" s="309"/>
      <c r="D59" s="309"/>
      <c r="E59" s="310"/>
      <c r="F59" s="436"/>
      <c r="G59" s="437"/>
      <c r="H59" s="437"/>
      <c r="I59" s="437"/>
      <c r="J59" s="437"/>
      <c r="K59" s="437"/>
      <c r="L59" s="437"/>
      <c r="M59" s="438"/>
      <c r="N59" s="313"/>
      <c r="O59" s="307"/>
      <c r="P59" s="439"/>
      <c r="Q59" s="440"/>
      <c r="R59" s="435"/>
      <c r="S59" s="435"/>
      <c r="T59" s="435"/>
      <c r="U59" s="435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57"/>
      <c r="B60" s="458"/>
      <c r="C60" s="309"/>
      <c r="D60" s="309"/>
      <c r="E60" s="310"/>
      <c r="F60" s="436"/>
      <c r="G60" s="437"/>
      <c r="H60" s="437"/>
      <c r="I60" s="437"/>
      <c r="J60" s="437"/>
      <c r="K60" s="437"/>
      <c r="L60" s="437"/>
      <c r="M60" s="438"/>
      <c r="N60" s="313"/>
      <c r="O60" s="307"/>
      <c r="P60" s="435"/>
      <c r="Q60" s="435"/>
      <c r="R60" s="435"/>
      <c r="S60" s="435"/>
      <c r="T60" s="435"/>
      <c r="U60" s="435"/>
      <c r="V60" s="442"/>
      <c r="W60" s="442"/>
      <c r="X60" s="442"/>
      <c r="Y60" s="442"/>
      <c r="Z60" s="442"/>
      <c r="AA60" s="442"/>
      <c r="AB60" s="442"/>
      <c r="AC60" s="442"/>
      <c r="AD60" s="443"/>
      <c r="AF60" s="84">
        <f>8*3000</f>
        <v>24000</v>
      </c>
    </row>
    <row r="61" spans="1:32" ht="27" customHeight="1" thickBot="1">
      <c r="A61" s="444"/>
      <c r="B61" s="445"/>
      <c r="C61" s="311"/>
      <c r="D61" s="312"/>
      <c r="E61" s="311"/>
      <c r="F61" s="446"/>
      <c r="G61" s="447"/>
      <c r="H61" s="447"/>
      <c r="I61" s="447"/>
      <c r="J61" s="447"/>
      <c r="K61" s="447"/>
      <c r="L61" s="447"/>
      <c r="M61" s="448"/>
      <c r="N61" s="111"/>
      <c r="O61" s="103"/>
      <c r="P61" s="449"/>
      <c r="Q61" s="449"/>
      <c r="R61" s="449"/>
      <c r="S61" s="449"/>
      <c r="T61" s="449"/>
      <c r="U61" s="449"/>
      <c r="V61" s="450"/>
      <c r="W61" s="450"/>
      <c r="X61" s="450"/>
      <c r="Y61" s="450"/>
      <c r="Z61" s="450"/>
      <c r="AA61" s="450"/>
      <c r="AB61" s="450"/>
      <c r="AC61" s="450"/>
      <c r="AD61" s="451"/>
      <c r="AF61" s="84">
        <f>16*3000</f>
        <v>48000</v>
      </c>
    </row>
    <row r="62" spans="1:32" ht="27.75" thickBot="1">
      <c r="A62" s="452" t="s">
        <v>497</v>
      </c>
      <c r="B62" s="452"/>
      <c r="C62" s="452"/>
      <c r="D62" s="452"/>
      <c r="E62" s="45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53" t="s">
        <v>111</v>
      </c>
      <c r="B63" s="454"/>
      <c r="C63" s="308" t="s">
        <v>2</v>
      </c>
      <c r="D63" s="308" t="s">
        <v>37</v>
      </c>
      <c r="E63" s="308" t="s">
        <v>3</v>
      </c>
      <c r="F63" s="454" t="s">
        <v>109</v>
      </c>
      <c r="G63" s="454"/>
      <c r="H63" s="454"/>
      <c r="I63" s="454"/>
      <c r="J63" s="454"/>
      <c r="K63" s="454" t="s">
        <v>39</v>
      </c>
      <c r="L63" s="454"/>
      <c r="M63" s="308" t="s">
        <v>40</v>
      </c>
      <c r="N63" s="454" t="s">
        <v>41</v>
      </c>
      <c r="O63" s="454"/>
      <c r="P63" s="455" t="s">
        <v>42</v>
      </c>
      <c r="Q63" s="456"/>
      <c r="R63" s="455" t="s">
        <v>43</v>
      </c>
      <c r="S63" s="459"/>
      <c r="T63" s="459"/>
      <c r="U63" s="459"/>
      <c r="V63" s="459"/>
      <c r="W63" s="459"/>
      <c r="X63" s="459"/>
      <c r="Y63" s="459"/>
      <c r="Z63" s="459"/>
      <c r="AA63" s="456"/>
      <c r="AB63" s="454" t="s">
        <v>44</v>
      </c>
      <c r="AC63" s="454"/>
      <c r="AD63" s="460"/>
      <c r="AF63" s="84">
        <f>SUM(AF60:AF62)</f>
        <v>96000</v>
      </c>
    </row>
    <row r="64" spans="1:32" ht="25.5" customHeight="1">
      <c r="A64" s="461">
        <v>1</v>
      </c>
      <c r="B64" s="462"/>
      <c r="C64" s="104" t="s">
        <v>118</v>
      </c>
      <c r="D64" s="303"/>
      <c r="E64" s="306" t="s">
        <v>212</v>
      </c>
      <c r="F64" s="463" t="s">
        <v>274</v>
      </c>
      <c r="G64" s="464"/>
      <c r="H64" s="464"/>
      <c r="I64" s="464"/>
      <c r="J64" s="465"/>
      <c r="K64" s="466" t="s">
        <v>242</v>
      </c>
      <c r="L64" s="466"/>
      <c r="M64" s="51" t="s">
        <v>230</v>
      </c>
      <c r="N64" s="467" t="s">
        <v>250</v>
      </c>
      <c r="O64" s="467"/>
      <c r="P64" s="468">
        <v>100</v>
      </c>
      <c r="Q64" s="468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66"/>
      <c r="AC64" s="466"/>
      <c r="AD64" s="469"/>
      <c r="AF64" s="50"/>
    </row>
    <row r="65" spans="1:32" ht="25.5" customHeight="1">
      <c r="A65" s="461">
        <v>2</v>
      </c>
      <c r="B65" s="462"/>
      <c r="C65" s="104" t="s">
        <v>118</v>
      </c>
      <c r="D65" s="303"/>
      <c r="E65" s="306" t="s">
        <v>212</v>
      </c>
      <c r="F65" s="463" t="s">
        <v>404</v>
      </c>
      <c r="G65" s="464"/>
      <c r="H65" s="464"/>
      <c r="I65" s="464"/>
      <c r="J65" s="465"/>
      <c r="K65" s="466" t="s">
        <v>132</v>
      </c>
      <c r="L65" s="466"/>
      <c r="M65" s="51" t="s">
        <v>230</v>
      </c>
      <c r="N65" s="467" t="s">
        <v>140</v>
      </c>
      <c r="O65" s="467"/>
      <c r="P65" s="468">
        <v>50</v>
      </c>
      <c r="Q65" s="468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66"/>
      <c r="AC65" s="466"/>
      <c r="AD65" s="469"/>
      <c r="AF65" s="50"/>
    </row>
    <row r="66" spans="1:32" ht="25.5" customHeight="1">
      <c r="A66" s="461">
        <v>3</v>
      </c>
      <c r="B66" s="462"/>
      <c r="C66" s="104" t="s">
        <v>120</v>
      </c>
      <c r="D66" s="303"/>
      <c r="E66" s="306"/>
      <c r="F66" s="463" t="s">
        <v>498</v>
      </c>
      <c r="G66" s="464"/>
      <c r="H66" s="464"/>
      <c r="I66" s="464"/>
      <c r="J66" s="465"/>
      <c r="K66" s="466" t="s">
        <v>128</v>
      </c>
      <c r="L66" s="466"/>
      <c r="M66" s="51" t="s">
        <v>379</v>
      </c>
      <c r="N66" s="467" t="s">
        <v>198</v>
      </c>
      <c r="O66" s="467"/>
      <c r="P66" s="468">
        <v>50</v>
      </c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4</v>
      </c>
      <c r="B67" s="462"/>
      <c r="C67" s="104"/>
      <c r="D67" s="303"/>
      <c r="E67" s="306"/>
      <c r="F67" s="463"/>
      <c r="G67" s="464"/>
      <c r="H67" s="464"/>
      <c r="I67" s="464"/>
      <c r="J67" s="465"/>
      <c r="K67" s="466"/>
      <c r="L67" s="466"/>
      <c r="M67" s="51"/>
      <c r="N67" s="467"/>
      <c r="O67" s="467"/>
      <c r="P67" s="468"/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5</v>
      </c>
      <c r="B68" s="462"/>
      <c r="C68" s="104"/>
      <c r="D68" s="303"/>
      <c r="E68" s="306"/>
      <c r="F68" s="463"/>
      <c r="G68" s="464"/>
      <c r="H68" s="464"/>
      <c r="I68" s="464"/>
      <c r="J68" s="465"/>
      <c r="K68" s="466"/>
      <c r="L68" s="466"/>
      <c r="M68" s="51"/>
      <c r="N68" s="467"/>
      <c r="O68" s="467"/>
      <c r="P68" s="468"/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6</v>
      </c>
      <c r="B69" s="462"/>
      <c r="C69" s="104"/>
      <c r="D69" s="303"/>
      <c r="E69" s="306"/>
      <c r="F69" s="463"/>
      <c r="G69" s="464"/>
      <c r="H69" s="464"/>
      <c r="I69" s="464"/>
      <c r="J69" s="465"/>
      <c r="K69" s="466"/>
      <c r="L69" s="466"/>
      <c r="M69" s="51"/>
      <c r="N69" s="467"/>
      <c r="O69" s="467"/>
      <c r="P69" s="468"/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7</v>
      </c>
      <c r="B70" s="462"/>
      <c r="C70" s="104"/>
      <c r="D70" s="303"/>
      <c r="E70" s="306"/>
      <c r="F70" s="463"/>
      <c r="G70" s="464"/>
      <c r="H70" s="464"/>
      <c r="I70" s="464"/>
      <c r="J70" s="465"/>
      <c r="K70" s="466"/>
      <c r="L70" s="466"/>
      <c r="M70" s="51"/>
      <c r="N70" s="467"/>
      <c r="O70" s="467"/>
      <c r="P70" s="468"/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8</v>
      </c>
      <c r="B71" s="462"/>
      <c r="C71" s="104"/>
      <c r="D71" s="303"/>
      <c r="E71" s="306"/>
      <c r="F71" s="470"/>
      <c r="G71" s="466"/>
      <c r="H71" s="466"/>
      <c r="I71" s="466"/>
      <c r="J71" s="466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9</v>
      </c>
      <c r="B72" s="462"/>
      <c r="C72" s="104"/>
      <c r="D72" s="303"/>
      <c r="E72" s="306"/>
      <c r="F72" s="470"/>
      <c r="G72" s="466"/>
      <c r="H72" s="466"/>
      <c r="I72" s="466"/>
      <c r="J72" s="466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10</v>
      </c>
      <c r="B73" s="462"/>
      <c r="C73" s="104"/>
      <c r="D73" s="303"/>
      <c r="E73" s="306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6.25" customHeight="1" thickBot="1">
      <c r="A74" s="471" t="s">
        <v>499</v>
      </c>
      <c r="B74" s="471"/>
      <c r="C74" s="471"/>
      <c r="D74" s="471"/>
      <c r="E74" s="471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2" t="s">
        <v>126</v>
      </c>
      <c r="B75" s="473"/>
      <c r="C75" s="305" t="s">
        <v>2</v>
      </c>
      <c r="D75" s="305" t="s">
        <v>37</v>
      </c>
      <c r="E75" s="305" t="s">
        <v>125</v>
      </c>
      <c r="F75" s="473" t="s">
        <v>38</v>
      </c>
      <c r="G75" s="473"/>
      <c r="H75" s="473"/>
      <c r="I75" s="473"/>
      <c r="J75" s="473"/>
      <c r="K75" s="474" t="s">
        <v>58</v>
      </c>
      <c r="L75" s="475"/>
      <c r="M75" s="475"/>
      <c r="N75" s="475"/>
      <c r="O75" s="475"/>
      <c r="P75" s="475"/>
      <c r="Q75" s="475"/>
      <c r="R75" s="475"/>
      <c r="S75" s="476"/>
      <c r="T75" s="473" t="s">
        <v>49</v>
      </c>
      <c r="U75" s="473"/>
      <c r="V75" s="474" t="s">
        <v>50</v>
      </c>
      <c r="W75" s="476"/>
      <c r="X75" s="475" t="s">
        <v>51</v>
      </c>
      <c r="Y75" s="475"/>
      <c r="Z75" s="475"/>
      <c r="AA75" s="475"/>
      <c r="AB75" s="475"/>
      <c r="AC75" s="475"/>
      <c r="AD75" s="477"/>
      <c r="AF75" s="50"/>
    </row>
    <row r="76" spans="1:32" ht="33.75" customHeight="1">
      <c r="A76" s="486">
        <v>1</v>
      </c>
      <c r="B76" s="487"/>
      <c r="C76" s="304" t="s">
        <v>112</v>
      </c>
      <c r="D76" s="304"/>
      <c r="E76" s="65" t="s">
        <v>117</v>
      </c>
      <c r="F76" s="488" t="s">
        <v>116</v>
      </c>
      <c r="G76" s="489"/>
      <c r="H76" s="489"/>
      <c r="I76" s="489"/>
      <c r="J76" s="490"/>
      <c r="K76" s="491" t="s">
        <v>119</v>
      </c>
      <c r="L76" s="492"/>
      <c r="M76" s="492"/>
      <c r="N76" s="492"/>
      <c r="O76" s="492"/>
      <c r="P76" s="492"/>
      <c r="Q76" s="492"/>
      <c r="R76" s="492"/>
      <c r="S76" s="493"/>
      <c r="T76" s="494">
        <v>44118</v>
      </c>
      <c r="U76" s="495"/>
      <c r="V76" s="496"/>
      <c r="W76" s="496"/>
      <c r="X76" s="497"/>
      <c r="Y76" s="497"/>
      <c r="Z76" s="497"/>
      <c r="AA76" s="497"/>
      <c r="AB76" s="497"/>
      <c r="AC76" s="497"/>
      <c r="AD76" s="498"/>
      <c r="AF76" s="50"/>
    </row>
    <row r="77" spans="1:32" ht="30" customHeight="1">
      <c r="A77" s="478">
        <f>A76+1</f>
        <v>2</v>
      </c>
      <c r="B77" s="479"/>
      <c r="C77" s="303"/>
      <c r="D77" s="303"/>
      <c r="E77" s="32"/>
      <c r="F77" s="479"/>
      <c r="G77" s="479"/>
      <c r="H77" s="479"/>
      <c r="I77" s="479"/>
      <c r="J77" s="479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78">
        <f t="shared" ref="A78:A82" si="11">A77+1</f>
        <v>3</v>
      </c>
      <c r="B78" s="479"/>
      <c r="C78" s="303"/>
      <c r="D78" s="303"/>
      <c r="E78" s="32"/>
      <c r="F78" s="479"/>
      <c r="G78" s="479"/>
      <c r="H78" s="479"/>
      <c r="I78" s="479"/>
      <c r="J78" s="479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78">
        <f t="shared" si="11"/>
        <v>4</v>
      </c>
      <c r="B79" s="479"/>
      <c r="C79" s="303"/>
      <c r="D79" s="303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si="11"/>
        <v>5</v>
      </c>
      <c r="B80" s="479"/>
      <c r="C80" s="303"/>
      <c r="D80" s="303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11"/>
        <v>6</v>
      </c>
      <c r="B81" s="479"/>
      <c r="C81" s="303"/>
      <c r="D81" s="303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11"/>
        <v>7</v>
      </c>
      <c r="B82" s="479"/>
      <c r="C82" s="303"/>
      <c r="D82" s="303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1" t="s">
        <v>500</v>
      </c>
      <c r="B83" s="471"/>
      <c r="C83" s="471"/>
      <c r="D83" s="471"/>
      <c r="E83" s="47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2" t="s">
        <v>111</v>
      </c>
      <c r="B84" s="473"/>
      <c r="C84" s="499" t="s">
        <v>52</v>
      </c>
      <c r="D84" s="499"/>
      <c r="E84" s="499" t="s">
        <v>53</v>
      </c>
      <c r="F84" s="499"/>
      <c r="G84" s="499"/>
      <c r="H84" s="499"/>
      <c r="I84" s="499"/>
      <c r="J84" s="499"/>
      <c r="K84" s="499" t="s">
        <v>54</v>
      </c>
      <c r="L84" s="499"/>
      <c r="M84" s="499"/>
      <c r="N84" s="499"/>
      <c r="O84" s="499"/>
      <c r="P84" s="499"/>
      <c r="Q84" s="499"/>
      <c r="R84" s="499"/>
      <c r="S84" s="499"/>
      <c r="T84" s="499" t="s">
        <v>55</v>
      </c>
      <c r="U84" s="499"/>
      <c r="V84" s="499" t="s">
        <v>56</v>
      </c>
      <c r="W84" s="499"/>
      <c r="X84" s="499"/>
      <c r="Y84" s="499" t="s">
        <v>51</v>
      </c>
      <c r="Z84" s="499"/>
      <c r="AA84" s="499"/>
      <c r="AB84" s="499"/>
      <c r="AC84" s="499"/>
      <c r="AD84" s="500"/>
      <c r="AF84" s="50"/>
    </row>
    <row r="85" spans="1:32" ht="30.75" customHeight="1">
      <c r="A85" s="486">
        <v>1</v>
      </c>
      <c r="B85" s="487"/>
      <c r="C85" s="501">
        <v>9</v>
      </c>
      <c r="D85" s="501"/>
      <c r="E85" s="501" t="s">
        <v>149</v>
      </c>
      <c r="F85" s="501"/>
      <c r="G85" s="501"/>
      <c r="H85" s="501"/>
      <c r="I85" s="501"/>
      <c r="J85" s="501"/>
      <c r="K85" s="501" t="s">
        <v>462</v>
      </c>
      <c r="L85" s="501"/>
      <c r="M85" s="501"/>
      <c r="N85" s="501"/>
      <c r="O85" s="501"/>
      <c r="P85" s="501"/>
      <c r="Q85" s="501"/>
      <c r="R85" s="501"/>
      <c r="S85" s="501"/>
      <c r="T85" s="501" t="s">
        <v>151</v>
      </c>
      <c r="U85" s="501"/>
      <c r="V85" s="502" t="s">
        <v>265</v>
      </c>
      <c r="W85" s="502"/>
      <c r="X85" s="502"/>
      <c r="Y85" s="503"/>
      <c r="Z85" s="503"/>
      <c r="AA85" s="503"/>
      <c r="AB85" s="503"/>
      <c r="AC85" s="503"/>
      <c r="AD85" s="504"/>
      <c r="AF85" s="50"/>
    </row>
    <row r="86" spans="1:32" ht="30.75" customHeight="1">
      <c r="A86" s="478">
        <v>2</v>
      </c>
      <c r="B86" s="479"/>
      <c r="C86" s="512"/>
      <c r="D86" s="512"/>
      <c r="E86" s="512"/>
      <c r="F86" s="512"/>
      <c r="G86" s="512"/>
      <c r="H86" s="512"/>
      <c r="I86" s="512"/>
      <c r="J86" s="512"/>
      <c r="K86" s="512"/>
      <c r="L86" s="512"/>
      <c r="M86" s="512"/>
      <c r="N86" s="512"/>
      <c r="O86" s="512"/>
      <c r="P86" s="512"/>
      <c r="Q86" s="512"/>
      <c r="R86" s="512"/>
      <c r="S86" s="512"/>
      <c r="T86" s="513"/>
      <c r="U86" s="513"/>
      <c r="V86" s="514"/>
      <c r="W86" s="514"/>
      <c r="X86" s="514"/>
      <c r="Y86" s="505"/>
      <c r="Z86" s="505"/>
      <c r="AA86" s="505"/>
      <c r="AB86" s="505"/>
      <c r="AC86" s="505"/>
      <c r="AD86" s="506"/>
      <c r="AF86" s="50"/>
    </row>
    <row r="87" spans="1:32" ht="30.75" customHeight="1" thickBot="1">
      <c r="A87" s="507">
        <v>3</v>
      </c>
      <c r="B87" s="508"/>
      <c r="C87" s="509"/>
      <c r="D87" s="509"/>
      <c r="E87" s="509"/>
      <c r="F87" s="509"/>
      <c r="G87" s="509"/>
      <c r="H87" s="509"/>
      <c r="I87" s="509"/>
      <c r="J87" s="509"/>
      <c r="K87" s="509"/>
      <c r="L87" s="509"/>
      <c r="M87" s="509"/>
      <c r="N87" s="509"/>
      <c r="O87" s="509"/>
      <c r="P87" s="509"/>
      <c r="Q87" s="509"/>
      <c r="R87" s="509"/>
      <c r="S87" s="509"/>
      <c r="T87" s="509"/>
      <c r="U87" s="509"/>
      <c r="V87" s="509"/>
      <c r="W87" s="509"/>
      <c r="X87" s="509"/>
      <c r="Y87" s="510"/>
      <c r="Z87" s="510"/>
      <c r="AA87" s="510"/>
      <c r="AB87" s="510"/>
      <c r="AC87" s="510"/>
      <c r="AD87" s="511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6902-9BB6-4610-A582-676B78F089FD}">
  <dimension ref="A1:AF89"/>
  <sheetViews>
    <sheetView view="pageBreakPreview" zoomScale="70" zoomScaleNormal="72" zoomScaleSheetLayoutView="70" workbookViewId="0">
      <selection activeCell="K82" sqref="K82:S8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501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316" t="s">
        <v>17</v>
      </c>
      <c r="L5" s="316" t="s">
        <v>18</v>
      </c>
      <c r="M5" s="316" t="s">
        <v>19</v>
      </c>
      <c r="N5" s="31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27" customHeight="1">
      <c r="A6" s="112">
        <v>1</v>
      </c>
      <c r="B6" s="11" t="s">
        <v>57</v>
      </c>
      <c r="C6" s="34" t="s">
        <v>139</v>
      </c>
      <c r="D6" s="52" t="s">
        <v>355</v>
      </c>
      <c r="E6" s="53" t="s">
        <v>502</v>
      </c>
      <c r="F6" s="30" t="s">
        <v>267</v>
      </c>
      <c r="G6" s="12">
        <v>1</v>
      </c>
      <c r="H6" s="13">
        <v>24</v>
      </c>
      <c r="I6" s="31">
        <v>3000</v>
      </c>
      <c r="J6" s="14">
        <v>2667</v>
      </c>
      <c r="K6" s="15">
        <f>L6</f>
        <v>2667</v>
      </c>
      <c r="L6" s="15">
        <f>2667</f>
        <v>2667</v>
      </c>
      <c r="M6" s="15">
        <f t="shared" ref="M6:M23" si="0">L6-N6</f>
        <v>2667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15</v>
      </c>
      <c r="Q6" s="40">
        <f t="shared" ref="Q6:Q23" si="3">SUM(R6:AA6)</f>
        <v>9</v>
      </c>
      <c r="R6" s="7"/>
      <c r="S6" s="6"/>
      <c r="T6" s="16">
        <v>9</v>
      </c>
      <c r="U6" s="16"/>
      <c r="V6" s="17"/>
      <c r="W6" s="5"/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0.625</v>
      </c>
      <c r="AD6" s="10">
        <f t="shared" ref="AD6:AD23" si="6">AC6*AB6*(1-O6)</f>
        <v>0.625</v>
      </c>
      <c r="AE6" s="36">
        <f t="shared" ref="AE6:AE23" si="7">$AD$24</f>
        <v>0.5</v>
      </c>
      <c r="AF6" s="84">
        <f t="shared" ref="AF6:AF23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228</v>
      </c>
      <c r="E7" s="53" t="s">
        <v>299</v>
      </c>
      <c r="F7" s="30" t="s">
        <v>344</v>
      </c>
      <c r="G7" s="12">
        <v>4</v>
      </c>
      <c r="H7" s="13">
        <v>24</v>
      </c>
      <c r="I7" s="31">
        <v>130000</v>
      </c>
      <c r="J7" s="14">
        <v>15600</v>
      </c>
      <c r="K7" s="15">
        <f>L7+20667+13102+12272+13122+5600</f>
        <v>80363</v>
      </c>
      <c r="L7" s="15">
        <f>3296*4+604*4</f>
        <v>15600</v>
      </c>
      <c r="M7" s="15">
        <f t="shared" si="0"/>
        <v>15600</v>
      </c>
      <c r="N7" s="15">
        <v>0</v>
      </c>
      <c r="O7" s="58">
        <f t="shared" si="1"/>
        <v>0</v>
      </c>
      <c r="P7" s="39">
        <f t="shared" si="2"/>
        <v>16</v>
      </c>
      <c r="Q7" s="40">
        <f t="shared" si="3"/>
        <v>8</v>
      </c>
      <c r="R7" s="7"/>
      <c r="S7" s="6">
        <v>8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0.66666666666666663</v>
      </c>
      <c r="AD7" s="10">
        <f t="shared" si="6"/>
        <v>0.66666666666666663</v>
      </c>
      <c r="AE7" s="36">
        <f t="shared" si="7"/>
        <v>0.5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503</v>
      </c>
      <c r="E8" s="53" t="s">
        <v>496</v>
      </c>
      <c r="F8" s="30" t="s">
        <v>504</v>
      </c>
      <c r="G8" s="33">
        <v>1</v>
      </c>
      <c r="H8" s="35">
        <v>24</v>
      </c>
      <c r="I8" s="7">
        <v>1000</v>
      </c>
      <c r="J8" s="5">
        <v>219</v>
      </c>
      <c r="K8" s="15">
        <f>L8</f>
        <v>219</v>
      </c>
      <c r="L8" s="15">
        <f>219</f>
        <v>219</v>
      </c>
      <c r="M8" s="15">
        <f t="shared" si="0"/>
        <v>219</v>
      </c>
      <c r="N8" s="15">
        <v>0</v>
      </c>
      <c r="O8" s="58">
        <f t="shared" si="1"/>
        <v>0</v>
      </c>
      <c r="P8" s="39">
        <f t="shared" si="2"/>
        <v>3</v>
      </c>
      <c r="Q8" s="40">
        <f t="shared" si="3"/>
        <v>21</v>
      </c>
      <c r="R8" s="7"/>
      <c r="S8" s="6">
        <v>21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0.125</v>
      </c>
      <c r="AD8" s="10">
        <f t="shared" si="6"/>
        <v>0.125</v>
      </c>
      <c r="AE8" s="36">
        <f t="shared" si="7"/>
        <v>0.5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134</v>
      </c>
      <c r="F9" s="30" t="s">
        <v>133</v>
      </c>
      <c r="G9" s="12">
        <v>1</v>
      </c>
      <c r="H9" s="13">
        <v>24</v>
      </c>
      <c r="I9" s="7">
        <v>50000</v>
      </c>
      <c r="J9" s="14">
        <v>4994</v>
      </c>
      <c r="K9" s="15">
        <f>L9+4441+5448+5546+5454+5474+5364+5279+1939+4542+4891+3967+5490+5482+5324+5398</f>
        <v>79033</v>
      </c>
      <c r="L9" s="15">
        <f>2272+2722</f>
        <v>4994</v>
      </c>
      <c r="M9" s="15">
        <f t="shared" si="0"/>
        <v>4994</v>
      </c>
      <c r="N9" s="15">
        <v>0</v>
      </c>
      <c r="O9" s="58">
        <f t="shared" si="1"/>
        <v>0</v>
      </c>
      <c r="P9" s="39">
        <f t="shared" si="2"/>
        <v>23</v>
      </c>
      <c r="Q9" s="40">
        <f t="shared" si="3"/>
        <v>1</v>
      </c>
      <c r="R9" s="7"/>
      <c r="S9" s="6">
        <v>1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6">
        <f t="shared" si="7"/>
        <v>0.5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332</v>
      </c>
      <c r="E10" s="53" t="s">
        <v>333</v>
      </c>
      <c r="F10" s="30" t="s">
        <v>131</v>
      </c>
      <c r="G10" s="33">
        <v>1</v>
      </c>
      <c r="H10" s="35">
        <v>24</v>
      </c>
      <c r="I10" s="7">
        <v>34000</v>
      </c>
      <c r="J10" s="14">
        <v>5998</v>
      </c>
      <c r="K10" s="15">
        <f>L10+3378+6577+6217+6595+6190+6462+6437+6482</f>
        <v>54336</v>
      </c>
      <c r="L10" s="15">
        <f>3142+2856</f>
        <v>5998</v>
      </c>
      <c r="M10" s="15">
        <f t="shared" si="0"/>
        <v>5998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464</v>
      </c>
      <c r="E11" s="53" t="s">
        <v>465</v>
      </c>
      <c r="F11" s="30" t="s">
        <v>466</v>
      </c>
      <c r="G11" s="33">
        <v>16</v>
      </c>
      <c r="H11" s="35">
        <v>24</v>
      </c>
      <c r="I11" s="7">
        <v>100000</v>
      </c>
      <c r="J11" s="14">
        <v>108136</v>
      </c>
      <c r="K11" s="15">
        <f>L11+39816+90622</f>
        <v>238574</v>
      </c>
      <c r="L11" s="15">
        <f>4346*14+3378*14</f>
        <v>108136</v>
      </c>
      <c r="M11" s="15">
        <f t="shared" si="0"/>
        <v>108136</v>
      </c>
      <c r="N11" s="15">
        <v>0</v>
      </c>
      <c r="O11" s="58">
        <f t="shared" si="1"/>
        <v>0</v>
      </c>
      <c r="P11" s="39">
        <f t="shared" si="2"/>
        <v>21</v>
      </c>
      <c r="Q11" s="40">
        <f t="shared" si="3"/>
        <v>3</v>
      </c>
      <c r="R11" s="7"/>
      <c r="S11" s="6">
        <v>3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0.875</v>
      </c>
      <c r="AD11" s="10">
        <f t="shared" si="6"/>
        <v>0.875</v>
      </c>
      <c r="AE11" s="36">
        <f t="shared" si="7"/>
        <v>0.5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144</v>
      </c>
      <c r="F12" s="30" t="s">
        <v>145</v>
      </c>
      <c r="G12" s="12">
        <v>1</v>
      </c>
      <c r="H12" s="13">
        <v>22</v>
      </c>
      <c r="I12" s="31">
        <v>120000</v>
      </c>
      <c r="J12" s="5">
        <v>4287</v>
      </c>
      <c r="K12" s="15">
        <f>L12+4597+5041+5597+5567+5537+3364+5103+4208+3250+4473+4603+3900+3271+5266+5310+2806+4497+4981+4384+3503+3445+4608+5518+1083+3494+3542+4277+5011</f>
        <v>124523</v>
      </c>
      <c r="L12" s="15">
        <f>2201+2086</f>
        <v>4287</v>
      </c>
      <c r="M12" s="15">
        <f t="shared" si="0"/>
        <v>4287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6"/>
        <v>0.83333333333333337</v>
      </c>
      <c r="AE12" s="36">
        <f t="shared" si="7"/>
        <v>0.5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135</v>
      </c>
      <c r="E13" s="53" t="s">
        <v>268</v>
      </c>
      <c r="F13" s="30" t="s">
        <v>244</v>
      </c>
      <c r="G13" s="33">
        <v>1</v>
      </c>
      <c r="H13" s="35">
        <v>24</v>
      </c>
      <c r="I13" s="7">
        <v>24000</v>
      </c>
      <c r="J13" s="14">
        <v>1330</v>
      </c>
      <c r="K13" s="15">
        <f>L13+5620+3366</f>
        <v>10316</v>
      </c>
      <c r="L13" s="15">
        <v>1330</v>
      </c>
      <c r="M13" s="15">
        <f t="shared" si="0"/>
        <v>1330</v>
      </c>
      <c r="N13" s="15">
        <v>0</v>
      </c>
      <c r="O13" s="58">
        <f t="shared" si="1"/>
        <v>0</v>
      </c>
      <c r="P13" s="39">
        <f t="shared" si="2"/>
        <v>7</v>
      </c>
      <c r="Q13" s="40">
        <f t="shared" si="3"/>
        <v>17</v>
      </c>
      <c r="R13" s="7"/>
      <c r="S13" s="6">
        <v>17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0.29166666666666669</v>
      </c>
      <c r="AD13" s="10">
        <f t="shared" si="6"/>
        <v>0.29166666666666669</v>
      </c>
      <c r="AE13" s="36">
        <f t="shared" si="7"/>
        <v>0.5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505</v>
      </c>
      <c r="F14" s="30" t="s">
        <v>245</v>
      </c>
      <c r="G14" s="33">
        <v>1</v>
      </c>
      <c r="H14" s="35">
        <v>50</v>
      </c>
      <c r="I14" s="7">
        <v>300</v>
      </c>
      <c r="J14" s="5">
        <v>340</v>
      </c>
      <c r="K14" s="15">
        <f>L14</f>
        <v>340</v>
      </c>
      <c r="L14" s="15">
        <v>340</v>
      </c>
      <c r="M14" s="15">
        <f t="shared" si="0"/>
        <v>340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>
        <v>18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6">
        <f t="shared" si="7"/>
        <v>0.5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139</v>
      </c>
      <c r="D15" s="52" t="s">
        <v>130</v>
      </c>
      <c r="E15" s="53" t="s">
        <v>369</v>
      </c>
      <c r="F15" s="12" t="s">
        <v>367</v>
      </c>
      <c r="G15" s="12">
        <v>1</v>
      </c>
      <c r="H15" s="13">
        <v>24</v>
      </c>
      <c r="I15" s="31">
        <v>2500</v>
      </c>
      <c r="J15" s="14">
        <v>2700</v>
      </c>
      <c r="K15" s="15">
        <f>L15+2700</f>
        <v>2700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130</v>
      </c>
      <c r="E16" s="53" t="s">
        <v>308</v>
      </c>
      <c r="F16" s="30" t="s">
        <v>131</v>
      </c>
      <c r="G16" s="12">
        <v>1</v>
      </c>
      <c r="H16" s="13">
        <v>24</v>
      </c>
      <c r="I16" s="7">
        <v>500</v>
      </c>
      <c r="J16" s="14">
        <v>530</v>
      </c>
      <c r="K16" s="15">
        <f>L16</f>
        <v>530</v>
      </c>
      <c r="L16" s="15">
        <v>530</v>
      </c>
      <c r="M16" s="15">
        <f t="shared" ref="M16" si="9">L16-N16</f>
        <v>530</v>
      </c>
      <c r="N16" s="15">
        <v>0</v>
      </c>
      <c r="O16" s="58">
        <f t="shared" ref="O16" si="10">IF(L16=0,"0",N16/L16)</f>
        <v>0</v>
      </c>
      <c r="P16" s="39">
        <f t="shared" ref="P16" si="11">IF(L16=0,"0",(24-Q16))</f>
        <v>3</v>
      </c>
      <c r="Q16" s="40">
        <f t="shared" ref="Q16" si="12">SUM(R16:AA16)</f>
        <v>21</v>
      </c>
      <c r="R16" s="7"/>
      <c r="S16" s="6"/>
      <c r="T16" s="16"/>
      <c r="U16" s="16"/>
      <c r="V16" s="17"/>
      <c r="W16" s="5">
        <v>21</v>
      </c>
      <c r="X16" s="16"/>
      <c r="Y16" s="16"/>
      <c r="Z16" s="16"/>
      <c r="AA16" s="18"/>
      <c r="AB16" s="8">
        <f t="shared" ref="AB16" si="13">IF(J16=0,"0",(L16/J16))</f>
        <v>1</v>
      </c>
      <c r="AC16" s="9">
        <f t="shared" ref="AC16" si="14">IF(P16=0,"0",(P16/24))</f>
        <v>0.125</v>
      </c>
      <c r="AD16" s="10">
        <f t="shared" ref="AD16" si="15">AC16*AB16*(1-O16)</f>
        <v>0.125</v>
      </c>
      <c r="AE16" s="36">
        <f t="shared" si="7"/>
        <v>0.5</v>
      </c>
      <c r="AF16" s="84">
        <f t="shared" ref="AF16" si="16">A16</f>
        <v>11</v>
      </c>
    </row>
    <row r="17" spans="1:32" ht="30" customHeight="1">
      <c r="A17" s="112">
        <v>11</v>
      </c>
      <c r="B17" s="11" t="s">
        <v>57</v>
      </c>
      <c r="C17" s="34" t="s">
        <v>139</v>
      </c>
      <c r="D17" s="52" t="s">
        <v>285</v>
      </c>
      <c r="E17" s="53" t="s">
        <v>506</v>
      </c>
      <c r="F17" s="30" t="s">
        <v>245</v>
      </c>
      <c r="G17" s="12">
        <v>1</v>
      </c>
      <c r="H17" s="13">
        <v>24</v>
      </c>
      <c r="I17" s="7">
        <v>2000</v>
      </c>
      <c r="J17" s="14">
        <v>2290</v>
      </c>
      <c r="K17" s="15">
        <f>L17</f>
        <v>2290</v>
      </c>
      <c r="L17" s="15">
        <v>2290</v>
      </c>
      <c r="M17" s="15">
        <f t="shared" si="0"/>
        <v>2290</v>
      </c>
      <c r="N17" s="15">
        <v>0</v>
      </c>
      <c r="O17" s="58">
        <f t="shared" si="1"/>
        <v>0</v>
      </c>
      <c r="P17" s="39">
        <f t="shared" si="2"/>
        <v>13</v>
      </c>
      <c r="Q17" s="40">
        <f t="shared" si="3"/>
        <v>11</v>
      </c>
      <c r="R17" s="7"/>
      <c r="S17" s="6"/>
      <c r="T17" s="16">
        <v>11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0.54166666666666663</v>
      </c>
      <c r="AD17" s="10">
        <f t="shared" si="6"/>
        <v>0.54166666666666663</v>
      </c>
      <c r="AE17" s="36">
        <f t="shared" si="7"/>
        <v>0.5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/>
      <c r="E18" s="53" t="s">
        <v>301</v>
      </c>
      <c r="F18" s="30" t="s">
        <v>128</v>
      </c>
      <c r="G18" s="12">
        <v>1</v>
      </c>
      <c r="H18" s="13">
        <v>24</v>
      </c>
      <c r="I18" s="7">
        <v>5400</v>
      </c>
      <c r="J18" s="14">
        <v>3740</v>
      </c>
      <c r="K18" s="15">
        <f>L18+2945+3740</f>
        <v>6685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115</v>
      </c>
      <c r="E19" s="53" t="s">
        <v>467</v>
      </c>
      <c r="F19" s="30" t="s">
        <v>129</v>
      </c>
      <c r="G19" s="33">
        <v>1</v>
      </c>
      <c r="H19" s="35">
        <v>24</v>
      </c>
      <c r="I19" s="7">
        <v>23400</v>
      </c>
      <c r="J19" s="14">
        <v>5580</v>
      </c>
      <c r="K19" s="15">
        <f>L19+783+4509</f>
        <v>10872</v>
      </c>
      <c r="L19" s="15">
        <f>2917+2663</f>
        <v>5580</v>
      </c>
      <c r="M19" s="15">
        <f t="shared" si="0"/>
        <v>5580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118</v>
      </c>
      <c r="D20" s="52" t="s">
        <v>135</v>
      </c>
      <c r="E20" s="53" t="s">
        <v>507</v>
      </c>
      <c r="F20" s="30" t="s">
        <v>153</v>
      </c>
      <c r="G20" s="33">
        <v>1</v>
      </c>
      <c r="H20" s="35">
        <v>24</v>
      </c>
      <c r="I20" s="7">
        <v>500</v>
      </c>
      <c r="J20" s="14">
        <v>1050</v>
      </c>
      <c r="K20" s="15">
        <f>L20</f>
        <v>1050</v>
      </c>
      <c r="L20" s="15">
        <v>1050</v>
      </c>
      <c r="M20" s="15">
        <f t="shared" si="0"/>
        <v>1050</v>
      </c>
      <c r="N20" s="15">
        <v>0</v>
      </c>
      <c r="O20" s="58">
        <f t="shared" si="1"/>
        <v>0</v>
      </c>
      <c r="P20" s="39">
        <f t="shared" si="2"/>
        <v>7</v>
      </c>
      <c r="Q20" s="40">
        <f t="shared" si="3"/>
        <v>17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17</v>
      </c>
      <c r="AB20" s="8">
        <f t="shared" si="4"/>
        <v>1</v>
      </c>
      <c r="AC20" s="9">
        <f t="shared" si="5"/>
        <v>0.29166666666666669</v>
      </c>
      <c r="AD20" s="10">
        <f t="shared" si="6"/>
        <v>0.29166666666666669</v>
      </c>
      <c r="AE20" s="36">
        <f t="shared" si="7"/>
        <v>0.5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118</v>
      </c>
      <c r="D21" s="52" t="s">
        <v>115</v>
      </c>
      <c r="E21" s="53" t="s">
        <v>309</v>
      </c>
      <c r="F21" s="30" t="s">
        <v>129</v>
      </c>
      <c r="G21" s="12">
        <v>4</v>
      </c>
      <c r="H21" s="13">
        <v>24</v>
      </c>
      <c r="I21" s="7">
        <v>130000</v>
      </c>
      <c r="J21" s="14">
        <v>5516</v>
      </c>
      <c r="K21" s="15">
        <f>L21+13156+20408+13276+22084+10984+20356+20356+18684+20604</f>
        <v>165424</v>
      </c>
      <c r="L21" s="15">
        <f>1379*4</f>
        <v>5516</v>
      </c>
      <c r="M21" s="15">
        <f t="shared" ref="M21" si="17">L21-N21</f>
        <v>5516</v>
      </c>
      <c r="N21" s="15">
        <v>0</v>
      </c>
      <c r="O21" s="58">
        <f t="shared" ref="O21" si="18">IF(L21=0,"0",N21/L21)</f>
        <v>0</v>
      </c>
      <c r="P21" s="39">
        <f t="shared" ref="P21" si="19">IF(L21=0,"0",(24-Q21))</f>
        <v>7</v>
      </c>
      <c r="Q21" s="40">
        <f t="shared" ref="Q21" si="20">SUM(R21:AA21)</f>
        <v>17</v>
      </c>
      <c r="R21" s="7"/>
      <c r="S21" s="6"/>
      <c r="T21" s="16"/>
      <c r="U21" s="16"/>
      <c r="V21" s="17"/>
      <c r="W21" s="5">
        <v>17</v>
      </c>
      <c r="X21" s="16"/>
      <c r="Y21" s="16"/>
      <c r="Z21" s="16"/>
      <c r="AA21" s="18"/>
      <c r="AB21" s="8">
        <f t="shared" ref="AB21" si="21">IF(J21=0,"0",(L21/J21))</f>
        <v>1</v>
      </c>
      <c r="AC21" s="9">
        <f t="shared" ref="AC21" si="22">IF(P21=0,"0",(P21/24))</f>
        <v>0.29166666666666669</v>
      </c>
      <c r="AD21" s="10">
        <f t="shared" ref="AD21" si="23">AC21*AB21*(1-O21)</f>
        <v>0.29166666666666669</v>
      </c>
      <c r="AE21" s="36">
        <f t="shared" si="7"/>
        <v>0.5</v>
      </c>
      <c r="AF21" s="84">
        <f t="shared" ref="AF21" si="24">A21</f>
        <v>15</v>
      </c>
    </row>
    <row r="22" spans="1:32" ht="30" customHeight="1">
      <c r="A22" s="112">
        <v>15</v>
      </c>
      <c r="B22" s="11" t="s">
        <v>57</v>
      </c>
      <c r="C22" s="34" t="s">
        <v>112</v>
      </c>
      <c r="D22" s="52" t="s">
        <v>326</v>
      </c>
      <c r="E22" s="53" t="s">
        <v>388</v>
      </c>
      <c r="F22" s="30" t="s">
        <v>244</v>
      </c>
      <c r="G22" s="12">
        <v>1</v>
      </c>
      <c r="H22" s="13">
        <v>24</v>
      </c>
      <c r="I22" s="7">
        <v>500</v>
      </c>
      <c r="J22" s="14">
        <v>530</v>
      </c>
      <c r="K22" s="15">
        <f>L22</f>
        <v>530</v>
      </c>
      <c r="L22" s="15">
        <v>530</v>
      </c>
      <c r="M22" s="15">
        <f t="shared" si="0"/>
        <v>530</v>
      </c>
      <c r="N22" s="15">
        <v>0</v>
      </c>
      <c r="O22" s="58">
        <f t="shared" si="1"/>
        <v>0</v>
      </c>
      <c r="P22" s="39">
        <f t="shared" si="2"/>
        <v>3</v>
      </c>
      <c r="Q22" s="40">
        <f t="shared" si="3"/>
        <v>21</v>
      </c>
      <c r="R22" s="7"/>
      <c r="S22" s="6"/>
      <c r="T22" s="16"/>
      <c r="U22" s="16"/>
      <c r="V22" s="17"/>
      <c r="W22" s="5">
        <v>21</v>
      </c>
      <c r="X22" s="16"/>
      <c r="Y22" s="16"/>
      <c r="Z22" s="16"/>
      <c r="AA22" s="18"/>
      <c r="AB22" s="8">
        <f t="shared" si="4"/>
        <v>1</v>
      </c>
      <c r="AC22" s="9">
        <f t="shared" si="5"/>
        <v>0.125</v>
      </c>
      <c r="AD22" s="10">
        <f t="shared" si="6"/>
        <v>0.125</v>
      </c>
      <c r="AE22" s="36">
        <f t="shared" si="7"/>
        <v>0.5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346</v>
      </c>
      <c r="F23" s="12" t="s">
        <v>114</v>
      </c>
      <c r="G23" s="12">
        <v>3</v>
      </c>
      <c r="H23" s="35">
        <v>20</v>
      </c>
      <c r="I23" s="7">
        <v>1000000</v>
      </c>
      <c r="J23" s="14">
        <v>67592</v>
      </c>
      <c r="K23" s="15">
        <f>L23+28316+74820+71924+69164+75560+75632+75472+75276+75604</f>
        <v>689360</v>
      </c>
      <c r="L23" s="15">
        <f>7561*4+9337*4</f>
        <v>67592</v>
      </c>
      <c r="M23" s="15">
        <f t="shared" si="0"/>
        <v>67592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6"/>
        <v>1</v>
      </c>
      <c r="AE23" s="36">
        <f t="shared" si="7"/>
        <v>0.5</v>
      </c>
      <c r="AF23" s="84">
        <f t="shared" si="8"/>
        <v>16</v>
      </c>
    </row>
    <row r="24" spans="1:32" ht="31.5" customHeight="1" thickBot="1">
      <c r="A24" s="408" t="s">
        <v>34</v>
      </c>
      <c r="B24" s="409"/>
      <c r="C24" s="409"/>
      <c r="D24" s="409"/>
      <c r="E24" s="409"/>
      <c r="F24" s="409"/>
      <c r="G24" s="409"/>
      <c r="H24" s="410"/>
      <c r="I24" s="22">
        <f t="shared" ref="I24:N24" si="25">SUM(I6:I23)</f>
        <v>1627100</v>
      </c>
      <c r="J24" s="19">
        <f t="shared" si="25"/>
        <v>233099</v>
      </c>
      <c r="K24" s="20">
        <f t="shared" si="25"/>
        <v>1469812</v>
      </c>
      <c r="L24" s="21">
        <f t="shared" si="25"/>
        <v>226659</v>
      </c>
      <c r="M24" s="20">
        <f t="shared" si="25"/>
        <v>226659</v>
      </c>
      <c r="N24" s="21">
        <f t="shared" si="25"/>
        <v>0</v>
      </c>
      <c r="O24" s="41">
        <f t="shared" si="1"/>
        <v>0</v>
      </c>
      <c r="P24" s="42">
        <f t="shared" ref="P24:AA24" si="26">SUM(P6:P23)</f>
        <v>216</v>
      </c>
      <c r="Q24" s="43">
        <f t="shared" si="26"/>
        <v>216</v>
      </c>
      <c r="R24" s="23">
        <f t="shared" si="26"/>
        <v>0</v>
      </c>
      <c r="S24" s="24">
        <f t="shared" si="26"/>
        <v>72</v>
      </c>
      <c r="T24" s="24">
        <f t="shared" si="26"/>
        <v>20</v>
      </c>
      <c r="U24" s="24">
        <f t="shared" si="26"/>
        <v>0</v>
      </c>
      <c r="V24" s="25">
        <f t="shared" si="26"/>
        <v>0</v>
      </c>
      <c r="W24" s="26">
        <f t="shared" si="26"/>
        <v>83</v>
      </c>
      <c r="X24" s="27">
        <f t="shared" si="26"/>
        <v>0</v>
      </c>
      <c r="Y24" s="27">
        <f t="shared" si="26"/>
        <v>0</v>
      </c>
      <c r="Z24" s="27">
        <f t="shared" si="26"/>
        <v>0</v>
      </c>
      <c r="AA24" s="27">
        <f t="shared" si="26"/>
        <v>41</v>
      </c>
      <c r="AB24" s="28">
        <f>AVERAGE(AB6:AB23)</f>
        <v>0.88888888888888884</v>
      </c>
      <c r="AC24" s="4">
        <f>AVERAGE(AC6:AC23)</f>
        <v>0.5</v>
      </c>
      <c r="AD24" s="4">
        <f>AVERAGE(AD6:AD23)</f>
        <v>0.5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11" t="s">
        <v>45</v>
      </c>
      <c r="B51" s="411"/>
      <c r="C51" s="411"/>
      <c r="D51" s="411"/>
      <c r="E51" s="411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12" t="s">
        <v>512</v>
      </c>
      <c r="B52" s="413"/>
      <c r="C52" s="413"/>
      <c r="D52" s="413"/>
      <c r="E52" s="413"/>
      <c r="F52" s="413"/>
      <c r="G52" s="413"/>
      <c r="H52" s="413"/>
      <c r="I52" s="413"/>
      <c r="J52" s="413"/>
      <c r="K52" s="413"/>
      <c r="L52" s="413"/>
      <c r="M52" s="414"/>
      <c r="N52" s="415" t="s">
        <v>511</v>
      </c>
      <c r="O52" s="416"/>
      <c r="P52" s="416"/>
      <c r="Q52" s="416"/>
      <c r="R52" s="416"/>
      <c r="S52" s="416"/>
      <c r="T52" s="416"/>
      <c r="U52" s="416"/>
      <c r="V52" s="416"/>
      <c r="W52" s="416"/>
      <c r="X52" s="416"/>
      <c r="Y52" s="416"/>
      <c r="Z52" s="416"/>
      <c r="AA52" s="416"/>
      <c r="AB52" s="416"/>
      <c r="AC52" s="416"/>
      <c r="AD52" s="417"/>
    </row>
    <row r="53" spans="1:32" ht="27" customHeight="1">
      <c r="A53" s="418" t="s">
        <v>2</v>
      </c>
      <c r="B53" s="419"/>
      <c r="C53" s="317" t="s">
        <v>46</v>
      </c>
      <c r="D53" s="317" t="s">
        <v>47</v>
      </c>
      <c r="E53" s="317" t="s">
        <v>107</v>
      </c>
      <c r="F53" s="420" t="s">
        <v>106</v>
      </c>
      <c r="G53" s="421"/>
      <c r="H53" s="421"/>
      <c r="I53" s="421"/>
      <c r="J53" s="421"/>
      <c r="K53" s="421"/>
      <c r="L53" s="421"/>
      <c r="M53" s="422"/>
      <c r="N53" s="67" t="s">
        <v>110</v>
      </c>
      <c r="O53" s="317" t="s">
        <v>46</v>
      </c>
      <c r="P53" s="420" t="s">
        <v>47</v>
      </c>
      <c r="Q53" s="423"/>
      <c r="R53" s="420" t="s">
        <v>38</v>
      </c>
      <c r="S53" s="421"/>
      <c r="T53" s="421"/>
      <c r="U53" s="423"/>
      <c r="V53" s="420" t="s">
        <v>48</v>
      </c>
      <c r="W53" s="421"/>
      <c r="X53" s="421"/>
      <c r="Y53" s="421"/>
      <c r="Z53" s="421"/>
      <c r="AA53" s="421"/>
      <c r="AB53" s="421"/>
      <c r="AC53" s="421"/>
      <c r="AD53" s="422"/>
    </row>
    <row r="54" spans="1:32" ht="27" customHeight="1">
      <c r="A54" s="434" t="s">
        <v>139</v>
      </c>
      <c r="B54" s="435"/>
      <c r="C54" s="319" t="s">
        <v>250</v>
      </c>
      <c r="D54" s="319" t="s">
        <v>355</v>
      </c>
      <c r="E54" s="319" t="s">
        <v>502</v>
      </c>
      <c r="F54" s="436" t="s">
        <v>138</v>
      </c>
      <c r="G54" s="437"/>
      <c r="H54" s="437"/>
      <c r="I54" s="437"/>
      <c r="J54" s="437"/>
      <c r="K54" s="437"/>
      <c r="L54" s="437"/>
      <c r="M54" s="438"/>
      <c r="N54" s="318" t="s">
        <v>112</v>
      </c>
      <c r="O54" s="325" t="s">
        <v>190</v>
      </c>
      <c r="P54" s="439" t="s">
        <v>115</v>
      </c>
      <c r="Q54" s="440"/>
      <c r="R54" s="439" t="s">
        <v>496</v>
      </c>
      <c r="S54" s="441"/>
      <c r="T54" s="441"/>
      <c r="U54" s="440"/>
      <c r="V54" s="442" t="s">
        <v>124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118</v>
      </c>
      <c r="B55" s="435"/>
      <c r="C55" s="319" t="s">
        <v>136</v>
      </c>
      <c r="D55" s="319" t="s">
        <v>115</v>
      </c>
      <c r="E55" s="319" t="s">
        <v>144</v>
      </c>
      <c r="F55" s="436" t="s">
        <v>491</v>
      </c>
      <c r="G55" s="437"/>
      <c r="H55" s="437"/>
      <c r="I55" s="437"/>
      <c r="J55" s="437"/>
      <c r="K55" s="437"/>
      <c r="L55" s="437"/>
      <c r="M55" s="438"/>
      <c r="N55" s="318" t="s">
        <v>112</v>
      </c>
      <c r="O55" s="325" t="s">
        <v>219</v>
      </c>
      <c r="P55" s="439" t="s">
        <v>115</v>
      </c>
      <c r="Q55" s="440"/>
      <c r="R55" s="439" t="s">
        <v>505</v>
      </c>
      <c r="S55" s="441"/>
      <c r="T55" s="441"/>
      <c r="U55" s="440"/>
      <c r="V55" s="442" t="s">
        <v>124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112</v>
      </c>
      <c r="B56" s="435"/>
      <c r="C56" s="319" t="s">
        <v>190</v>
      </c>
      <c r="D56" s="319" t="s">
        <v>508</v>
      </c>
      <c r="E56" s="319" t="s">
        <v>496</v>
      </c>
      <c r="F56" s="436" t="s">
        <v>509</v>
      </c>
      <c r="G56" s="437"/>
      <c r="H56" s="437"/>
      <c r="I56" s="437"/>
      <c r="J56" s="437"/>
      <c r="K56" s="437"/>
      <c r="L56" s="437"/>
      <c r="M56" s="438"/>
      <c r="N56" s="318" t="s">
        <v>112</v>
      </c>
      <c r="O56" s="325" t="s">
        <v>141</v>
      </c>
      <c r="P56" s="439" t="s">
        <v>211</v>
      </c>
      <c r="Q56" s="440"/>
      <c r="R56" s="439" t="s">
        <v>513</v>
      </c>
      <c r="S56" s="441"/>
      <c r="T56" s="441"/>
      <c r="U56" s="440"/>
      <c r="V56" s="442" t="s">
        <v>445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118</v>
      </c>
      <c r="B57" s="435"/>
      <c r="C57" s="319" t="s">
        <v>140</v>
      </c>
      <c r="D57" s="319" t="s">
        <v>228</v>
      </c>
      <c r="E57" s="319" t="s">
        <v>299</v>
      </c>
      <c r="F57" s="436" t="s">
        <v>124</v>
      </c>
      <c r="G57" s="437"/>
      <c r="H57" s="437"/>
      <c r="I57" s="437"/>
      <c r="J57" s="437"/>
      <c r="K57" s="437"/>
      <c r="L57" s="437"/>
      <c r="M57" s="438"/>
      <c r="N57" s="318"/>
      <c r="O57" s="325"/>
      <c r="P57" s="439"/>
      <c r="Q57" s="440"/>
      <c r="R57" s="439"/>
      <c r="S57" s="441"/>
      <c r="T57" s="441"/>
      <c r="U57" s="440"/>
      <c r="V57" s="442"/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139</v>
      </c>
      <c r="B58" s="435"/>
      <c r="C58" s="319" t="s">
        <v>141</v>
      </c>
      <c r="D58" s="319" t="s">
        <v>285</v>
      </c>
      <c r="E58" s="319" t="s">
        <v>510</v>
      </c>
      <c r="F58" s="436" t="s">
        <v>138</v>
      </c>
      <c r="G58" s="437"/>
      <c r="H58" s="437"/>
      <c r="I58" s="437"/>
      <c r="J58" s="437"/>
      <c r="K58" s="437"/>
      <c r="L58" s="437"/>
      <c r="M58" s="438"/>
      <c r="N58" s="318"/>
      <c r="O58" s="325"/>
      <c r="P58" s="439"/>
      <c r="Q58" s="440"/>
      <c r="R58" s="439"/>
      <c r="S58" s="441"/>
      <c r="T58" s="441"/>
      <c r="U58" s="440"/>
      <c r="V58" s="442"/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 t="s">
        <v>112</v>
      </c>
      <c r="B59" s="435"/>
      <c r="C59" s="319" t="s">
        <v>141</v>
      </c>
      <c r="D59" s="319" t="s">
        <v>130</v>
      </c>
      <c r="E59" s="319" t="s">
        <v>308</v>
      </c>
      <c r="F59" s="436" t="s">
        <v>138</v>
      </c>
      <c r="G59" s="437"/>
      <c r="H59" s="437"/>
      <c r="I59" s="437"/>
      <c r="J59" s="437"/>
      <c r="K59" s="437"/>
      <c r="L59" s="437"/>
      <c r="M59" s="438"/>
      <c r="N59" s="318"/>
      <c r="O59" s="325"/>
      <c r="P59" s="439"/>
      <c r="Q59" s="440"/>
      <c r="R59" s="439"/>
      <c r="S59" s="441"/>
      <c r="T59" s="441"/>
      <c r="U59" s="440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34" t="s">
        <v>112</v>
      </c>
      <c r="B60" s="435"/>
      <c r="C60" s="319" t="s">
        <v>208</v>
      </c>
      <c r="D60" s="319" t="s">
        <v>326</v>
      </c>
      <c r="E60" s="319" t="s">
        <v>388</v>
      </c>
      <c r="F60" s="436" t="s">
        <v>138</v>
      </c>
      <c r="G60" s="437"/>
      <c r="H60" s="437"/>
      <c r="I60" s="437"/>
      <c r="J60" s="437"/>
      <c r="K60" s="437"/>
      <c r="L60" s="437"/>
      <c r="M60" s="438"/>
      <c r="N60" s="318"/>
      <c r="O60" s="325"/>
      <c r="P60" s="439"/>
      <c r="Q60" s="440"/>
      <c r="R60" s="439"/>
      <c r="S60" s="441"/>
      <c r="T60" s="441"/>
      <c r="U60" s="440"/>
      <c r="V60" s="442"/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57" t="s">
        <v>112</v>
      </c>
      <c r="B61" s="458"/>
      <c r="C61" s="323" t="s">
        <v>219</v>
      </c>
      <c r="D61" s="323" t="s">
        <v>115</v>
      </c>
      <c r="E61" s="319" t="s">
        <v>505</v>
      </c>
      <c r="F61" s="436" t="s">
        <v>315</v>
      </c>
      <c r="G61" s="437"/>
      <c r="H61" s="437"/>
      <c r="I61" s="437"/>
      <c r="J61" s="437"/>
      <c r="K61" s="437"/>
      <c r="L61" s="437"/>
      <c r="M61" s="438"/>
      <c r="N61" s="318"/>
      <c r="O61" s="325"/>
      <c r="P61" s="439"/>
      <c r="Q61" s="440"/>
      <c r="R61" s="435"/>
      <c r="S61" s="435"/>
      <c r="T61" s="435"/>
      <c r="U61" s="435"/>
      <c r="V61" s="442"/>
      <c r="W61" s="442"/>
      <c r="X61" s="442"/>
      <c r="Y61" s="442"/>
      <c r="Z61" s="442"/>
      <c r="AA61" s="442"/>
      <c r="AB61" s="442"/>
      <c r="AC61" s="442"/>
      <c r="AD61" s="443"/>
    </row>
    <row r="62" spans="1:32" ht="27" customHeight="1">
      <c r="A62" s="457"/>
      <c r="B62" s="458"/>
      <c r="C62" s="323"/>
      <c r="D62" s="323"/>
      <c r="E62" s="319"/>
      <c r="F62" s="436"/>
      <c r="G62" s="437"/>
      <c r="H62" s="437"/>
      <c r="I62" s="437"/>
      <c r="J62" s="437"/>
      <c r="K62" s="437"/>
      <c r="L62" s="437"/>
      <c r="M62" s="438"/>
      <c r="N62" s="318"/>
      <c r="O62" s="325"/>
      <c r="P62" s="435"/>
      <c r="Q62" s="435"/>
      <c r="R62" s="435"/>
      <c r="S62" s="435"/>
      <c r="T62" s="435"/>
      <c r="U62" s="435"/>
      <c r="V62" s="442"/>
      <c r="W62" s="442"/>
      <c r="X62" s="442"/>
      <c r="Y62" s="442"/>
      <c r="Z62" s="442"/>
      <c r="AA62" s="442"/>
      <c r="AB62" s="442"/>
      <c r="AC62" s="442"/>
      <c r="AD62" s="443"/>
      <c r="AF62" s="84">
        <f>8*3000</f>
        <v>24000</v>
      </c>
    </row>
    <row r="63" spans="1:32" ht="27" customHeight="1" thickBot="1">
      <c r="A63" s="444"/>
      <c r="B63" s="445"/>
      <c r="C63" s="320"/>
      <c r="D63" s="321"/>
      <c r="E63" s="320"/>
      <c r="F63" s="446"/>
      <c r="G63" s="447"/>
      <c r="H63" s="447"/>
      <c r="I63" s="447"/>
      <c r="J63" s="447"/>
      <c r="K63" s="447"/>
      <c r="L63" s="447"/>
      <c r="M63" s="448"/>
      <c r="N63" s="111"/>
      <c r="O63" s="103"/>
      <c r="P63" s="449"/>
      <c r="Q63" s="449"/>
      <c r="R63" s="449"/>
      <c r="S63" s="449"/>
      <c r="T63" s="449"/>
      <c r="U63" s="449"/>
      <c r="V63" s="450"/>
      <c r="W63" s="450"/>
      <c r="X63" s="450"/>
      <c r="Y63" s="450"/>
      <c r="Z63" s="450"/>
      <c r="AA63" s="450"/>
      <c r="AB63" s="450"/>
      <c r="AC63" s="450"/>
      <c r="AD63" s="451"/>
      <c r="AF63" s="84">
        <f>16*3000</f>
        <v>48000</v>
      </c>
    </row>
    <row r="64" spans="1:32" ht="27.75" thickBot="1">
      <c r="A64" s="452" t="s">
        <v>514</v>
      </c>
      <c r="B64" s="452"/>
      <c r="C64" s="452"/>
      <c r="D64" s="452"/>
      <c r="E64" s="452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53" t="s">
        <v>111</v>
      </c>
      <c r="B65" s="454"/>
      <c r="C65" s="322" t="s">
        <v>2</v>
      </c>
      <c r="D65" s="322" t="s">
        <v>37</v>
      </c>
      <c r="E65" s="322" t="s">
        <v>3</v>
      </c>
      <c r="F65" s="454" t="s">
        <v>109</v>
      </c>
      <c r="G65" s="454"/>
      <c r="H65" s="454"/>
      <c r="I65" s="454"/>
      <c r="J65" s="454"/>
      <c r="K65" s="454" t="s">
        <v>39</v>
      </c>
      <c r="L65" s="454"/>
      <c r="M65" s="322" t="s">
        <v>40</v>
      </c>
      <c r="N65" s="454" t="s">
        <v>41</v>
      </c>
      <c r="O65" s="454"/>
      <c r="P65" s="455" t="s">
        <v>42</v>
      </c>
      <c r="Q65" s="456"/>
      <c r="R65" s="455" t="s">
        <v>43</v>
      </c>
      <c r="S65" s="459"/>
      <c r="T65" s="459"/>
      <c r="U65" s="459"/>
      <c r="V65" s="459"/>
      <c r="W65" s="459"/>
      <c r="X65" s="459"/>
      <c r="Y65" s="459"/>
      <c r="Z65" s="459"/>
      <c r="AA65" s="456"/>
      <c r="AB65" s="454" t="s">
        <v>44</v>
      </c>
      <c r="AC65" s="454"/>
      <c r="AD65" s="460"/>
      <c r="AF65" s="84">
        <f>SUM(AF62:AF64)</f>
        <v>96000</v>
      </c>
    </row>
    <row r="66" spans="1:32" ht="25.5" customHeight="1">
      <c r="A66" s="461">
        <v>1</v>
      </c>
      <c r="B66" s="462"/>
      <c r="C66" s="104" t="s">
        <v>118</v>
      </c>
      <c r="D66" s="327"/>
      <c r="E66" s="324" t="s">
        <v>115</v>
      </c>
      <c r="F66" s="463" t="s">
        <v>334</v>
      </c>
      <c r="G66" s="464"/>
      <c r="H66" s="464"/>
      <c r="I66" s="464"/>
      <c r="J66" s="465"/>
      <c r="K66" s="466">
        <v>7301</v>
      </c>
      <c r="L66" s="466"/>
      <c r="M66" s="51" t="s">
        <v>340</v>
      </c>
      <c r="N66" s="467" t="s">
        <v>141</v>
      </c>
      <c r="O66" s="467"/>
      <c r="P66" s="468">
        <v>50</v>
      </c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2</v>
      </c>
      <c r="B67" s="462"/>
      <c r="C67" s="104" t="s">
        <v>118</v>
      </c>
      <c r="D67" s="327"/>
      <c r="E67" s="324" t="s">
        <v>130</v>
      </c>
      <c r="F67" s="463" t="s">
        <v>269</v>
      </c>
      <c r="G67" s="464"/>
      <c r="H67" s="464"/>
      <c r="I67" s="464"/>
      <c r="J67" s="465"/>
      <c r="K67" s="466" t="s">
        <v>131</v>
      </c>
      <c r="L67" s="466"/>
      <c r="M67" s="51" t="s">
        <v>230</v>
      </c>
      <c r="N67" s="467" t="s">
        <v>141</v>
      </c>
      <c r="O67" s="467"/>
      <c r="P67" s="468">
        <v>100</v>
      </c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3</v>
      </c>
      <c r="B68" s="462"/>
      <c r="C68" s="104" t="s">
        <v>112</v>
      </c>
      <c r="D68" s="327"/>
      <c r="E68" s="324" t="s">
        <v>174</v>
      </c>
      <c r="F68" s="463" t="s">
        <v>515</v>
      </c>
      <c r="G68" s="464"/>
      <c r="H68" s="464"/>
      <c r="I68" s="464"/>
      <c r="J68" s="465"/>
      <c r="K68" s="466" t="s">
        <v>339</v>
      </c>
      <c r="L68" s="466"/>
      <c r="M68" s="51" t="s">
        <v>379</v>
      </c>
      <c r="N68" s="467" t="s">
        <v>201</v>
      </c>
      <c r="O68" s="467"/>
      <c r="P68" s="468">
        <v>50</v>
      </c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4</v>
      </c>
      <c r="B69" s="462"/>
      <c r="C69" s="104" t="s">
        <v>118</v>
      </c>
      <c r="D69" s="327"/>
      <c r="E69" s="324" t="s">
        <v>216</v>
      </c>
      <c r="F69" s="463" t="s">
        <v>507</v>
      </c>
      <c r="G69" s="464"/>
      <c r="H69" s="464"/>
      <c r="I69" s="464"/>
      <c r="J69" s="465"/>
      <c r="K69" s="466" t="s">
        <v>339</v>
      </c>
      <c r="L69" s="466"/>
      <c r="M69" s="51" t="s">
        <v>340</v>
      </c>
      <c r="N69" s="467" t="s">
        <v>201</v>
      </c>
      <c r="O69" s="467"/>
      <c r="P69" s="468">
        <v>50</v>
      </c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5</v>
      </c>
      <c r="B70" s="462"/>
      <c r="C70" s="104"/>
      <c r="D70" s="327"/>
      <c r="E70" s="324"/>
      <c r="F70" s="463"/>
      <c r="G70" s="464"/>
      <c r="H70" s="464"/>
      <c r="I70" s="464"/>
      <c r="J70" s="465"/>
      <c r="K70" s="466"/>
      <c r="L70" s="466"/>
      <c r="M70" s="51"/>
      <c r="N70" s="467"/>
      <c r="O70" s="467"/>
      <c r="P70" s="468"/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6</v>
      </c>
      <c r="B71" s="462"/>
      <c r="C71" s="104"/>
      <c r="D71" s="327"/>
      <c r="E71" s="324"/>
      <c r="F71" s="463"/>
      <c r="G71" s="464"/>
      <c r="H71" s="464"/>
      <c r="I71" s="464"/>
      <c r="J71" s="465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7</v>
      </c>
      <c r="B72" s="462"/>
      <c r="C72" s="104"/>
      <c r="D72" s="327"/>
      <c r="E72" s="324"/>
      <c r="F72" s="463"/>
      <c r="G72" s="464"/>
      <c r="H72" s="464"/>
      <c r="I72" s="464"/>
      <c r="J72" s="465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8</v>
      </c>
      <c r="B73" s="462"/>
      <c r="C73" s="104"/>
      <c r="D73" s="327"/>
      <c r="E73" s="324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9</v>
      </c>
      <c r="B74" s="462"/>
      <c r="C74" s="104"/>
      <c r="D74" s="327"/>
      <c r="E74" s="324"/>
      <c r="F74" s="470"/>
      <c r="G74" s="466"/>
      <c r="H74" s="466"/>
      <c r="I74" s="466"/>
      <c r="J74" s="466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5.5" customHeight="1">
      <c r="A75" s="461">
        <v>10</v>
      </c>
      <c r="B75" s="462"/>
      <c r="C75" s="104"/>
      <c r="D75" s="327"/>
      <c r="E75" s="324"/>
      <c r="F75" s="470"/>
      <c r="G75" s="466"/>
      <c r="H75" s="466"/>
      <c r="I75" s="466"/>
      <c r="J75" s="466"/>
      <c r="K75" s="466"/>
      <c r="L75" s="466"/>
      <c r="M75" s="51"/>
      <c r="N75" s="467"/>
      <c r="O75" s="467"/>
      <c r="P75" s="468"/>
      <c r="Q75" s="468"/>
      <c r="R75" s="442"/>
      <c r="S75" s="442"/>
      <c r="T75" s="442"/>
      <c r="U75" s="442"/>
      <c r="V75" s="442"/>
      <c r="W75" s="442"/>
      <c r="X75" s="442"/>
      <c r="Y75" s="442"/>
      <c r="Z75" s="442"/>
      <c r="AA75" s="442"/>
      <c r="AB75" s="466"/>
      <c r="AC75" s="466"/>
      <c r="AD75" s="469"/>
      <c r="AF75" s="50"/>
    </row>
    <row r="76" spans="1:32" ht="26.25" customHeight="1" thickBot="1">
      <c r="A76" s="471" t="s">
        <v>516</v>
      </c>
      <c r="B76" s="471"/>
      <c r="C76" s="471"/>
      <c r="D76" s="471"/>
      <c r="E76" s="471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72" t="s">
        <v>126</v>
      </c>
      <c r="B77" s="473"/>
      <c r="C77" s="326" t="s">
        <v>2</v>
      </c>
      <c r="D77" s="326" t="s">
        <v>37</v>
      </c>
      <c r="E77" s="326" t="s">
        <v>125</v>
      </c>
      <c r="F77" s="473" t="s">
        <v>38</v>
      </c>
      <c r="G77" s="473"/>
      <c r="H77" s="473"/>
      <c r="I77" s="473"/>
      <c r="J77" s="473"/>
      <c r="K77" s="474" t="s">
        <v>58</v>
      </c>
      <c r="L77" s="475"/>
      <c r="M77" s="475"/>
      <c r="N77" s="475"/>
      <c r="O77" s="475"/>
      <c r="P77" s="475"/>
      <c r="Q77" s="475"/>
      <c r="R77" s="475"/>
      <c r="S77" s="476"/>
      <c r="T77" s="473" t="s">
        <v>49</v>
      </c>
      <c r="U77" s="473"/>
      <c r="V77" s="474" t="s">
        <v>50</v>
      </c>
      <c r="W77" s="476"/>
      <c r="X77" s="475" t="s">
        <v>51</v>
      </c>
      <c r="Y77" s="475"/>
      <c r="Z77" s="475"/>
      <c r="AA77" s="475"/>
      <c r="AB77" s="475"/>
      <c r="AC77" s="475"/>
      <c r="AD77" s="477"/>
      <c r="AF77" s="50"/>
    </row>
    <row r="78" spans="1:32" ht="33.75" customHeight="1">
      <c r="A78" s="486">
        <v>1</v>
      </c>
      <c r="B78" s="487"/>
      <c r="C78" s="328" t="s">
        <v>112</v>
      </c>
      <c r="D78" s="328"/>
      <c r="E78" s="65" t="s">
        <v>117</v>
      </c>
      <c r="F78" s="488" t="s">
        <v>116</v>
      </c>
      <c r="G78" s="489"/>
      <c r="H78" s="489"/>
      <c r="I78" s="489"/>
      <c r="J78" s="490"/>
      <c r="K78" s="491" t="s">
        <v>119</v>
      </c>
      <c r="L78" s="492"/>
      <c r="M78" s="492"/>
      <c r="N78" s="492"/>
      <c r="O78" s="492"/>
      <c r="P78" s="492"/>
      <c r="Q78" s="492"/>
      <c r="R78" s="492"/>
      <c r="S78" s="493"/>
      <c r="T78" s="494">
        <v>44118</v>
      </c>
      <c r="U78" s="495"/>
      <c r="V78" s="496"/>
      <c r="W78" s="496"/>
      <c r="X78" s="497"/>
      <c r="Y78" s="497"/>
      <c r="Z78" s="497"/>
      <c r="AA78" s="497"/>
      <c r="AB78" s="497"/>
      <c r="AC78" s="497"/>
      <c r="AD78" s="498"/>
      <c r="AF78" s="50"/>
    </row>
    <row r="79" spans="1:32" ht="30" customHeight="1">
      <c r="A79" s="478">
        <f>A78+1</f>
        <v>2</v>
      </c>
      <c r="B79" s="479"/>
      <c r="C79" s="327"/>
      <c r="D79" s="327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ref="A80:A84" si="27">A79+1</f>
        <v>3</v>
      </c>
      <c r="B80" s="479"/>
      <c r="C80" s="327"/>
      <c r="D80" s="327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27"/>
        <v>4</v>
      </c>
      <c r="B81" s="479"/>
      <c r="C81" s="327"/>
      <c r="D81" s="327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27"/>
        <v>5</v>
      </c>
      <c r="B82" s="479"/>
      <c r="C82" s="327"/>
      <c r="D82" s="327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27"/>
        <v>6</v>
      </c>
      <c r="B83" s="479"/>
      <c r="C83" s="327"/>
      <c r="D83" s="327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78">
        <f t="shared" si="27"/>
        <v>7</v>
      </c>
      <c r="B84" s="479"/>
      <c r="C84" s="327"/>
      <c r="D84" s="327"/>
      <c r="E84" s="32"/>
      <c r="F84" s="479"/>
      <c r="G84" s="479"/>
      <c r="H84" s="479"/>
      <c r="I84" s="479"/>
      <c r="J84" s="479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6" thickBot="1">
      <c r="A85" s="471" t="s">
        <v>517</v>
      </c>
      <c r="B85" s="471"/>
      <c r="C85" s="471"/>
      <c r="D85" s="471"/>
      <c r="E85" s="471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2" t="s">
        <v>111</v>
      </c>
      <c r="B86" s="473"/>
      <c r="C86" s="499" t="s">
        <v>52</v>
      </c>
      <c r="D86" s="499"/>
      <c r="E86" s="499" t="s">
        <v>53</v>
      </c>
      <c r="F86" s="499"/>
      <c r="G86" s="499"/>
      <c r="H86" s="499"/>
      <c r="I86" s="499"/>
      <c r="J86" s="499"/>
      <c r="K86" s="499" t="s">
        <v>54</v>
      </c>
      <c r="L86" s="499"/>
      <c r="M86" s="499"/>
      <c r="N86" s="499"/>
      <c r="O86" s="499"/>
      <c r="P86" s="499"/>
      <c r="Q86" s="499"/>
      <c r="R86" s="499"/>
      <c r="S86" s="499"/>
      <c r="T86" s="499" t="s">
        <v>55</v>
      </c>
      <c r="U86" s="499"/>
      <c r="V86" s="499" t="s">
        <v>56</v>
      </c>
      <c r="W86" s="499"/>
      <c r="X86" s="499"/>
      <c r="Y86" s="499" t="s">
        <v>51</v>
      </c>
      <c r="Z86" s="499"/>
      <c r="AA86" s="499"/>
      <c r="AB86" s="499"/>
      <c r="AC86" s="499"/>
      <c r="AD86" s="500"/>
      <c r="AF86" s="50"/>
    </row>
    <row r="87" spans="1:32" ht="30.75" customHeight="1">
      <c r="A87" s="486">
        <v>1</v>
      </c>
      <c r="B87" s="487"/>
      <c r="C87" s="501">
        <v>9</v>
      </c>
      <c r="D87" s="501"/>
      <c r="E87" s="501" t="s">
        <v>149</v>
      </c>
      <c r="F87" s="501"/>
      <c r="G87" s="501"/>
      <c r="H87" s="501"/>
      <c r="I87" s="501"/>
      <c r="J87" s="501"/>
      <c r="K87" s="501" t="s">
        <v>462</v>
      </c>
      <c r="L87" s="501"/>
      <c r="M87" s="501"/>
      <c r="N87" s="501"/>
      <c r="O87" s="501"/>
      <c r="P87" s="501"/>
      <c r="Q87" s="501"/>
      <c r="R87" s="501"/>
      <c r="S87" s="501"/>
      <c r="T87" s="501" t="s">
        <v>151</v>
      </c>
      <c r="U87" s="501"/>
      <c r="V87" s="502" t="s">
        <v>265</v>
      </c>
      <c r="W87" s="502"/>
      <c r="X87" s="502"/>
      <c r="Y87" s="503"/>
      <c r="Z87" s="503"/>
      <c r="AA87" s="503"/>
      <c r="AB87" s="503"/>
      <c r="AC87" s="503"/>
      <c r="AD87" s="504"/>
      <c r="AF87" s="50"/>
    </row>
    <row r="88" spans="1:32" ht="30.75" customHeight="1">
      <c r="A88" s="478">
        <v>2</v>
      </c>
      <c r="B88" s="479"/>
      <c r="C88" s="512"/>
      <c r="D88" s="512"/>
      <c r="E88" s="512"/>
      <c r="F88" s="512"/>
      <c r="G88" s="512"/>
      <c r="H88" s="512"/>
      <c r="I88" s="512"/>
      <c r="J88" s="512"/>
      <c r="K88" s="512"/>
      <c r="L88" s="512"/>
      <c r="M88" s="512"/>
      <c r="N88" s="512"/>
      <c r="O88" s="512"/>
      <c r="P88" s="512"/>
      <c r="Q88" s="512"/>
      <c r="R88" s="512"/>
      <c r="S88" s="512"/>
      <c r="T88" s="513"/>
      <c r="U88" s="513"/>
      <c r="V88" s="514"/>
      <c r="W88" s="514"/>
      <c r="X88" s="514"/>
      <c r="Y88" s="505"/>
      <c r="Z88" s="505"/>
      <c r="AA88" s="505"/>
      <c r="AB88" s="505"/>
      <c r="AC88" s="505"/>
      <c r="AD88" s="506"/>
      <c r="AF88" s="50"/>
    </row>
    <row r="89" spans="1:32" ht="30.75" customHeight="1" thickBot="1">
      <c r="A89" s="507">
        <v>3</v>
      </c>
      <c r="B89" s="508"/>
      <c r="C89" s="509"/>
      <c r="D89" s="509"/>
      <c r="E89" s="509"/>
      <c r="F89" s="509"/>
      <c r="G89" s="509"/>
      <c r="H89" s="509"/>
      <c r="I89" s="509"/>
      <c r="J89" s="509"/>
      <c r="K89" s="509"/>
      <c r="L89" s="509"/>
      <c r="M89" s="509"/>
      <c r="N89" s="509"/>
      <c r="O89" s="509"/>
      <c r="P89" s="509"/>
      <c r="Q89" s="509"/>
      <c r="R89" s="509"/>
      <c r="S89" s="509"/>
      <c r="T89" s="509"/>
      <c r="U89" s="509"/>
      <c r="V89" s="509"/>
      <c r="W89" s="509"/>
      <c r="X89" s="509"/>
      <c r="Y89" s="510"/>
      <c r="Z89" s="510"/>
      <c r="AA89" s="510"/>
      <c r="AB89" s="510"/>
      <c r="AC89" s="510"/>
      <c r="AD89" s="511"/>
      <c r="AF89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5AEF-481C-4432-AAD6-F762FBB5CB3D}">
  <dimension ref="A1:AF88"/>
  <sheetViews>
    <sheetView view="pageBreakPreview" topLeftCell="A70" zoomScale="70" zoomScaleNormal="72" zoomScaleSheetLayoutView="70" workbookViewId="0">
      <selection activeCell="J90" sqref="J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518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341" t="s">
        <v>17</v>
      </c>
      <c r="L5" s="341" t="s">
        <v>18</v>
      </c>
      <c r="M5" s="341" t="s">
        <v>19</v>
      </c>
      <c r="N5" s="34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27" customHeight="1">
      <c r="A6" s="112">
        <v>1</v>
      </c>
      <c r="B6" s="11" t="s">
        <v>57</v>
      </c>
      <c r="C6" s="34" t="s">
        <v>139</v>
      </c>
      <c r="D6" s="52" t="s">
        <v>355</v>
      </c>
      <c r="E6" s="53" t="s">
        <v>502</v>
      </c>
      <c r="F6" s="30" t="s">
        <v>267</v>
      </c>
      <c r="G6" s="12">
        <v>1</v>
      </c>
      <c r="H6" s="13">
        <v>24</v>
      </c>
      <c r="I6" s="31">
        <v>3000</v>
      </c>
      <c r="J6" s="14">
        <v>1615</v>
      </c>
      <c r="K6" s="15">
        <f>L6+2667</f>
        <v>4282</v>
      </c>
      <c r="L6" s="15">
        <v>1615</v>
      </c>
      <c r="M6" s="15">
        <f t="shared" ref="M6:M22" si="0">L6-N6</f>
        <v>1615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7</v>
      </c>
      <c r="Q6" s="40">
        <f t="shared" ref="Q6:Q22" si="3">SUM(R6:AA6)</f>
        <v>17</v>
      </c>
      <c r="R6" s="7"/>
      <c r="S6" s="6"/>
      <c r="T6" s="16"/>
      <c r="U6" s="16"/>
      <c r="V6" s="17"/>
      <c r="W6" s="5">
        <v>17</v>
      </c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0.29166666666666669</v>
      </c>
      <c r="AD6" s="10">
        <f t="shared" ref="AD6:AD22" si="6">AC6*AB6*(1-O6)</f>
        <v>0.29166666666666669</v>
      </c>
      <c r="AE6" s="36">
        <f t="shared" ref="AE6:AE22" si="7">$AD$23</f>
        <v>0.48529411764705882</v>
      </c>
      <c r="AF6" s="84">
        <f t="shared" ref="AF6:AF22" si="8">A6</f>
        <v>1</v>
      </c>
    </row>
    <row r="7" spans="1:32" ht="27" customHeight="1">
      <c r="A7" s="112">
        <v>1</v>
      </c>
      <c r="B7" s="11" t="s">
        <v>57</v>
      </c>
      <c r="C7" s="34" t="s">
        <v>139</v>
      </c>
      <c r="D7" s="52" t="s">
        <v>355</v>
      </c>
      <c r="E7" s="53" t="s">
        <v>519</v>
      </c>
      <c r="F7" s="30" t="s">
        <v>367</v>
      </c>
      <c r="G7" s="12">
        <v>1</v>
      </c>
      <c r="H7" s="13">
        <v>24</v>
      </c>
      <c r="I7" s="31">
        <v>1500</v>
      </c>
      <c r="J7" s="14">
        <v>2094</v>
      </c>
      <c r="K7" s="15">
        <f>L7</f>
        <v>2094</v>
      </c>
      <c r="L7" s="15">
        <v>2094</v>
      </c>
      <c r="M7" s="15">
        <f t="shared" ref="M7" si="9">L7-N7</f>
        <v>2094</v>
      </c>
      <c r="N7" s="15">
        <v>0</v>
      </c>
      <c r="O7" s="58">
        <f t="shared" ref="O7" si="10">IF(L7=0,"0",N7/L7)</f>
        <v>0</v>
      </c>
      <c r="P7" s="39">
        <f t="shared" ref="P7" si="11">IF(L7=0,"0",(24-Q7))</f>
        <v>11</v>
      </c>
      <c r="Q7" s="40">
        <f t="shared" ref="Q7" si="12">SUM(R7:AA7)</f>
        <v>13</v>
      </c>
      <c r="R7" s="7"/>
      <c r="S7" s="6">
        <v>3</v>
      </c>
      <c r="T7" s="16">
        <v>8</v>
      </c>
      <c r="U7" s="16"/>
      <c r="V7" s="17"/>
      <c r="W7" s="5">
        <v>2</v>
      </c>
      <c r="X7" s="16"/>
      <c r="Y7" s="16"/>
      <c r="Z7" s="16"/>
      <c r="AA7" s="18"/>
      <c r="AB7" s="8">
        <f t="shared" ref="AB7" si="13">IF(J7=0,"0",(L7/J7))</f>
        <v>1</v>
      </c>
      <c r="AC7" s="9">
        <f t="shared" ref="AC7" si="14">IF(P7=0,"0",(P7/24))</f>
        <v>0.45833333333333331</v>
      </c>
      <c r="AD7" s="10">
        <f t="shared" ref="AD7" si="15">AC7*AB7*(1-O7)</f>
        <v>0.45833333333333331</v>
      </c>
      <c r="AE7" s="36">
        <f t="shared" si="7"/>
        <v>0.48529411764705882</v>
      </c>
      <c r="AF7" s="84">
        <f t="shared" ref="AF7" si="16">A7</f>
        <v>1</v>
      </c>
    </row>
    <row r="8" spans="1:32" ht="27" customHeight="1">
      <c r="A8" s="112">
        <v>2</v>
      </c>
      <c r="B8" s="11" t="s">
        <v>57</v>
      </c>
      <c r="C8" s="34" t="s">
        <v>118</v>
      </c>
      <c r="D8" s="52" t="s">
        <v>228</v>
      </c>
      <c r="E8" s="53" t="s">
        <v>299</v>
      </c>
      <c r="F8" s="30" t="s">
        <v>344</v>
      </c>
      <c r="G8" s="12">
        <v>4</v>
      </c>
      <c r="H8" s="13">
        <v>24</v>
      </c>
      <c r="I8" s="31">
        <v>130000</v>
      </c>
      <c r="J8" s="14">
        <v>26484</v>
      </c>
      <c r="K8" s="15">
        <f>L8+20667+13102+12272+13122+5600+15600</f>
        <v>106847</v>
      </c>
      <c r="L8" s="15">
        <f>3320*4+3301*4</f>
        <v>26484</v>
      </c>
      <c r="M8" s="15">
        <f t="shared" si="0"/>
        <v>26484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0.48529411764705882</v>
      </c>
      <c r="AF8" s="84">
        <f t="shared" si="8"/>
        <v>2</v>
      </c>
    </row>
    <row r="9" spans="1:32" ht="27" customHeight="1">
      <c r="A9" s="96">
        <v>3</v>
      </c>
      <c r="B9" s="11" t="s">
        <v>57</v>
      </c>
      <c r="C9" s="34" t="s">
        <v>112</v>
      </c>
      <c r="D9" s="52" t="s">
        <v>503</v>
      </c>
      <c r="E9" s="53" t="s">
        <v>496</v>
      </c>
      <c r="F9" s="30" t="s">
        <v>504</v>
      </c>
      <c r="G9" s="33">
        <v>1</v>
      </c>
      <c r="H9" s="35">
        <v>24</v>
      </c>
      <c r="I9" s="7">
        <v>1000</v>
      </c>
      <c r="J9" s="5">
        <v>219</v>
      </c>
      <c r="K9" s="15">
        <f>L9+219</f>
        <v>219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>
        <v>24</v>
      </c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0.48529411764705882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135</v>
      </c>
      <c r="E10" s="53" t="s">
        <v>134</v>
      </c>
      <c r="F10" s="30" t="s">
        <v>133</v>
      </c>
      <c r="G10" s="12">
        <v>1</v>
      </c>
      <c r="H10" s="13">
        <v>24</v>
      </c>
      <c r="I10" s="7">
        <v>50000</v>
      </c>
      <c r="J10" s="14">
        <v>5489</v>
      </c>
      <c r="K10" s="15">
        <f>L10+4441+5448+5546+5454+5474+5364+5279+1939+4542+4891+3967+5490+5482+5324+5398+4994</f>
        <v>84522</v>
      </c>
      <c r="L10" s="15">
        <f>2751+2738</f>
        <v>5489</v>
      </c>
      <c r="M10" s="15">
        <f t="shared" si="0"/>
        <v>5489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0.48529411764705882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118</v>
      </c>
      <c r="D11" s="52" t="s">
        <v>332</v>
      </c>
      <c r="E11" s="53" t="s">
        <v>333</v>
      </c>
      <c r="F11" s="30" t="s">
        <v>131</v>
      </c>
      <c r="G11" s="33">
        <v>1</v>
      </c>
      <c r="H11" s="35">
        <v>24</v>
      </c>
      <c r="I11" s="7">
        <v>34000</v>
      </c>
      <c r="J11" s="14">
        <v>6052</v>
      </c>
      <c r="K11" s="15">
        <f>L11+3378+6577+6217+6595+6190+6462+6437+6482+5998</f>
        <v>60388</v>
      </c>
      <c r="L11" s="15">
        <f>2897+3155</f>
        <v>6052</v>
      </c>
      <c r="M11" s="15">
        <f t="shared" si="0"/>
        <v>6052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0.48529411764705882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118</v>
      </c>
      <c r="D12" s="52" t="s">
        <v>464</v>
      </c>
      <c r="E12" s="53" t="s">
        <v>465</v>
      </c>
      <c r="F12" s="30" t="s">
        <v>466</v>
      </c>
      <c r="G12" s="33">
        <v>16</v>
      </c>
      <c r="H12" s="35">
        <v>24</v>
      </c>
      <c r="I12" s="7">
        <v>100000</v>
      </c>
      <c r="J12" s="14">
        <v>15260</v>
      </c>
      <c r="K12" s="15">
        <f>L12+39816+90622+108136</f>
        <v>253834</v>
      </c>
      <c r="L12" s="15">
        <f>1090*14</f>
        <v>15260</v>
      </c>
      <c r="M12" s="15">
        <f t="shared" si="0"/>
        <v>15260</v>
      </c>
      <c r="N12" s="15">
        <v>0</v>
      </c>
      <c r="O12" s="58">
        <f t="shared" si="1"/>
        <v>0</v>
      </c>
      <c r="P12" s="39">
        <f t="shared" si="2"/>
        <v>4</v>
      </c>
      <c r="Q12" s="40">
        <f t="shared" si="3"/>
        <v>20</v>
      </c>
      <c r="R12" s="7">
        <v>20</v>
      </c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0.16666666666666666</v>
      </c>
      <c r="AD12" s="10">
        <f t="shared" si="6"/>
        <v>0.16666666666666666</v>
      </c>
      <c r="AE12" s="36">
        <f t="shared" si="7"/>
        <v>0.48529411764705882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144</v>
      </c>
      <c r="F13" s="30" t="s">
        <v>145</v>
      </c>
      <c r="G13" s="12">
        <v>1</v>
      </c>
      <c r="H13" s="13">
        <v>22</v>
      </c>
      <c r="I13" s="31">
        <v>34000</v>
      </c>
      <c r="J13" s="5">
        <v>5421</v>
      </c>
      <c r="K13" s="15">
        <f>L13</f>
        <v>5421</v>
      </c>
      <c r="L13" s="15">
        <f>2719+2702</f>
        <v>5421</v>
      </c>
      <c r="M13" s="15">
        <f t="shared" si="0"/>
        <v>5421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0.48529411764705882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135</v>
      </c>
      <c r="E14" s="53" t="s">
        <v>268</v>
      </c>
      <c r="F14" s="30" t="s">
        <v>244</v>
      </c>
      <c r="G14" s="33">
        <v>1</v>
      </c>
      <c r="H14" s="35">
        <v>24</v>
      </c>
      <c r="I14" s="7">
        <v>24000</v>
      </c>
      <c r="J14" s="14">
        <v>1330</v>
      </c>
      <c r="K14" s="15">
        <f>L14+5620+3366+1330</f>
        <v>10316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0.48529411764705882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505</v>
      </c>
      <c r="F15" s="30" t="s">
        <v>245</v>
      </c>
      <c r="G15" s="33">
        <v>1</v>
      </c>
      <c r="H15" s="35">
        <v>50</v>
      </c>
      <c r="I15" s="7">
        <v>300</v>
      </c>
      <c r="J15" s="5">
        <v>275</v>
      </c>
      <c r="K15" s="15">
        <f>L15+340</f>
        <v>615</v>
      </c>
      <c r="L15" s="15">
        <v>275</v>
      </c>
      <c r="M15" s="15">
        <f t="shared" si="0"/>
        <v>275</v>
      </c>
      <c r="N15" s="15">
        <v>0</v>
      </c>
      <c r="O15" s="58">
        <f t="shared" si="1"/>
        <v>0</v>
      </c>
      <c r="P15" s="39">
        <f t="shared" si="2"/>
        <v>6</v>
      </c>
      <c r="Q15" s="40">
        <f t="shared" si="3"/>
        <v>18</v>
      </c>
      <c r="R15" s="7"/>
      <c r="S15" s="6">
        <v>4</v>
      </c>
      <c r="T15" s="16"/>
      <c r="U15" s="16"/>
      <c r="V15" s="17"/>
      <c r="W15" s="5">
        <v>14</v>
      </c>
      <c r="X15" s="16"/>
      <c r="Y15" s="16"/>
      <c r="Z15" s="16"/>
      <c r="AA15" s="18"/>
      <c r="AB15" s="8">
        <f t="shared" si="4"/>
        <v>1</v>
      </c>
      <c r="AC15" s="9">
        <f t="shared" si="5"/>
        <v>0.25</v>
      </c>
      <c r="AD15" s="10">
        <f t="shared" si="6"/>
        <v>0.25</v>
      </c>
      <c r="AE15" s="36">
        <f t="shared" si="7"/>
        <v>0.48529411764705882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118</v>
      </c>
      <c r="D16" s="52" t="s">
        <v>130</v>
      </c>
      <c r="E16" s="53" t="s">
        <v>520</v>
      </c>
      <c r="F16" s="30" t="s">
        <v>344</v>
      </c>
      <c r="G16" s="12">
        <v>4</v>
      </c>
      <c r="H16" s="13">
        <v>24</v>
      </c>
      <c r="I16" s="31">
        <v>80000</v>
      </c>
      <c r="J16" s="14">
        <v>17216</v>
      </c>
      <c r="K16" s="15">
        <f>L16</f>
        <v>17216</v>
      </c>
      <c r="L16" s="15">
        <f>1473*4+2831*4</f>
        <v>17216</v>
      </c>
      <c r="M16" s="15">
        <f t="shared" si="0"/>
        <v>17216</v>
      </c>
      <c r="N16" s="15">
        <v>0</v>
      </c>
      <c r="O16" s="58">
        <f t="shared" si="1"/>
        <v>0</v>
      </c>
      <c r="P16" s="39">
        <f t="shared" si="2"/>
        <v>19</v>
      </c>
      <c r="Q16" s="40">
        <f t="shared" si="3"/>
        <v>5</v>
      </c>
      <c r="R16" s="7"/>
      <c r="S16" s="6">
        <v>5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0.79166666666666663</v>
      </c>
      <c r="AD16" s="10">
        <f t="shared" si="6"/>
        <v>0.79166666666666663</v>
      </c>
      <c r="AE16" s="36">
        <f t="shared" si="7"/>
        <v>0.48529411764705882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139</v>
      </c>
      <c r="D17" s="52" t="s">
        <v>162</v>
      </c>
      <c r="E17" s="53" t="s">
        <v>521</v>
      </c>
      <c r="F17" s="30" t="s">
        <v>165</v>
      </c>
      <c r="G17" s="12">
        <v>1</v>
      </c>
      <c r="H17" s="13">
        <v>24</v>
      </c>
      <c r="I17" s="7">
        <v>1000</v>
      </c>
      <c r="J17" s="14">
        <v>1376</v>
      </c>
      <c r="K17" s="15">
        <f>L17</f>
        <v>1376</v>
      </c>
      <c r="L17" s="15">
        <v>1376</v>
      </c>
      <c r="M17" s="15">
        <f t="shared" si="0"/>
        <v>1376</v>
      </c>
      <c r="N17" s="15">
        <v>0</v>
      </c>
      <c r="O17" s="58">
        <f t="shared" si="1"/>
        <v>0</v>
      </c>
      <c r="P17" s="39">
        <f t="shared" si="2"/>
        <v>7</v>
      </c>
      <c r="Q17" s="40">
        <f t="shared" si="3"/>
        <v>17</v>
      </c>
      <c r="R17" s="7"/>
      <c r="S17" s="6"/>
      <c r="T17" s="16"/>
      <c r="U17" s="16"/>
      <c r="V17" s="17"/>
      <c r="W17" s="5">
        <v>13</v>
      </c>
      <c r="X17" s="16"/>
      <c r="Y17" s="16"/>
      <c r="Z17" s="16"/>
      <c r="AA17" s="18">
        <v>4</v>
      </c>
      <c r="AB17" s="8">
        <f t="shared" si="4"/>
        <v>1</v>
      </c>
      <c r="AC17" s="9">
        <f t="shared" si="5"/>
        <v>0.29166666666666669</v>
      </c>
      <c r="AD17" s="10">
        <f t="shared" si="6"/>
        <v>0.29166666666666669</v>
      </c>
      <c r="AE17" s="36">
        <f t="shared" si="7"/>
        <v>0.48529411764705882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/>
      <c r="E18" s="53" t="s">
        <v>301</v>
      </c>
      <c r="F18" s="30" t="s">
        <v>128</v>
      </c>
      <c r="G18" s="12">
        <v>1</v>
      </c>
      <c r="H18" s="13">
        <v>24</v>
      </c>
      <c r="I18" s="7">
        <v>5400</v>
      </c>
      <c r="J18" s="14">
        <v>3740</v>
      </c>
      <c r="K18" s="15">
        <f>L18+2945+3740</f>
        <v>6685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0.48529411764705882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115</v>
      </c>
      <c r="E19" s="53" t="s">
        <v>467</v>
      </c>
      <c r="F19" s="30" t="s">
        <v>129</v>
      </c>
      <c r="G19" s="33">
        <v>1</v>
      </c>
      <c r="H19" s="35">
        <v>24</v>
      </c>
      <c r="I19" s="7">
        <v>23400</v>
      </c>
      <c r="J19" s="14">
        <v>5841</v>
      </c>
      <c r="K19" s="15">
        <f>L19+783+4509+5580</f>
        <v>16713</v>
      </c>
      <c r="L19" s="15">
        <f>2927+2914</f>
        <v>5841</v>
      </c>
      <c r="M19" s="15">
        <f t="shared" si="0"/>
        <v>5841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0.48529411764705882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118</v>
      </c>
      <c r="D20" s="52" t="s">
        <v>135</v>
      </c>
      <c r="E20" s="53" t="s">
        <v>507</v>
      </c>
      <c r="F20" s="30" t="s">
        <v>153</v>
      </c>
      <c r="G20" s="33">
        <v>1</v>
      </c>
      <c r="H20" s="35">
        <v>24</v>
      </c>
      <c r="I20" s="7">
        <v>500</v>
      </c>
      <c r="J20" s="14">
        <v>1050</v>
      </c>
      <c r="K20" s="15">
        <f>L20+1050</f>
        <v>1050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24</v>
      </c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0.48529411764705882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326</v>
      </c>
      <c r="E21" s="53" t="s">
        <v>388</v>
      </c>
      <c r="F21" s="30" t="s">
        <v>244</v>
      </c>
      <c r="G21" s="12">
        <v>1</v>
      </c>
      <c r="H21" s="13">
        <v>24</v>
      </c>
      <c r="I21" s="7">
        <v>500</v>
      </c>
      <c r="J21" s="14">
        <v>530</v>
      </c>
      <c r="K21" s="15">
        <f>L21+530</f>
        <v>530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/>
      <c r="X21" s="16"/>
      <c r="Y21" s="16"/>
      <c r="Z21" s="16"/>
      <c r="AA21" s="18">
        <v>24</v>
      </c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0.48529411764705882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346</v>
      </c>
      <c r="F22" s="12" t="s">
        <v>114</v>
      </c>
      <c r="G22" s="12">
        <v>3</v>
      </c>
      <c r="H22" s="35">
        <v>20</v>
      </c>
      <c r="I22" s="7">
        <v>1000000</v>
      </c>
      <c r="J22" s="14">
        <v>75408</v>
      </c>
      <c r="K22" s="15">
        <f>L22+28316+74820+71924+69164+75560+75632+75472+75276+75604+67592</f>
        <v>764768</v>
      </c>
      <c r="L22" s="15">
        <f>9412*4+9440*4</f>
        <v>75408</v>
      </c>
      <c r="M22" s="15">
        <f t="shared" si="0"/>
        <v>75408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0.48529411764705882</v>
      </c>
      <c r="AF22" s="84">
        <f t="shared" si="8"/>
        <v>16</v>
      </c>
    </row>
    <row r="23" spans="1:32" ht="31.5" customHeight="1" thickBot="1">
      <c r="A23" s="408" t="s">
        <v>34</v>
      </c>
      <c r="B23" s="409"/>
      <c r="C23" s="409"/>
      <c r="D23" s="409"/>
      <c r="E23" s="409"/>
      <c r="F23" s="409"/>
      <c r="G23" s="409"/>
      <c r="H23" s="410"/>
      <c r="I23" s="22">
        <f t="shared" ref="I23:N23" si="17">SUM(I6:I22)</f>
        <v>1488600</v>
      </c>
      <c r="J23" s="19">
        <f t="shared" si="17"/>
        <v>169400</v>
      </c>
      <c r="K23" s="20">
        <f t="shared" si="17"/>
        <v>1336876</v>
      </c>
      <c r="L23" s="21">
        <f t="shared" si="17"/>
        <v>162531</v>
      </c>
      <c r="M23" s="20">
        <f t="shared" si="17"/>
        <v>162531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198</v>
      </c>
      <c r="Q23" s="43">
        <f t="shared" si="18"/>
        <v>210</v>
      </c>
      <c r="R23" s="23">
        <f t="shared" si="18"/>
        <v>20</v>
      </c>
      <c r="S23" s="24">
        <f t="shared" si="18"/>
        <v>36</v>
      </c>
      <c r="T23" s="24">
        <f t="shared" si="18"/>
        <v>8</v>
      </c>
      <c r="U23" s="24">
        <f t="shared" si="18"/>
        <v>0</v>
      </c>
      <c r="V23" s="25">
        <f t="shared" si="18"/>
        <v>24</v>
      </c>
      <c r="W23" s="26">
        <f t="shared" si="18"/>
        <v>46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76</v>
      </c>
      <c r="AB23" s="28">
        <f>AVERAGE(AB6:AB22)</f>
        <v>0.70588235294117652</v>
      </c>
      <c r="AC23" s="4">
        <f>AVERAGE(AC6:AC22)</f>
        <v>0.48529411764705882</v>
      </c>
      <c r="AD23" s="4">
        <f>AVERAGE(AD6:AD22)</f>
        <v>0.48529411764705882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11" t="s">
        <v>45</v>
      </c>
      <c r="B50" s="411"/>
      <c r="C50" s="411"/>
      <c r="D50" s="411"/>
      <c r="E50" s="411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12" t="s">
        <v>522</v>
      </c>
      <c r="B51" s="413"/>
      <c r="C51" s="413"/>
      <c r="D51" s="413"/>
      <c r="E51" s="413"/>
      <c r="F51" s="413"/>
      <c r="G51" s="413"/>
      <c r="H51" s="413"/>
      <c r="I51" s="413"/>
      <c r="J51" s="413"/>
      <c r="K51" s="413"/>
      <c r="L51" s="413"/>
      <c r="M51" s="414"/>
      <c r="N51" s="415" t="s">
        <v>526</v>
      </c>
      <c r="O51" s="416"/>
      <c r="P51" s="416"/>
      <c r="Q51" s="416"/>
      <c r="R51" s="416"/>
      <c r="S51" s="416"/>
      <c r="T51" s="416"/>
      <c r="U51" s="416"/>
      <c r="V51" s="416"/>
      <c r="W51" s="416"/>
      <c r="X51" s="416"/>
      <c r="Y51" s="416"/>
      <c r="Z51" s="416"/>
      <c r="AA51" s="416"/>
      <c r="AB51" s="416"/>
      <c r="AC51" s="416"/>
      <c r="AD51" s="417"/>
    </row>
    <row r="52" spans="1:32" ht="27" customHeight="1">
      <c r="A52" s="418" t="s">
        <v>2</v>
      </c>
      <c r="B52" s="419"/>
      <c r="C52" s="340" t="s">
        <v>46</v>
      </c>
      <c r="D52" s="340" t="s">
        <v>47</v>
      </c>
      <c r="E52" s="340" t="s">
        <v>107</v>
      </c>
      <c r="F52" s="420" t="s">
        <v>106</v>
      </c>
      <c r="G52" s="421"/>
      <c r="H52" s="421"/>
      <c r="I52" s="421"/>
      <c r="J52" s="421"/>
      <c r="K52" s="421"/>
      <c r="L52" s="421"/>
      <c r="M52" s="422"/>
      <c r="N52" s="67" t="s">
        <v>110</v>
      </c>
      <c r="O52" s="340" t="s">
        <v>46</v>
      </c>
      <c r="P52" s="420" t="s">
        <v>47</v>
      </c>
      <c r="Q52" s="423"/>
      <c r="R52" s="420" t="s">
        <v>38</v>
      </c>
      <c r="S52" s="421"/>
      <c r="T52" s="421"/>
      <c r="U52" s="423"/>
      <c r="V52" s="420" t="s">
        <v>48</v>
      </c>
      <c r="W52" s="421"/>
      <c r="X52" s="421"/>
      <c r="Y52" s="421"/>
      <c r="Z52" s="421"/>
      <c r="AA52" s="421"/>
      <c r="AB52" s="421"/>
      <c r="AC52" s="421"/>
      <c r="AD52" s="422"/>
    </row>
    <row r="53" spans="1:32" ht="27" customHeight="1">
      <c r="A53" s="434" t="s">
        <v>139</v>
      </c>
      <c r="B53" s="435"/>
      <c r="C53" s="336" t="s">
        <v>250</v>
      </c>
      <c r="D53" s="336" t="s">
        <v>355</v>
      </c>
      <c r="E53" s="336" t="s">
        <v>519</v>
      </c>
      <c r="F53" s="436" t="s">
        <v>375</v>
      </c>
      <c r="G53" s="437"/>
      <c r="H53" s="437"/>
      <c r="I53" s="437"/>
      <c r="J53" s="437"/>
      <c r="K53" s="437"/>
      <c r="L53" s="437"/>
      <c r="M53" s="438"/>
      <c r="N53" s="339" t="s">
        <v>112</v>
      </c>
      <c r="O53" s="333" t="s">
        <v>208</v>
      </c>
      <c r="P53" s="439" t="s">
        <v>115</v>
      </c>
      <c r="Q53" s="440"/>
      <c r="R53" s="439" t="s">
        <v>496</v>
      </c>
      <c r="S53" s="441"/>
      <c r="T53" s="441"/>
      <c r="U53" s="440"/>
      <c r="V53" s="442" t="s">
        <v>527</v>
      </c>
      <c r="W53" s="442"/>
      <c r="X53" s="442"/>
      <c r="Y53" s="442"/>
      <c r="Z53" s="442"/>
      <c r="AA53" s="442"/>
      <c r="AB53" s="442"/>
      <c r="AC53" s="442"/>
      <c r="AD53" s="443"/>
    </row>
    <row r="54" spans="1:32" ht="27" customHeight="1">
      <c r="A54" s="434" t="s">
        <v>112</v>
      </c>
      <c r="B54" s="435"/>
      <c r="C54" s="336" t="s">
        <v>190</v>
      </c>
      <c r="D54" s="336" t="s">
        <v>508</v>
      </c>
      <c r="E54" s="336" t="s">
        <v>496</v>
      </c>
      <c r="F54" s="436" t="s">
        <v>523</v>
      </c>
      <c r="G54" s="437"/>
      <c r="H54" s="437"/>
      <c r="I54" s="437"/>
      <c r="J54" s="437"/>
      <c r="K54" s="437"/>
      <c r="L54" s="437"/>
      <c r="M54" s="438"/>
      <c r="N54" s="339" t="s">
        <v>112</v>
      </c>
      <c r="O54" s="333" t="s">
        <v>250</v>
      </c>
      <c r="P54" s="439" t="s">
        <v>251</v>
      </c>
      <c r="Q54" s="440"/>
      <c r="R54" s="439" t="s">
        <v>429</v>
      </c>
      <c r="S54" s="441"/>
      <c r="T54" s="441"/>
      <c r="U54" s="440"/>
      <c r="V54" s="442" t="s">
        <v>138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118</v>
      </c>
      <c r="B55" s="435"/>
      <c r="C55" s="336" t="s">
        <v>357</v>
      </c>
      <c r="D55" s="336" t="s">
        <v>130</v>
      </c>
      <c r="E55" s="336" t="s">
        <v>520</v>
      </c>
      <c r="F55" s="436" t="s">
        <v>138</v>
      </c>
      <c r="G55" s="437"/>
      <c r="H55" s="437"/>
      <c r="I55" s="437"/>
      <c r="J55" s="437"/>
      <c r="K55" s="437"/>
      <c r="L55" s="437"/>
      <c r="M55" s="438"/>
      <c r="N55" s="339" t="s">
        <v>112</v>
      </c>
      <c r="O55" s="333" t="s">
        <v>141</v>
      </c>
      <c r="P55" s="439" t="s">
        <v>211</v>
      </c>
      <c r="Q55" s="440"/>
      <c r="R55" s="439" t="s">
        <v>513</v>
      </c>
      <c r="S55" s="441"/>
      <c r="T55" s="441"/>
      <c r="U55" s="440"/>
      <c r="V55" s="442" t="s">
        <v>445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139</v>
      </c>
      <c r="B56" s="435"/>
      <c r="C56" s="336" t="s">
        <v>141</v>
      </c>
      <c r="D56" s="336" t="s">
        <v>162</v>
      </c>
      <c r="E56" s="336" t="s">
        <v>524</v>
      </c>
      <c r="F56" s="436" t="s">
        <v>138</v>
      </c>
      <c r="G56" s="437"/>
      <c r="H56" s="437"/>
      <c r="I56" s="437"/>
      <c r="J56" s="437"/>
      <c r="K56" s="437"/>
      <c r="L56" s="437"/>
      <c r="M56" s="438"/>
      <c r="N56" s="339" t="s">
        <v>139</v>
      </c>
      <c r="O56" s="333" t="s">
        <v>190</v>
      </c>
      <c r="P56" s="439" t="s">
        <v>115</v>
      </c>
      <c r="Q56" s="440"/>
      <c r="R56" s="439" t="s">
        <v>442</v>
      </c>
      <c r="S56" s="441"/>
      <c r="T56" s="441"/>
      <c r="U56" s="440"/>
      <c r="V56" s="442" t="s">
        <v>445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57" t="s">
        <v>112</v>
      </c>
      <c r="B57" s="458"/>
      <c r="C57" s="335" t="s">
        <v>219</v>
      </c>
      <c r="D57" s="335" t="s">
        <v>115</v>
      </c>
      <c r="E57" s="336" t="s">
        <v>505</v>
      </c>
      <c r="F57" s="436" t="s">
        <v>525</v>
      </c>
      <c r="G57" s="437"/>
      <c r="H57" s="437"/>
      <c r="I57" s="437"/>
      <c r="J57" s="437"/>
      <c r="K57" s="437"/>
      <c r="L57" s="437"/>
      <c r="M57" s="438"/>
      <c r="N57" s="339" t="s">
        <v>139</v>
      </c>
      <c r="O57" s="333" t="s">
        <v>198</v>
      </c>
      <c r="P57" s="439" t="s">
        <v>130</v>
      </c>
      <c r="Q57" s="440"/>
      <c r="R57" s="439" t="s">
        <v>528</v>
      </c>
      <c r="S57" s="441"/>
      <c r="T57" s="441"/>
      <c r="U57" s="440"/>
      <c r="V57" s="442" t="s">
        <v>445</v>
      </c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/>
      <c r="B58" s="435"/>
      <c r="C58" s="336"/>
      <c r="D58" s="336"/>
      <c r="E58" s="336"/>
      <c r="F58" s="436"/>
      <c r="G58" s="437"/>
      <c r="H58" s="437"/>
      <c r="I58" s="437"/>
      <c r="J58" s="437"/>
      <c r="K58" s="437"/>
      <c r="L58" s="437"/>
      <c r="M58" s="438"/>
      <c r="N58" s="339" t="s">
        <v>118</v>
      </c>
      <c r="O58" s="333" t="s">
        <v>204</v>
      </c>
      <c r="P58" s="439" t="s">
        <v>216</v>
      </c>
      <c r="Q58" s="440"/>
      <c r="R58" s="439" t="s">
        <v>529</v>
      </c>
      <c r="S58" s="441"/>
      <c r="T58" s="441"/>
      <c r="U58" s="440"/>
      <c r="V58" s="442" t="s">
        <v>138</v>
      </c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/>
      <c r="B59" s="435"/>
      <c r="C59" s="336"/>
      <c r="D59" s="336"/>
      <c r="E59" s="336"/>
      <c r="F59" s="436"/>
      <c r="G59" s="437"/>
      <c r="H59" s="437"/>
      <c r="I59" s="437"/>
      <c r="J59" s="437"/>
      <c r="K59" s="437"/>
      <c r="L59" s="437"/>
      <c r="M59" s="438"/>
      <c r="N59" s="339"/>
      <c r="O59" s="333"/>
      <c r="P59" s="439"/>
      <c r="Q59" s="440"/>
      <c r="R59" s="439"/>
      <c r="S59" s="441"/>
      <c r="T59" s="441"/>
      <c r="U59" s="440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57"/>
      <c r="B60" s="458"/>
      <c r="C60" s="335"/>
      <c r="D60" s="335"/>
      <c r="E60" s="336"/>
      <c r="F60" s="436"/>
      <c r="G60" s="437"/>
      <c r="H60" s="437"/>
      <c r="I60" s="437"/>
      <c r="J60" s="437"/>
      <c r="K60" s="437"/>
      <c r="L60" s="437"/>
      <c r="M60" s="438"/>
      <c r="N60" s="339"/>
      <c r="O60" s="333"/>
      <c r="P60" s="439"/>
      <c r="Q60" s="440"/>
      <c r="R60" s="435"/>
      <c r="S60" s="435"/>
      <c r="T60" s="435"/>
      <c r="U60" s="435"/>
      <c r="V60" s="442"/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57"/>
      <c r="B61" s="458"/>
      <c r="C61" s="335"/>
      <c r="D61" s="335"/>
      <c r="E61" s="336"/>
      <c r="F61" s="436"/>
      <c r="G61" s="437"/>
      <c r="H61" s="437"/>
      <c r="I61" s="437"/>
      <c r="J61" s="437"/>
      <c r="K61" s="437"/>
      <c r="L61" s="437"/>
      <c r="M61" s="438"/>
      <c r="N61" s="339"/>
      <c r="O61" s="333"/>
      <c r="P61" s="435"/>
      <c r="Q61" s="435"/>
      <c r="R61" s="435"/>
      <c r="S61" s="435"/>
      <c r="T61" s="435"/>
      <c r="U61" s="435"/>
      <c r="V61" s="442"/>
      <c r="W61" s="442"/>
      <c r="X61" s="442"/>
      <c r="Y61" s="442"/>
      <c r="Z61" s="442"/>
      <c r="AA61" s="442"/>
      <c r="AB61" s="442"/>
      <c r="AC61" s="442"/>
      <c r="AD61" s="443"/>
      <c r="AF61" s="84">
        <f>8*3000</f>
        <v>24000</v>
      </c>
    </row>
    <row r="62" spans="1:32" ht="27" customHeight="1" thickBot="1">
      <c r="A62" s="444"/>
      <c r="B62" s="445"/>
      <c r="C62" s="337"/>
      <c r="D62" s="338"/>
      <c r="E62" s="337"/>
      <c r="F62" s="446"/>
      <c r="G62" s="447"/>
      <c r="H62" s="447"/>
      <c r="I62" s="447"/>
      <c r="J62" s="447"/>
      <c r="K62" s="447"/>
      <c r="L62" s="447"/>
      <c r="M62" s="448"/>
      <c r="N62" s="111"/>
      <c r="O62" s="103"/>
      <c r="P62" s="449"/>
      <c r="Q62" s="449"/>
      <c r="R62" s="449"/>
      <c r="S62" s="449"/>
      <c r="T62" s="449"/>
      <c r="U62" s="449"/>
      <c r="V62" s="450"/>
      <c r="W62" s="450"/>
      <c r="X62" s="450"/>
      <c r="Y62" s="450"/>
      <c r="Z62" s="450"/>
      <c r="AA62" s="450"/>
      <c r="AB62" s="450"/>
      <c r="AC62" s="450"/>
      <c r="AD62" s="451"/>
      <c r="AF62" s="84">
        <f>16*3000</f>
        <v>48000</v>
      </c>
    </row>
    <row r="63" spans="1:32" ht="27.75" thickBot="1">
      <c r="A63" s="452" t="s">
        <v>530</v>
      </c>
      <c r="B63" s="452"/>
      <c r="C63" s="452"/>
      <c r="D63" s="452"/>
      <c r="E63" s="45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3" t="s">
        <v>111</v>
      </c>
      <c r="B64" s="454"/>
      <c r="C64" s="334" t="s">
        <v>2</v>
      </c>
      <c r="D64" s="334" t="s">
        <v>37</v>
      </c>
      <c r="E64" s="334" t="s">
        <v>3</v>
      </c>
      <c r="F64" s="454" t="s">
        <v>109</v>
      </c>
      <c r="G64" s="454"/>
      <c r="H64" s="454"/>
      <c r="I64" s="454"/>
      <c r="J64" s="454"/>
      <c r="K64" s="454" t="s">
        <v>39</v>
      </c>
      <c r="L64" s="454"/>
      <c r="M64" s="334" t="s">
        <v>40</v>
      </c>
      <c r="N64" s="454" t="s">
        <v>41</v>
      </c>
      <c r="O64" s="454"/>
      <c r="P64" s="455" t="s">
        <v>42</v>
      </c>
      <c r="Q64" s="456"/>
      <c r="R64" s="455" t="s">
        <v>43</v>
      </c>
      <c r="S64" s="459"/>
      <c r="T64" s="459"/>
      <c r="U64" s="459"/>
      <c r="V64" s="459"/>
      <c r="W64" s="459"/>
      <c r="X64" s="459"/>
      <c r="Y64" s="459"/>
      <c r="Z64" s="459"/>
      <c r="AA64" s="456"/>
      <c r="AB64" s="454" t="s">
        <v>44</v>
      </c>
      <c r="AC64" s="454"/>
      <c r="AD64" s="460"/>
      <c r="AF64" s="84">
        <f>SUM(AF61:AF63)</f>
        <v>96000</v>
      </c>
    </row>
    <row r="65" spans="1:32" ht="25.5" customHeight="1">
      <c r="A65" s="461">
        <v>1</v>
      </c>
      <c r="B65" s="462"/>
      <c r="C65" s="104" t="s">
        <v>112</v>
      </c>
      <c r="D65" s="329"/>
      <c r="E65" s="332" t="s">
        <v>212</v>
      </c>
      <c r="F65" s="463" t="s">
        <v>476</v>
      </c>
      <c r="G65" s="464"/>
      <c r="H65" s="464"/>
      <c r="I65" s="464"/>
      <c r="J65" s="465"/>
      <c r="K65" s="466" t="s">
        <v>132</v>
      </c>
      <c r="L65" s="466"/>
      <c r="M65" s="51" t="s">
        <v>379</v>
      </c>
      <c r="N65" s="467" t="s">
        <v>250</v>
      </c>
      <c r="O65" s="467"/>
      <c r="P65" s="468">
        <v>50</v>
      </c>
      <c r="Q65" s="468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66"/>
      <c r="AC65" s="466"/>
      <c r="AD65" s="469"/>
      <c r="AF65" s="50"/>
    </row>
    <row r="66" spans="1:32" ht="25.5" customHeight="1">
      <c r="A66" s="461">
        <v>2</v>
      </c>
      <c r="B66" s="462"/>
      <c r="C66" s="104" t="s">
        <v>112</v>
      </c>
      <c r="D66" s="329"/>
      <c r="E66" s="332" t="s">
        <v>211</v>
      </c>
      <c r="F66" s="463" t="s">
        <v>513</v>
      </c>
      <c r="G66" s="464"/>
      <c r="H66" s="464"/>
      <c r="I66" s="464"/>
      <c r="J66" s="465"/>
      <c r="K66" s="466" t="s">
        <v>131</v>
      </c>
      <c r="L66" s="466"/>
      <c r="M66" s="51" t="s">
        <v>230</v>
      </c>
      <c r="N66" s="467" t="s">
        <v>141</v>
      </c>
      <c r="O66" s="467"/>
      <c r="P66" s="468"/>
      <c r="Q66" s="468"/>
      <c r="R66" s="442" t="s">
        <v>531</v>
      </c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3</v>
      </c>
      <c r="B67" s="462"/>
      <c r="C67" s="104" t="s">
        <v>112</v>
      </c>
      <c r="D67" s="329"/>
      <c r="E67" s="332" t="s">
        <v>174</v>
      </c>
      <c r="F67" s="463" t="s">
        <v>515</v>
      </c>
      <c r="G67" s="464"/>
      <c r="H67" s="464"/>
      <c r="I67" s="464"/>
      <c r="J67" s="465"/>
      <c r="K67" s="466" t="s">
        <v>339</v>
      </c>
      <c r="L67" s="466"/>
      <c r="M67" s="51" t="s">
        <v>379</v>
      </c>
      <c r="N67" s="467" t="s">
        <v>201</v>
      </c>
      <c r="O67" s="467"/>
      <c r="P67" s="468">
        <v>50</v>
      </c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4</v>
      </c>
      <c r="B68" s="462"/>
      <c r="C68" s="104" t="s">
        <v>118</v>
      </c>
      <c r="D68" s="329"/>
      <c r="E68" s="332" t="s">
        <v>117</v>
      </c>
      <c r="F68" s="463">
        <v>3044110</v>
      </c>
      <c r="G68" s="464"/>
      <c r="H68" s="464"/>
      <c r="I68" s="464"/>
      <c r="J68" s="465"/>
      <c r="K68" s="466">
        <v>7301</v>
      </c>
      <c r="L68" s="466"/>
      <c r="M68" s="51" t="s">
        <v>340</v>
      </c>
      <c r="N68" s="467" t="s">
        <v>201</v>
      </c>
      <c r="O68" s="467"/>
      <c r="P68" s="468">
        <v>50</v>
      </c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5</v>
      </c>
      <c r="B69" s="462"/>
      <c r="C69" s="104" t="s">
        <v>112</v>
      </c>
      <c r="D69" s="329"/>
      <c r="E69" s="332" t="s">
        <v>115</v>
      </c>
      <c r="F69" s="463" t="s">
        <v>532</v>
      </c>
      <c r="G69" s="464"/>
      <c r="H69" s="464"/>
      <c r="I69" s="464"/>
      <c r="J69" s="465"/>
      <c r="K69" s="466" t="s">
        <v>147</v>
      </c>
      <c r="L69" s="466"/>
      <c r="M69" s="51" t="s">
        <v>379</v>
      </c>
      <c r="N69" s="467" t="s">
        <v>208</v>
      </c>
      <c r="O69" s="467"/>
      <c r="P69" s="468">
        <v>100</v>
      </c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6</v>
      </c>
      <c r="B70" s="462"/>
      <c r="C70" s="104"/>
      <c r="D70" s="329"/>
      <c r="E70" s="332"/>
      <c r="F70" s="463"/>
      <c r="G70" s="464"/>
      <c r="H70" s="464"/>
      <c r="I70" s="464"/>
      <c r="J70" s="465"/>
      <c r="K70" s="466"/>
      <c r="L70" s="466"/>
      <c r="M70" s="51"/>
      <c r="N70" s="467"/>
      <c r="O70" s="467"/>
      <c r="P70" s="468"/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7</v>
      </c>
      <c r="B71" s="462"/>
      <c r="C71" s="104"/>
      <c r="D71" s="329"/>
      <c r="E71" s="332"/>
      <c r="F71" s="463"/>
      <c r="G71" s="464"/>
      <c r="H71" s="464"/>
      <c r="I71" s="464"/>
      <c r="J71" s="465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8</v>
      </c>
      <c r="B72" s="462"/>
      <c r="C72" s="104"/>
      <c r="D72" s="329"/>
      <c r="E72" s="332"/>
      <c r="F72" s="470"/>
      <c r="G72" s="466"/>
      <c r="H72" s="466"/>
      <c r="I72" s="466"/>
      <c r="J72" s="466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9</v>
      </c>
      <c r="B73" s="462"/>
      <c r="C73" s="104"/>
      <c r="D73" s="329"/>
      <c r="E73" s="332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10</v>
      </c>
      <c r="B74" s="462"/>
      <c r="C74" s="104"/>
      <c r="D74" s="329"/>
      <c r="E74" s="332"/>
      <c r="F74" s="470"/>
      <c r="G74" s="466"/>
      <c r="H74" s="466"/>
      <c r="I74" s="466"/>
      <c r="J74" s="466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6.25" customHeight="1" thickBot="1">
      <c r="A75" s="471" t="s">
        <v>533</v>
      </c>
      <c r="B75" s="471"/>
      <c r="C75" s="471"/>
      <c r="D75" s="471"/>
      <c r="E75" s="471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2" t="s">
        <v>126</v>
      </c>
      <c r="B76" s="473"/>
      <c r="C76" s="331" t="s">
        <v>2</v>
      </c>
      <c r="D76" s="331" t="s">
        <v>37</v>
      </c>
      <c r="E76" s="331" t="s">
        <v>125</v>
      </c>
      <c r="F76" s="473" t="s">
        <v>38</v>
      </c>
      <c r="G76" s="473"/>
      <c r="H76" s="473"/>
      <c r="I76" s="473"/>
      <c r="J76" s="473"/>
      <c r="K76" s="474" t="s">
        <v>58</v>
      </c>
      <c r="L76" s="475"/>
      <c r="M76" s="475"/>
      <c r="N76" s="475"/>
      <c r="O76" s="475"/>
      <c r="P76" s="475"/>
      <c r="Q76" s="475"/>
      <c r="R76" s="475"/>
      <c r="S76" s="476"/>
      <c r="T76" s="473" t="s">
        <v>49</v>
      </c>
      <c r="U76" s="473"/>
      <c r="V76" s="474" t="s">
        <v>50</v>
      </c>
      <c r="W76" s="476"/>
      <c r="X76" s="475" t="s">
        <v>51</v>
      </c>
      <c r="Y76" s="475"/>
      <c r="Z76" s="475"/>
      <c r="AA76" s="475"/>
      <c r="AB76" s="475"/>
      <c r="AC76" s="475"/>
      <c r="AD76" s="477"/>
      <c r="AF76" s="50"/>
    </row>
    <row r="77" spans="1:32" ht="33.75" customHeight="1">
      <c r="A77" s="486">
        <v>1</v>
      </c>
      <c r="B77" s="487"/>
      <c r="C77" s="330" t="s">
        <v>112</v>
      </c>
      <c r="D77" s="330"/>
      <c r="E77" s="65" t="s">
        <v>117</v>
      </c>
      <c r="F77" s="488" t="s">
        <v>116</v>
      </c>
      <c r="G77" s="489"/>
      <c r="H77" s="489"/>
      <c r="I77" s="489"/>
      <c r="J77" s="490"/>
      <c r="K77" s="491" t="s">
        <v>119</v>
      </c>
      <c r="L77" s="492"/>
      <c r="M77" s="492"/>
      <c r="N77" s="492"/>
      <c r="O77" s="492"/>
      <c r="P77" s="492"/>
      <c r="Q77" s="492"/>
      <c r="R77" s="492"/>
      <c r="S77" s="493"/>
      <c r="T77" s="494">
        <v>44118</v>
      </c>
      <c r="U77" s="495"/>
      <c r="V77" s="496"/>
      <c r="W77" s="496"/>
      <c r="X77" s="497"/>
      <c r="Y77" s="497"/>
      <c r="Z77" s="497"/>
      <c r="AA77" s="497"/>
      <c r="AB77" s="497"/>
      <c r="AC77" s="497"/>
      <c r="AD77" s="498"/>
      <c r="AF77" s="50"/>
    </row>
    <row r="78" spans="1:32" ht="30" customHeight="1">
      <c r="A78" s="478">
        <f>A77+1</f>
        <v>2</v>
      </c>
      <c r="B78" s="479"/>
      <c r="C78" s="329"/>
      <c r="D78" s="329"/>
      <c r="E78" s="32"/>
      <c r="F78" s="479"/>
      <c r="G78" s="479"/>
      <c r="H78" s="479"/>
      <c r="I78" s="479"/>
      <c r="J78" s="479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78">
        <f t="shared" ref="A79:A83" si="19">A78+1</f>
        <v>3</v>
      </c>
      <c r="B79" s="479"/>
      <c r="C79" s="329"/>
      <c r="D79" s="329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si="19"/>
        <v>4</v>
      </c>
      <c r="B80" s="479"/>
      <c r="C80" s="329"/>
      <c r="D80" s="329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19"/>
        <v>5</v>
      </c>
      <c r="B81" s="479"/>
      <c r="C81" s="329"/>
      <c r="D81" s="329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19"/>
        <v>6</v>
      </c>
      <c r="B82" s="479"/>
      <c r="C82" s="329"/>
      <c r="D82" s="329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19"/>
        <v>7</v>
      </c>
      <c r="B83" s="479"/>
      <c r="C83" s="329"/>
      <c r="D83" s="329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1" t="s">
        <v>534</v>
      </c>
      <c r="B84" s="471"/>
      <c r="C84" s="471"/>
      <c r="D84" s="471"/>
      <c r="E84" s="471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2" t="s">
        <v>111</v>
      </c>
      <c r="B85" s="473"/>
      <c r="C85" s="499" t="s">
        <v>52</v>
      </c>
      <c r="D85" s="499"/>
      <c r="E85" s="499" t="s">
        <v>53</v>
      </c>
      <c r="F85" s="499"/>
      <c r="G85" s="499"/>
      <c r="H85" s="499"/>
      <c r="I85" s="499"/>
      <c r="J85" s="499"/>
      <c r="K85" s="499" t="s">
        <v>54</v>
      </c>
      <c r="L85" s="499"/>
      <c r="M85" s="499"/>
      <c r="N85" s="499"/>
      <c r="O85" s="499"/>
      <c r="P85" s="499"/>
      <c r="Q85" s="499"/>
      <c r="R85" s="499"/>
      <c r="S85" s="499"/>
      <c r="T85" s="499" t="s">
        <v>55</v>
      </c>
      <c r="U85" s="499"/>
      <c r="V85" s="499" t="s">
        <v>56</v>
      </c>
      <c r="W85" s="499"/>
      <c r="X85" s="499"/>
      <c r="Y85" s="499" t="s">
        <v>51</v>
      </c>
      <c r="Z85" s="499"/>
      <c r="AA85" s="499"/>
      <c r="AB85" s="499"/>
      <c r="AC85" s="499"/>
      <c r="AD85" s="500"/>
      <c r="AF85" s="50"/>
    </row>
    <row r="86" spans="1:32" ht="30.75" customHeight="1">
      <c r="A86" s="486">
        <v>1</v>
      </c>
      <c r="B86" s="487"/>
      <c r="C86" s="501">
        <v>9</v>
      </c>
      <c r="D86" s="501"/>
      <c r="E86" s="501" t="s">
        <v>149</v>
      </c>
      <c r="F86" s="501"/>
      <c r="G86" s="501"/>
      <c r="H86" s="501"/>
      <c r="I86" s="501"/>
      <c r="J86" s="501"/>
      <c r="K86" s="501" t="s">
        <v>462</v>
      </c>
      <c r="L86" s="501"/>
      <c r="M86" s="501"/>
      <c r="N86" s="501"/>
      <c r="O86" s="501"/>
      <c r="P86" s="501"/>
      <c r="Q86" s="501"/>
      <c r="R86" s="501"/>
      <c r="S86" s="501"/>
      <c r="T86" s="501" t="s">
        <v>151</v>
      </c>
      <c r="U86" s="501"/>
      <c r="V86" s="502" t="s">
        <v>265</v>
      </c>
      <c r="W86" s="502"/>
      <c r="X86" s="502"/>
      <c r="Y86" s="503"/>
      <c r="Z86" s="503"/>
      <c r="AA86" s="503"/>
      <c r="AB86" s="503"/>
      <c r="AC86" s="503"/>
      <c r="AD86" s="504"/>
      <c r="AF86" s="50"/>
    </row>
    <row r="87" spans="1:32" ht="30.75" customHeight="1">
      <c r="A87" s="478">
        <v>2</v>
      </c>
      <c r="B87" s="479"/>
      <c r="C87" s="512"/>
      <c r="D87" s="512"/>
      <c r="E87" s="512"/>
      <c r="F87" s="512"/>
      <c r="G87" s="512"/>
      <c r="H87" s="512"/>
      <c r="I87" s="512"/>
      <c r="J87" s="512"/>
      <c r="K87" s="512"/>
      <c r="L87" s="512"/>
      <c r="M87" s="512"/>
      <c r="N87" s="512"/>
      <c r="O87" s="512"/>
      <c r="P87" s="512"/>
      <c r="Q87" s="512"/>
      <c r="R87" s="512"/>
      <c r="S87" s="512"/>
      <c r="T87" s="513"/>
      <c r="U87" s="513"/>
      <c r="V87" s="514"/>
      <c r="W87" s="514"/>
      <c r="X87" s="514"/>
      <c r="Y87" s="505"/>
      <c r="Z87" s="505"/>
      <c r="AA87" s="505"/>
      <c r="AB87" s="505"/>
      <c r="AC87" s="505"/>
      <c r="AD87" s="506"/>
      <c r="AF87" s="50"/>
    </row>
    <row r="88" spans="1:32" ht="30.75" customHeight="1" thickBot="1">
      <c r="A88" s="507">
        <v>3</v>
      </c>
      <c r="B88" s="508"/>
      <c r="C88" s="509"/>
      <c r="D88" s="509"/>
      <c r="E88" s="509"/>
      <c r="F88" s="509"/>
      <c r="G88" s="509"/>
      <c r="H88" s="509"/>
      <c r="I88" s="509"/>
      <c r="J88" s="509"/>
      <c r="K88" s="509"/>
      <c r="L88" s="509"/>
      <c r="M88" s="509"/>
      <c r="N88" s="509"/>
      <c r="O88" s="509"/>
      <c r="P88" s="509"/>
      <c r="Q88" s="509"/>
      <c r="R88" s="509"/>
      <c r="S88" s="509"/>
      <c r="T88" s="509"/>
      <c r="U88" s="509"/>
      <c r="V88" s="509"/>
      <c r="W88" s="509"/>
      <c r="X88" s="509"/>
      <c r="Y88" s="510"/>
      <c r="Z88" s="510"/>
      <c r="AA88" s="510"/>
      <c r="AB88" s="510"/>
      <c r="AC88" s="510"/>
      <c r="AD88" s="511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2BA3-18BC-4CC6-877C-CFB5C0942DBA}">
  <dimension ref="A1:AF89"/>
  <sheetViews>
    <sheetView view="pageBreakPreview" zoomScale="70" zoomScaleNormal="72" zoomScaleSheetLayoutView="70" workbookViewId="0">
      <selection activeCell="K83" sqref="K83:S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535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342" t="s">
        <v>17</v>
      </c>
      <c r="L5" s="342" t="s">
        <v>18</v>
      </c>
      <c r="M5" s="342" t="s">
        <v>19</v>
      </c>
      <c r="N5" s="34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536</v>
      </c>
      <c r="E6" s="53" t="s">
        <v>429</v>
      </c>
      <c r="F6" s="30" t="s">
        <v>132</v>
      </c>
      <c r="G6" s="12">
        <v>1</v>
      </c>
      <c r="H6" s="13">
        <v>24</v>
      </c>
      <c r="I6" s="31">
        <v>1000</v>
      </c>
      <c r="J6" s="14">
        <v>1136</v>
      </c>
      <c r="K6" s="15">
        <f>L6</f>
        <v>1136</v>
      </c>
      <c r="L6" s="15">
        <f>1136</f>
        <v>1136</v>
      </c>
      <c r="M6" s="15">
        <f t="shared" ref="M6:M23" si="0">L6-N6</f>
        <v>1136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6</v>
      </c>
      <c r="Q6" s="40">
        <f t="shared" ref="Q6:Q23" si="3">SUM(R6:AA6)</f>
        <v>18</v>
      </c>
      <c r="R6" s="7"/>
      <c r="S6" s="6"/>
      <c r="T6" s="16"/>
      <c r="U6" s="16"/>
      <c r="V6" s="17"/>
      <c r="W6" s="5">
        <v>18</v>
      </c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0.25</v>
      </c>
      <c r="AD6" s="10">
        <f t="shared" ref="AD6:AD23" si="6">AC6*AB6*(1-O6)</f>
        <v>0.25</v>
      </c>
      <c r="AE6" s="36">
        <f t="shared" ref="AE6:AE23" si="7">$AD$24</f>
        <v>0.55787037037037046</v>
      </c>
      <c r="AF6" s="84">
        <f t="shared" ref="AF6:AF23" si="8">A6</f>
        <v>1</v>
      </c>
    </row>
    <row r="7" spans="1:32" ht="27" customHeight="1">
      <c r="A7" s="112">
        <v>1</v>
      </c>
      <c r="B7" s="11" t="s">
        <v>57</v>
      </c>
      <c r="C7" s="34" t="s">
        <v>118</v>
      </c>
      <c r="D7" s="52" t="s">
        <v>212</v>
      </c>
      <c r="E7" s="53" t="s">
        <v>274</v>
      </c>
      <c r="F7" s="30" t="s">
        <v>242</v>
      </c>
      <c r="G7" s="12">
        <v>2</v>
      </c>
      <c r="H7" s="13">
        <v>24</v>
      </c>
      <c r="I7" s="31">
        <v>1500</v>
      </c>
      <c r="J7" s="14">
        <v>2324</v>
      </c>
      <c r="K7" s="15">
        <f>L7</f>
        <v>2324</v>
      </c>
      <c r="L7" s="15">
        <f>1162*2</f>
        <v>2324</v>
      </c>
      <c r="M7" s="15">
        <f t="shared" si="0"/>
        <v>2324</v>
      </c>
      <c r="N7" s="15">
        <v>0</v>
      </c>
      <c r="O7" s="58">
        <f t="shared" si="1"/>
        <v>0</v>
      </c>
      <c r="P7" s="39">
        <f t="shared" si="2"/>
        <v>7</v>
      </c>
      <c r="Q7" s="40">
        <f t="shared" si="3"/>
        <v>17</v>
      </c>
      <c r="R7" s="7"/>
      <c r="S7" s="6"/>
      <c r="T7" s="16"/>
      <c r="U7" s="16"/>
      <c r="V7" s="17"/>
      <c r="W7" s="5">
        <v>17</v>
      </c>
      <c r="X7" s="16"/>
      <c r="Y7" s="16"/>
      <c r="Z7" s="16"/>
      <c r="AA7" s="18"/>
      <c r="AB7" s="8">
        <f t="shared" si="4"/>
        <v>1</v>
      </c>
      <c r="AC7" s="9">
        <f t="shared" si="5"/>
        <v>0.29166666666666669</v>
      </c>
      <c r="AD7" s="10">
        <f t="shared" si="6"/>
        <v>0.29166666666666669</v>
      </c>
      <c r="AE7" s="36">
        <f t="shared" si="7"/>
        <v>0.55787037037037046</v>
      </c>
      <c r="AF7" s="84">
        <f t="shared" si="8"/>
        <v>1</v>
      </c>
    </row>
    <row r="8" spans="1:32" ht="27" customHeight="1">
      <c r="A8" s="112">
        <v>2</v>
      </c>
      <c r="B8" s="11" t="s">
        <v>57</v>
      </c>
      <c r="C8" s="34" t="s">
        <v>118</v>
      </c>
      <c r="D8" s="52" t="s">
        <v>228</v>
      </c>
      <c r="E8" s="53" t="s">
        <v>299</v>
      </c>
      <c r="F8" s="30" t="s">
        <v>344</v>
      </c>
      <c r="G8" s="12">
        <v>4</v>
      </c>
      <c r="H8" s="13">
        <v>24</v>
      </c>
      <c r="I8" s="31">
        <v>130000</v>
      </c>
      <c r="J8" s="14">
        <v>22683</v>
      </c>
      <c r="K8" s="15">
        <f>L8+20667+13102+12272+13122+5600+15600+26484</f>
        <v>129530</v>
      </c>
      <c r="L8" s="15">
        <f>3233*3+3246*4</f>
        <v>22683</v>
      </c>
      <c r="M8" s="15">
        <f t="shared" si="0"/>
        <v>22683</v>
      </c>
      <c r="N8" s="15">
        <v>0</v>
      </c>
      <c r="O8" s="58">
        <f t="shared" si="1"/>
        <v>0</v>
      </c>
      <c r="P8" s="39">
        <f t="shared" si="2"/>
        <v>23</v>
      </c>
      <c r="Q8" s="40">
        <f t="shared" si="3"/>
        <v>1</v>
      </c>
      <c r="R8" s="7"/>
      <c r="S8" s="6">
        <v>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6">
        <f t="shared" si="7"/>
        <v>0.55787037037037046</v>
      </c>
      <c r="AF8" s="84">
        <f t="shared" si="8"/>
        <v>2</v>
      </c>
    </row>
    <row r="9" spans="1:32" ht="27" customHeight="1">
      <c r="A9" s="96">
        <v>3</v>
      </c>
      <c r="B9" s="11" t="s">
        <v>57</v>
      </c>
      <c r="C9" s="34" t="s">
        <v>139</v>
      </c>
      <c r="D9" s="52" t="s">
        <v>115</v>
      </c>
      <c r="E9" s="53" t="s">
        <v>442</v>
      </c>
      <c r="F9" s="30" t="s">
        <v>165</v>
      </c>
      <c r="G9" s="33">
        <v>1</v>
      </c>
      <c r="H9" s="35">
        <v>24</v>
      </c>
      <c r="I9" s="7">
        <v>2500</v>
      </c>
      <c r="J9" s="5">
        <v>2507</v>
      </c>
      <c r="K9" s="15">
        <f>L9</f>
        <v>2507</v>
      </c>
      <c r="L9" s="15">
        <f>2507</f>
        <v>2507</v>
      </c>
      <c r="M9" s="15">
        <f t="shared" si="0"/>
        <v>2507</v>
      </c>
      <c r="N9" s="15">
        <v>0</v>
      </c>
      <c r="O9" s="58">
        <f t="shared" si="1"/>
        <v>0</v>
      </c>
      <c r="P9" s="39">
        <f t="shared" si="2"/>
        <v>12</v>
      </c>
      <c r="Q9" s="40">
        <f t="shared" si="3"/>
        <v>12</v>
      </c>
      <c r="R9" s="7"/>
      <c r="S9" s="6">
        <v>12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0.5</v>
      </c>
      <c r="AD9" s="10">
        <f t="shared" si="6"/>
        <v>0.5</v>
      </c>
      <c r="AE9" s="36">
        <f t="shared" si="7"/>
        <v>0.55787037037037046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135</v>
      </c>
      <c r="E10" s="53" t="s">
        <v>134</v>
      </c>
      <c r="F10" s="30" t="s">
        <v>133</v>
      </c>
      <c r="G10" s="12">
        <v>1</v>
      </c>
      <c r="H10" s="13">
        <v>24</v>
      </c>
      <c r="I10" s="7">
        <v>50000</v>
      </c>
      <c r="J10" s="14">
        <v>5478</v>
      </c>
      <c r="K10" s="15">
        <f>L10+4441+5448+5546+5454+5474+5364+5279+1939+4542+4891+3967+5490+5482+5324+5398+4994+5489</f>
        <v>90000</v>
      </c>
      <c r="L10" s="15">
        <f>2752+2726</f>
        <v>5478</v>
      </c>
      <c r="M10" s="15">
        <f t="shared" si="0"/>
        <v>5478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0.55787037037037046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118</v>
      </c>
      <c r="D11" s="52" t="s">
        <v>135</v>
      </c>
      <c r="E11" s="53" t="s">
        <v>529</v>
      </c>
      <c r="F11" s="30" t="s">
        <v>244</v>
      </c>
      <c r="G11" s="33">
        <v>1</v>
      </c>
      <c r="H11" s="35">
        <v>24</v>
      </c>
      <c r="I11" s="7">
        <v>25000</v>
      </c>
      <c r="J11" s="14">
        <v>6258</v>
      </c>
      <c r="K11" s="15">
        <f>L11</f>
        <v>6258</v>
      </c>
      <c r="L11" s="15">
        <f>2951+3307</f>
        <v>6258</v>
      </c>
      <c r="M11" s="15">
        <f t="shared" si="0"/>
        <v>6258</v>
      </c>
      <c r="N11" s="15">
        <v>0</v>
      </c>
      <c r="O11" s="58">
        <f t="shared" si="1"/>
        <v>0</v>
      </c>
      <c r="P11" s="39">
        <f t="shared" si="2"/>
        <v>23</v>
      </c>
      <c r="Q11" s="40">
        <f t="shared" si="3"/>
        <v>1</v>
      </c>
      <c r="R11" s="7"/>
      <c r="S11" s="6"/>
      <c r="T11" s="16">
        <v>1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0.95833333333333337</v>
      </c>
      <c r="AD11" s="10">
        <f t="shared" si="6"/>
        <v>0.95833333333333337</v>
      </c>
      <c r="AE11" s="36">
        <f t="shared" si="7"/>
        <v>0.55787037037037046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118</v>
      </c>
      <c r="D12" s="52" t="s">
        <v>464</v>
      </c>
      <c r="E12" s="53" t="s">
        <v>465</v>
      </c>
      <c r="F12" s="30" t="s">
        <v>466</v>
      </c>
      <c r="G12" s="33">
        <v>16</v>
      </c>
      <c r="H12" s="35">
        <v>24</v>
      </c>
      <c r="I12" s="7">
        <v>100000</v>
      </c>
      <c r="J12" s="14">
        <v>15260</v>
      </c>
      <c r="K12" s="15">
        <f>L12+39816+90622+108136+15260</f>
        <v>253834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>
        <v>24</v>
      </c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0.55787037037037046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144</v>
      </c>
      <c r="F13" s="30" t="s">
        <v>145</v>
      </c>
      <c r="G13" s="12">
        <v>1</v>
      </c>
      <c r="H13" s="13">
        <v>22</v>
      </c>
      <c r="I13" s="31">
        <v>34000</v>
      </c>
      <c r="J13" s="5">
        <v>4981</v>
      </c>
      <c r="K13" s="15">
        <f>L13+5421</f>
        <v>10402</v>
      </c>
      <c r="L13" s="15">
        <f>2750+2231</f>
        <v>4981</v>
      </c>
      <c r="M13" s="15">
        <f t="shared" si="0"/>
        <v>4981</v>
      </c>
      <c r="N13" s="15">
        <v>0</v>
      </c>
      <c r="O13" s="58">
        <f t="shared" si="1"/>
        <v>0</v>
      </c>
      <c r="P13" s="39">
        <f t="shared" si="2"/>
        <v>22</v>
      </c>
      <c r="Q13" s="40">
        <f t="shared" si="3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0.91666666666666663</v>
      </c>
      <c r="AD13" s="10">
        <f t="shared" si="6"/>
        <v>0.91666666666666663</v>
      </c>
      <c r="AE13" s="36">
        <f t="shared" si="7"/>
        <v>0.55787037037037046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135</v>
      </c>
      <c r="E14" s="53" t="s">
        <v>268</v>
      </c>
      <c r="F14" s="30" t="s">
        <v>244</v>
      </c>
      <c r="G14" s="33">
        <v>1</v>
      </c>
      <c r="H14" s="35">
        <v>24</v>
      </c>
      <c r="I14" s="7">
        <v>24000</v>
      </c>
      <c r="J14" s="14">
        <v>1330</v>
      </c>
      <c r="K14" s="15">
        <f>L14+5620+3366+1330</f>
        <v>10316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0.55787037037037046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505</v>
      </c>
      <c r="F15" s="30" t="s">
        <v>245</v>
      </c>
      <c r="G15" s="33">
        <v>1</v>
      </c>
      <c r="H15" s="35">
        <v>50</v>
      </c>
      <c r="I15" s="7">
        <v>300</v>
      </c>
      <c r="J15" s="5">
        <v>275</v>
      </c>
      <c r="K15" s="15">
        <f>L15+340+275</f>
        <v>615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0.55787037037037046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118</v>
      </c>
      <c r="D16" s="52" t="s">
        <v>130</v>
      </c>
      <c r="E16" s="53" t="s">
        <v>520</v>
      </c>
      <c r="F16" s="30" t="s">
        <v>344</v>
      </c>
      <c r="G16" s="12">
        <v>4</v>
      </c>
      <c r="H16" s="13">
        <v>24</v>
      </c>
      <c r="I16" s="31">
        <v>80000</v>
      </c>
      <c r="J16" s="14">
        <v>22532</v>
      </c>
      <c r="K16" s="15">
        <f>L16+17216</f>
        <v>39748</v>
      </c>
      <c r="L16" s="15">
        <f>2839*4+2794*4</f>
        <v>22532</v>
      </c>
      <c r="M16" s="15">
        <f t="shared" si="0"/>
        <v>22532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0.55787037037037046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115</v>
      </c>
      <c r="E17" s="53" t="s">
        <v>537</v>
      </c>
      <c r="F17" s="30" t="s">
        <v>245</v>
      </c>
      <c r="G17" s="12">
        <v>1</v>
      </c>
      <c r="H17" s="13">
        <v>24</v>
      </c>
      <c r="I17" s="7">
        <v>500</v>
      </c>
      <c r="J17" s="14">
        <v>500</v>
      </c>
      <c r="K17" s="15">
        <f>L17</f>
        <v>500</v>
      </c>
      <c r="L17" s="15">
        <v>500</v>
      </c>
      <c r="M17" s="15">
        <f t="shared" si="0"/>
        <v>500</v>
      </c>
      <c r="N17" s="15">
        <v>0</v>
      </c>
      <c r="O17" s="58">
        <f t="shared" si="1"/>
        <v>0</v>
      </c>
      <c r="P17" s="39">
        <f t="shared" si="2"/>
        <v>4</v>
      </c>
      <c r="Q17" s="40">
        <f t="shared" si="3"/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6">
        <f t="shared" si="7"/>
        <v>0.55787037037037046</v>
      </c>
      <c r="AF17" s="84">
        <f t="shared" si="8"/>
        <v>11</v>
      </c>
    </row>
    <row r="18" spans="1:32" ht="30" customHeight="1">
      <c r="A18" s="112">
        <v>11</v>
      </c>
      <c r="B18" s="11" t="s">
        <v>57</v>
      </c>
      <c r="C18" s="34" t="s">
        <v>139</v>
      </c>
      <c r="D18" s="52" t="s">
        <v>285</v>
      </c>
      <c r="E18" s="53" t="s">
        <v>538</v>
      </c>
      <c r="F18" s="30" t="s">
        <v>245</v>
      </c>
      <c r="G18" s="12">
        <v>1</v>
      </c>
      <c r="H18" s="13">
        <v>24</v>
      </c>
      <c r="I18" s="7">
        <v>1000</v>
      </c>
      <c r="J18" s="14">
        <v>1677</v>
      </c>
      <c r="K18" s="15">
        <f>L18</f>
        <v>1677</v>
      </c>
      <c r="L18" s="15">
        <v>1677</v>
      </c>
      <c r="M18" s="15">
        <f t="shared" ref="M18" si="9">L18-N18</f>
        <v>1677</v>
      </c>
      <c r="N18" s="15">
        <v>0</v>
      </c>
      <c r="O18" s="58">
        <f t="shared" ref="O18" si="10">IF(L18=0,"0",N18/L18)</f>
        <v>0</v>
      </c>
      <c r="P18" s="39">
        <f t="shared" ref="P18" si="11">IF(L18=0,"0",(24-Q18))</f>
        <v>11</v>
      </c>
      <c r="Q18" s="40">
        <f t="shared" ref="Q18" si="12">SUM(R18:AA18)</f>
        <v>13</v>
      </c>
      <c r="R18" s="7"/>
      <c r="S18" s="6">
        <v>8</v>
      </c>
      <c r="T18" s="16">
        <v>5</v>
      </c>
      <c r="U18" s="16"/>
      <c r="V18" s="17"/>
      <c r="W18" s="5"/>
      <c r="X18" s="16"/>
      <c r="Y18" s="16"/>
      <c r="Z18" s="16"/>
      <c r="AA18" s="18"/>
      <c r="AB18" s="8">
        <f t="shared" ref="AB18" si="13">IF(J18=0,"0",(L18/J18))</f>
        <v>1</v>
      </c>
      <c r="AC18" s="9">
        <f t="shared" ref="AC18" si="14">IF(P18=0,"0",(P18/24))</f>
        <v>0.45833333333333331</v>
      </c>
      <c r="AD18" s="10">
        <f t="shared" ref="AD18" si="15">AC18*AB18*(1-O18)</f>
        <v>0.45833333333333331</v>
      </c>
      <c r="AE18" s="36">
        <f t="shared" si="7"/>
        <v>0.55787037037037046</v>
      </c>
      <c r="AF18" s="84">
        <f t="shared" ref="AF18" si="16">A18</f>
        <v>11</v>
      </c>
    </row>
    <row r="19" spans="1:32" ht="30" customHeight="1">
      <c r="A19" s="95">
        <v>12</v>
      </c>
      <c r="B19" s="11" t="s">
        <v>57</v>
      </c>
      <c r="C19" s="34" t="s">
        <v>139</v>
      </c>
      <c r="D19" s="52" t="s">
        <v>130</v>
      </c>
      <c r="E19" s="53" t="s">
        <v>528</v>
      </c>
      <c r="F19" s="30" t="s">
        <v>367</v>
      </c>
      <c r="G19" s="12">
        <v>1</v>
      </c>
      <c r="H19" s="13">
        <v>24</v>
      </c>
      <c r="I19" s="7">
        <v>2500</v>
      </c>
      <c r="J19" s="14">
        <v>2690</v>
      </c>
      <c r="K19" s="15">
        <f>L19</f>
        <v>2690</v>
      </c>
      <c r="L19" s="15">
        <f>1774+916</f>
        <v>2690</v>
      </c>
      <c r="M19" s="15">
        <f t="shared" si="0"/>
        <v>2690</v>
      </c>
      <c r="N19" s="15">
        <v>0</v>
      </c>
      <c r="O19" s="58">
        <f t="shared" si="1"/>
        <v>0</v>
      </c>
      <c r="P19" s="39">
        <f t="shared" si="2"/>
        <v>15</v>
      </c>
      <c r="Q19" s="40">
        <f t="shared" si="3"/>
        <v>9</v>
      </c>
      <c r="R19" s="7"/>
      <c r="S19" s="6">
        <v>3</v>
      </c>
      <c r="T19" s="16"/>
      <c r="U19" s="16"/>
      <c r="V19" s="17"/>
      <c r="W19" s="5">
        <v>6</v>
      </c>
      <c r="X19" s="16"/>
      <c r="Y19" s="16"/>
      <c r="Z19" s="16"/>
      <c r="AA19" s="18"/>
      <c r="AB19" s="8">
        <f t="shared" si="4"/>
        <v>1</v>
      </c>
      <c r="AC19" s="9">
        <f t="shared" si="5"/>
        <v>0.625</v>
      </c>
      <c r="AD19" s="10">
        <f t="shared" si="6"/>
        <v>0.625</v>
      </c>
      <c r="AE19" s="36">
        <f t="shared" si="7"/>
        <v>0.55787037037037046</v>
      </c>
      <c r="AF19" s="84">
        <f t="shared" si="8"/>
        <v>12</v>
      </c>
    </row>
    <row r="20" spans="1:32" ht="27" customHeight="1">
      <c r="A20" s="96">
        <v>13</v>
      </c>
      <c r="B20" s="11" t="s">
        <v>57</v>
      </c>
      <c r="C20" s="11" t="s">
        <v>112</v>
      </c>
      <c r="D20" s="52" t="s">
        <v>115</v>
      </c>
      <c r="E20" s="53" t="s">
        <v>467</v>
      </c>
      <c r="F20" s="30" t="s">
        <v>129</v>
      </c>
      <c r="G20" s="33">
        <v>1</v>
      </c>
      <c r="H20" s="35">
        <v>24</v>
      </c>
      <c r="I20" s="7">
        <v>23400</v>
      </c>
      <c r="J20" s="14">
        <v>5844</v>
      </c>
      <c r="K20" s="15">
        <f>L20+783+4509+5580+5841</f>
        <v>22557</v>
      </c>
      <c r="L20" s="15">
        <f>2947+2897</f>
        <v>5844</v>
      </c>
      <c r="M20" s="15">
        <f t="shared" si="0"/>
        <v>5844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0.55787037037037046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11" t="s">
        <v>118</v>
      </c>
      <c r="D21" s="52" t="s">
        <v>130</v>
      </c>
      <c r="E21" s="53" t="s">
        <v>269</v>
      </c>
      <c r="F21" s="30" t="s">
        <v>131</v>
      </c>
      <c r="G21" s="33">
        <v>2</v>
      </c>
      <c r="H21" s="35">
        <v>24</v>
      </c>
      <c r="I21" s="7">
        <v>1500</v>
      </c>
      <c r="J21" s="14">
        <v>1668</v>
      </c>
      <c r="K21" s="15">
        <f>L21</f>
        <v>1668</v>
      </c>
      <c r="L21" s="15">
        <f>834*2</f>
        <v>1668</v>
      </c>
      <c r="M21" s="15">
        <f t="shared" si="0"/>
        <v>1668</v>
      </c>
      <c r="N21" s="15">
        <v>0</v>
      </c>
      <c r="O21" s="58">
        <f t="shared" si="1"/>
        <v>0</v>
      </c>
      <c r="P21" s="39">
        <f t="shared" si="2"/>
        <v>5</v>
      </c>
      <c r="Q21" s="40">
        <f t="shared" si="3"/>
        <v>19</v>
      </c>
      <c r="R21" s="7"/>
      <c r="S21" s="6"/>
      <c r="T21" s="16"/>
      <c r="U21" s="16"/>
      <c r="V21" s="17"/>
      <c r="W21" s="5">
        <v>19</v>
      </c>
      <c r="X21" s="16"/>
      <c r="Y21" s="16"/>
      <c r="Z21" s="16"/>
      <c r="AA21" s="18"/>
      <c r="AB21" s="8">
        <f t="shared" si="4"/>
        <v>1</v>
      </c>
      <c r="AC21" s="9">
        <f t="shared" si="5"/>
        <v>0.20833333333333334</v>
      </c>
      <c r="AD21" s="10">
        <f t="shared" si="6"/>
        <v>0.20833333333333334</v>
      </c>
      <c r="AE21" s="36">
        <f t="shared" si="7"/>
        <v>0.55787037037037046</v>
      </c>
      <c r="AF21" s="84">
        <f t="shared" si="8"/>
        <v>14</v>
      </c>
    </row>
    <row r="22" spans="1:32" ht="30" customHeight="1">
      <c r="A22" s="112">
        <v>15</v>
      </c>
      <c r="B22" s="11" t="s">
        <v>57</v>
      </c>
      <c r="C22" s="34" t="s">
        <v>112</v>
      </c>
      <c r="D22" s="52" t="s">
        <v>115</v>
      </c>
      <c r="E22" s="53" t="s">
        <v>496</v>
      </c>
      <c r="F22" s="30" t="s">
        <v>504</v>
      </c>
      <c r="G22" s="12">
        <v>1</v>
      </c>
      <c r="H22" s="13">
        <v>24</v>
      </c>
      <c r="I22" s="7">
        <v>1000</v>
      </c>
      <c r="J22" s="14">
        <v>2124</v>
      </c>
      <c r="K22" s="15">
        <f>L22</f>
        <v>2124</v>
      </c>
      <c r="L22" s="15">
        <f>1121+1003</f>
        <v>2124</v>
      </c>
      <c r="M22" s="15">
        <f t="shared" si="0"/>
        <v>2124</v>
      </c>
      <c r="N22" s="15">
        <v>0</v>
      </c>
      <c r="O22" s="58">
        <f t="shared" si="1"/>
        <v>0</v>
      </c>
      <c r="P22" s="39">
        <f t="shared" si="2"/>
        <v>17</v>
      </c>
      <c r="Q22" s="40">
        <f t="shared" si="3"/>
        <v>7</v>
      </c>
      <c r="R22" s="7"/>
      <c r="S22" s="6"/>
      <c r="T22" s="16">
        <v>3</v>
      </c>
      <c r="U22" s="16"/>
      <c r="V22" s="17"/>
      <c r="W22" s="5">
        <v>4</v>
      </c>
      <c r="X22" s="16"/>
      <c r="Y22" s="16"/>
      <c r="Z22" s="16"/>
      <c r="AA22" s="18"/>
      <c r="AB22" s="8">
        <f t="shared" si="4"/>
        <v>1</v>
      </c>
      <c r="AC22" s="9">
        <f t="shared" si="5"/>
        <v>0.70833333333333337</v>
      </c>
      <c r="AD22" s="10">
        <f t="shared" si="6"/>
        <v>0.70833333333333337</v>
      </c>
      <c r="AE22" s="36">
        <f t="shared" si="7"/>
        <v>0.55787037037037046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346</v>
      </c>
      <c r="F23" s="12" t="s">
        <v>114</v>
      </c>
      <c r="G23" s="12">
        <v>3</v>
      </c>
      <c r="H23" s="35">
        <v>20</v>
      </c>
      <c r="I23" s="7">
        <v>1000000</v>
      </c>
      <c r="J23" s="14">
        <v>75360</v>
      </c>
      <c r="K23" s="15">
        <f>L23+28316+74820+71924+69164+75560+75632+75472+75276+75604+67592+75408</f>
        <v>840128</v>
      </c>
      <c r="L23" s="15">
        <f>9463*4+9377*4</f>
        <v>75360</v>
      </c>
      <c r="M23" s="15">
        <f t="shared" si="0"/>
        <v>75360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6"/>
        <v>1</v>
      </c>
      <c r="AE23" s="36">
        <f t="shared" si="7"/>
        <v>0.55787037037037046</v>
      </c>
      <c r="AF23" s="84">
        <f t="shared" si="8"/>
        <v>16</v>
      </c>
    </row>
    <row r="24" spans="1:32" ht="31.5" customHeight="1" thickBot="1">
      <c r="A24" s="408" t="s">
        <v>34</v>
      </c>
      <c r="B24" s="409"/>
      <c r="C24" s="409"/>
      <c r="D24" s="409"/>
      <c r="E24" s="409"/>
      <c r="F24" s="409"/>
      <c r="G24" s="409"/>
      <c r="H24" s="410"/>
      <c r="I24" s="22">
        <f t="shared" ref="I24:N24" si="17">SUM(I6:I23)</f>
        <v>1478200</v>
      </c>
      <c r="J24" s="19">
        <f t="shared" si="17"/>
        <v>174627</v>
      </c>
      <c r="K24" s="20">
        <f t="shared" si="17"/>
        <v>1418014</v>
      </c>
      <c r="L24" s="21">
        <f t="shared" si="17"/>
        <v>157762</v>
      </c>
      <c r="M24" s="20">
        <f t="shared" si="17"/>
        <v>157762</v>
      </c>
      <c r="N24" s="21">
        <f t="shared" si="17"/>
        <v>0</v>
      </c>
      <c r="O24" s="41">
        <f t="shared" si="1"/>
        <v>0</v>
      </c>
      <c r="P24" s="42">
        <f t="shared" ref="P24:AA24" si="18">SUM(P6:P23)</f>
        <v>241</v>
      </c>
      <c r="Q24" s="43">
        <f t="shared" si="18"/>
        <v>191</v>
      </c>
      <c r="R24" s="23">
        <f t="shared" si="18"/>
        <v>24</v>
      </c>
      <c r="S24" s="24">
        <f t="shared" si="18"/>
        <v>50</v>
      </c>
      <c r="T24" s="24">
        <f t="shared" si="18"/>
        <v>9</v>
      </c>
      <c r="U24" s="24">
        <f t="shared" si="18"/>
        <v>0</v>
      </c>
      <c r="V24" s="25">
        <f t="shared" si="18"/>
        <v>0</v>
      </c>
      <c r="W24" s="26">
        <f t="shared" si="18"/>
        <v>108</v>
      </c>
      <c r="X24" s="27">
        <f t="shared" si="18"/>
        <v>0</v>
      </c>
      <c r="Y24" s="27">
        <f t="shared" si="18"/>
        <v>0</v>
      </c>
      <c r="Z24" s="27">
        <f t="shared" si="18"/>
        <v>0</v>
      </c>
      <c r="AA24" s="27">
        <f t="shared" si="18"/>
        <v>0</v>
      </c>
      <c r="AB24" s="28">
        <f>AVERAGE(AB6:AB23)</f>
        <v>0.83333333333333337</v>
      </c>
      <c r="AC24" s="4">
        <f>AVERAGE(AC6:AC23)</f>
        <v>0.55787037037037046</v>
      </c>
      <c r="AD24" s="4">
        <f>AVERAGE(AD6:AD23)</f>
        <v>0.55787037037037046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11" t="s">
        <v>45</v>
      </c>
      <c r="B51" s="411"/>
      <c r="C51" s="411"/>
      <c r="D51" s="411"/>
      <c r="E51" s="411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12" t="s">
        <v>539</v>
      </c>
      <c r="B52" s="413"/>
      <c r="C52" s="413"/>
      <c r="D52" s="413"/>
      <c r="E52" s="413"/>
      <c r="F52" s="413"/>
      <c r="G52" s="413"/>
      <c r="H52" s="413"/>
      <c r="I52" s="413"/>
      <c r="J52" s="413"/>
      <c r="K52" s="413"/>
      <c r="L52" s="413"/>
      <c r="M52" s="414"/>
      <c r="N52" s="415" t="s">
        <v>543</v>
      </c>
      <c r="O52" s="416"/>
      <c r="P52" s="416"/>
      <c r="Q52" s="416"/>
      <c r="R52" s="416"/>
      <c r="S52" s="416"/>
      <c r="T52" s="416"/>
      <c r="U52" s="416"/>
      <c r="V52" s="416"/>
      <c r="W52" s="416"/>
      <c r="X52" s="416"/>
      <c r="Y52" s="416"/>
      <c r="Z52" s="416"/>
      <c r="AA52" s="416"/>
      <c r="AB52" s="416"/>
      <c r="AC52" s="416"/>
      <c r="AD52" s="417"/>
    </row>
    <row r="53" spans="1:32" ht="27" customHeight="1">
      <c r="A53" s="418" t="s">
        <v>2</v>
      </c>
      <c r="B53" s="419"/>
      <c r="C53" s="343" t="s">
        <v>46</v>
      </c>
      <c r="D53" s="343" t="s">
        <v>47</v>
      </c>
      <c r="E53" s="343" t="s">
        <v>107</v>
      </c>
      <c r="F53" s="420" t="s">
        <v>106</v>
      </c>
      <c r="G53" s="421"/>
      <c r="H53" s="421"/>
      <c r="I53" s="421"/>
      <c r="J53" s="421"/>
      <c r="K53" s="421"/>
      <c r="L53" s="421"/>
      <c r="M53" s="422"/>
      <c r="N53" s="67" t="s">
        <v>110</v>
      </c>
      <c r="O53" s="343" t="s">
        <v>46</v>
      </c>
      <c r="P53" s="420" t="s">
        <v>47</v>
      </c>
      <c r="Q53" s="423"/>
      <c r="R53" s="420" t="s">
        <v>38</v>
      </c>
      <c r="S53" s="421"/>
      <c r="T53" s="421"/>
      <c r="U53" s="423"/>
      <c r="V53" s="420" t="s">
        <v>48</v>
      </c>
      <c r="W53" s="421"/>
      <c r="X53" s="421"/>
      <c r="Y53" s="421"/>
      <c r="Z53" s="421"/>
      <c r="AA53" s="421"/>
      <c r="AB53" s="421"/>
      <c r="AC53" s="421"/>
      <c r="AD53" s="422"/>
    </row>
    <row r="54" spans="1:32" ht="27" customHeight="1">
      <c r="A54" s="434" t="s">
        <v>139</v>
      </c>
      <c r="B54" s="435"/>
      <c r="C54" s="345" t="s">
        <v>250</v>
      </c>
      <c r="D54" s="345" t="s">
        <v>251</v>
      </c>
      <c r="E54" s="345" t="s">
        <v>429</v>
      </c>
      <c r="F54" s="436" t="s">
        <v>138</v>
      </c>
      <c r="G54" s="437"/>
      <c r="H54" s="437"/>
      <c r="I54" s="437"/>
      <c r="J54" s="437"/>
      <c r="K54" s="437"/>
      <c r="L54" s="437"/>
      <c r="M54" s="438"/>
      <c r="N54" s="344" t="s">
        <v>112</v>
      </c>
      <c r="O54" s="351" t="s">
        <v>250</v>
      </c>
      <c r="P54" s="439" t="s">
        <v>212</v>
      </c>
      <c r="Q54" s="440"/>
      <c r="R54" s="439" t="s">
        <v>544</v>
      </c>
      <c r="S54" s="441"/>
      <c r="T54" s="441"/>
      <c r="U54" s="440"/>
      <c r="V54" s="442" t="s">
        <v>138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112</v>
      </c>
      <c r="B55" s="435"/>
      <c r="C55" s="345" t="s">
        <v>208</v>
      </c>
      <c r="D55" s="345" t="s">
        <v>508</v>
      </c>
      <c r="E55" s="345" t="s">
        <v>496</v>
      </c>
      <c r="F55" s="436" t="s">
        <v>124</v>
      </c>
      <c r="G55" s="437"/>
      <c r="H55" s="437"/>
      <c r="I55" s="437"/>
      <c r="J55" s="437"/>
      <c r="K55" s="437"/>
      <c r="L55" s="437"/>
      <c r="M55" s="438"/>
      <c r="N55" s="344" t="s">
        <v>112</v>
      </c>
      <c r="O55" s="351" t="s">
        <v>141</v>
      </c>
      <c r="P55" s="439" t="s">
        <v>211</v>
      </c>
      <c r="Q55" s="440"/>
      <c r="R55" s="439" t="s">
        <v>513</v>
      </c>
      <c r="S55" s="441"/>
      <c r="T55" s="441"/>
      <c r="U55" s="440"/>
      <c r="V55" s="442" t="s">
        <v>445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118</v>
      </c>
      <c r="B56" s="435"/>
      <c r="C56" s="345" t="s">
        <v>250</v>
      </c>
      <c r="D56" s="345" t="s">
        <v>212</v>
      </c>
      <c r="E56" s="345" t="s">
        <v>274</v>
      </c>
      <c r="F56" s="436" t="s">
        <v>138</v>
      </c>
      <c r="G56" s="437"/>
      <c r="H56" s="437"/>
      <c r="I56" s="437"/>
      <c r="J56" s="437"/>
      <c r="K56" s="437"/>
      <c r="L56" s="437"/>
      <c r="M56" s="438"/>
      <c r="N56" s="344" t="s">
        <v>139</v>
      </c>
      <c r="O56" s="351" t="s">
        <v>141</v>
      </c>
      <c r="P56" s="439" t="s">
        <v>162</v>
      </c>
      <c r="Q56" s="440"/>
      <c r="R56" s="439" t="s">
        <v>545</v>
      </c>
      <c r="S56" s="441"/>
      <c r="T56" s="441"/>
      <c r="U56" s="440"/>
      <c r="V56" s="442" t="s">
        <v>138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139</v>
      </c>
      <c r="B57" s="435"/>
      <c r="C57" s="345" t="s">
        <v>190</v>
      </c>
      <c r="D57" s="345" t="s">
        <v>115</v>
      </c>
      <c r="E57" s="345" t="s">
        <v>442</v>
      </c>
      <c r="F57" s="436" t="s">
        <v>540</v>
      </c>
      <c r="G57" s="437"/>
      <c r="H57" s="437"/>
      <c r="I57" s="437"/>
      <c r="J57" s="437"/>
      <c r="K57" s="437"/>
      <c r="L57" s="437"/>
      <c r="M57" s="438"/>
      <c r="N57" s="344" t="s">
        <v>120</v>
      </c>
      <c r="O57" s="351" t="s">
        <v>198</v>
      </c>
      <c r="P57" s="439"/>
      <c r="Q57" s="440"/>
      <c r="R57" s="439" t="s">
        <v>546</v>
      </c>
      <c r="S57" s="441"/>
      <c r="T57" s="441"/>
      <c r="U57" s="440"/>
      <c r="V57" s="442" t="s">
        <v>138</v>
      </c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57" t="s">
        <v>118</v>
      </c>
      <c r="B58" s="458"/>
      <c r="C58" s="349" t="s">
        <v>204</v>
      </c>
      <c r="D58" s="349" t="s">
        <v>216</v>
      </c>
      <c r="E58" s="345" t="s">
        <v>529</v>
      </c>
      <c r="F58" s="436" t="s">
        <v>541</v>
      </c>
      <c r="G58" s="437"/>
      <c r="H58" s="437"/>
      <c r="I58" s="437"/>
      <c r="J58" s="437"/>
      <c r="K58" s="437"/>
      <c r="L58" s="437"/>
      <c r="M58" s="438"/>
      <c r="N58" s="344" t="s">
        <v>118</v>
      </c>
      <c r="O58" s="351" t="s">
        <v>201</v>
      </c>
      <c r="P58" s="439" t="s">
        <v>216</v>
      </c>
      <c r="Q58" s="440"/>
      <c r="R58" s="439" t="s">
        <v>223</v>
      </c>
      <c r="S58" s="441"/>
      <c r="T58" s="441"/>
      <c r="U58" s="440"/>
      <c r="V58" s="442" t="s">
        <v>138</v>
      </c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 t="s">
        <v>118</v>
      </c>
      <c r="B59" s="435"/>
      <c r="C59" s="345" t="s">
        <v>136</v>
      </c>
      <c r="D59" s="345" t="s">
        <v>115</v>
      </c>
      <c r="E59" s="345" t="s">
        <v>144</v>
      </c>
      <c r="F59" s="436" t="s">
        <v>348</v>
      </c>
      <c r="G59" s="437"/>
      <c r="H59" s="437"/>
      <c r="I59" s="437"/>
      <c r="J59" s="437"/>
      <c r="K59" s="437"/>
      <c r="L59" s="437"/>
      <c r="M59" s="438"/>
      <c r="N59" s="344" t="s">
        <v>118</v>
      </c>
      <c r="O59" s="351" t="s">
        <v>208</v>
      </c>
      <c r="P59" s="439" t="s">
        <v>228</v>
      </c>
      <c r="Q59" s="440"/>
      <c r="R59" s="439" t="s">
        <v>225</v>
      </c>
      <c r="S59" s="441"/>
      <c r="T59" s="441"/>
      <c r="U59" s="440"/>
      <c r="V59" s="442" t="s">
        <v>138</v>
      </c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34" t="s">
        <v>139</v>
      </c>
      <c r="B60" s="435"/>
      <c r="C60" s="345" t="s">
        <v>141</v>
      </c>
      <c r="D60" s="345" t="s">
        <v>285</v>
      </c>
      <c r="E60" s="345" t="s">
        <v>538</v>
      </c>
      <c r="F60" s="436" t="s">
        <v>542</v>
      </c>
      <c r="G60" s="437"/>
      <c r="H60" s="437"/>
      <c r="I60" s="437"/>
      <c r="J60" s="437"/>
      <c r="K60" s="437"/>
      <c r="L60" s="437"/>
      <c r="M60" s="438"/>
      <c r="N60" s="344"/>
      <c r="O60" s="351"/>
      <c r="P60" s="439"/>
      <c r="Q60" s="440"/>
      <c r="R60" s="439"/>
      <c r="S60" s="441"/>
      <c r="T60" s="441"/>
      <c r="U60" s="440"/>
      <c r="V60" s="442"/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57" t="s">
        <v>139</v>
      </c>
      <c r="B61" s="458"/>
      <c r="C61" s="349" t="s">
        <v>198</v>
      </c>
      <c r="D61" s="349" t="s">
        <v>130</v>
      </c>
      <c r="E61" s="345" t="s">
        <v>528</v>
      </c>
      <c r="F61" s="436" t="s">
        <v>138</v>
      </c>
      <c r="G61" s="437"/>
      <c r="H61" s="437"/>
      <c r="I61" s="437"/>
      <c r="J61" s="437"/>
      <c r="K61" s="437"/>
      <c r="L61" s="437"/>
      <c r="M61" s="438"/>
      <c r="N61" s="344"/>
      <c r="O61" s="351"/>
      <c r="P61" s="439"/>
      <c r="Q61" s="440"/>
      <c r="R61" s="435"/>
      <c r="S61" s="435"/>
      <c r="T61" s="435"/>
      <c r="U61" s="435"/>
      <c r="V61" s="442"/>
      <c r="W61" s="442"/>
      <c r="X61" s="442"/>
      <c r="Y61" s="442"/>
      <c r="Z61" s="442"/>
      <c r="AA61" s="442"/>
      <c r="AB61" s="442"/>
      <c r="AC61" s="442"/>
      <c r="AD61" s="443"/>
    </row>
    <row r="62" spans="1:32" ht="27" customHeight="1">
      <c r="A62" s="457" t="s">
        <v>118</v>
      </c>
      <c r="B62" s="458"/>
      <c r="C62" s="349" t="s">
        <v>201</v>
      </c>
      <c r="D62" s="349" t="s">
        <v>130</v>
      </c>
      <c r="E62" s="345" t="s">
        <v>269</v>
      </c>
      <c r="F62" s="436" t="s">
        <v>138</v>
      </c>
      <c r="G62" s="437"/>
      <c r="H62" s="437"/>
      <c r="I62" s="437"/>
      <c r="J62" s="437"/>
      <c r="K62" s="437"/>
      <c r="L62" s="437"/>
      <c r="M62" s="438"/>
      <c r="N62" s="344"/>
      <c r="O62" s="351"/>
      <c r="P62" s="435"/>
      <c r="Q62" s="435"/>
      <c r="R62" s="435"/>
      <c r="S62" s="435"/>
      <c r="T62" s="435"/>
      <c r="U62" s="435"/>
      <c r="V62" s="442"/>
      <c r="W62" s="442"/>
      <c r="X62" s="442"/>
      <c r="Y62" s="442"/>
      <c r="Z62" s="442"/>
      <c r="AA62" s="442"/>
      <c r="AB62" s="442"/>
      <c r="AC62" s="442"/>
      <c r="AD62" s="443"/>
      <c r="AF62" s="84">
        <f>8*3000</f>
        <v>24000</v>
      </c>
    </row>
    <row r="63" spans="1:32" ht="27" customHeight="1" thickBot="1">
      <c r="A63" s="444"/>
      <c r="B63" s="445"/>
      <c r="C63" s="346"/>
      <c r="D63" s="347"/>
      <c r="E63" s="346"/>
      <c r="F63" s="446"/>
      <c r="G63" s="447"/>
      <c r="H63" s="447"/>
      <c r="I63" s="447"/>
      <c r="J63" s="447"/>
      <c r="K63" s="447"/>
      <c r="L63" s="447"/>
      <c r="M63" s="448"/>
      <c r="N63" s="111"/>
      <c r="O63" s="103"/>
      <c r="P63" s="449"/>
      <c r="Q63" s="449"/>
      <c r="R63" s="449"/>
      <c r="S63" s="449"/>
      <c r="T63" s="449"/>
      <c r="U63" s="449"/>
      <c r="V63" s="450"/>
      <c r="W63" s="450"/>
      <c r="X63" s="450"/>
      <c r="Y63" s="450"/>
      <c r="Z63" s="450"/>
      <c r="AA63" s="450"/>
      <c r="AB63" s="450"/>
      <c r="AC63" s="450"/>
      <c r="AD63" s="451"/>
      <c r="AF63" s="84">
        <f>16*3000</f>
        <v>48000</v>
      </c>
    </row>
    <row r="64" spans="1:32" ht="27.75" thickBot="1">
      <c r="A64" s="452" t="s">
        <v>547</v>
      </c>
      <c r="B64" s="452"/>
      <c r="C64" s="452"/>
      <c r="D64" s="452"/>
      <c r="E64" s="452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53" t="s">
        <v>111</v>
      </c>
      <c r="B65" s="454"/>
      <c r="C65" s="348" t="s">
        <v>2</v>
      </c>
      <c r="D65" s="348" t="s">
        <v>37</v>
      </c>
      <c r="E65" s="348" t="s">
        <v>3</v>
      </c>
      <c r="F65" s="454" t="s">
        <v>109</v>
      </c>
      <c r="G65" s="454"/>
      <c r="H65" s="454"/>
      <c r="I65" s="454"/>
      <c r="J65" s="454"/>
      <c r="K65" s="454" t="s">
        <v>39</v>
      </c>
      <c r="L65" s="454"/>
      <c r="M65" s="348" t="s">
        <v>40</v>
      </c>
      <c r="N65" s="454" t="s">
        <v>41</v>
      </c>
      <c r="O65" s="454"/>
      <c r="P65" s="455" t="s">
        <v>42</v>
      </c>
      <c r="Q65" s="456"/>
      <c r="R65" s="455" t="s">
        <v>43</v>
      </c>
      <c r="S65" s="459"/>
      <c r="T65" s="459"/>
      <c r="U65" s="459"/>
      <c r="V65" s="459"/>
      <c r="W65" s="459"/>
      <c r="X65" s="459"/>
      <c r="Y65" s="459"/>
      <c r="Z65" s="459"/>
      <c r="AA65" s="456"/>
      <c r="AB65" s="454" t="s">
        <v>44</v>
      </c>
      <c r="AC65" s="454"/>
      <c r="AD65" s="460"/>
      <c r="AF65" s="84">
        <f>SUM(AF62:AF64)</f>
        <v>96000</v>
      </c>
    </row>
    <row r="66" spans="1:32" ht="25.5" customHeight="1">
      <c r="A66" s="461">
        <v>1</v>
      </c>
      <c r="B66" s="462"/>
      <c r="C66" s="104" t="s">
        <v>120</v>
      </c>
      <c r="D66" s="353"/>
      <c r="E66" s="350"/>
      <c r="F66" s="463" t="s">
        <v>498</v>
      </c>
      <c r="G66" s="464"/>
      <c r="H66" s="464"/>
      <c r="I66" s="464"/>
      <c r="J66" s="465"/>
      <c r="K66" s="466" t="s">
        <v>128</v>
      </c>
      <c r="L66" s="466"/>
      <c r="M66" s="51" t="s">
        <v>230</v>
      </c>
      <c r="N66" s="467" t="s">
        <v>250</v>
      </c>
      <c r="O66" s="467"/>
      <c r="P66" s="468">
        <v>50</v>
      </c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2</v>
      </c>
      <c r="B67" s="462"/>
      <c r="C67" s="104" t="s">
        <v>118</v>
      </c>
      <c r="D67" s="353"/>
      <c r="E67" s="350" t="s">
        <v>115</v>
      </c>
      <c r="F67" s="463" t="s">
        <v>537</v>
      </c>
      <c r="G67" s="464"/>
      <c r="H67" s="464"/>
      <c r="I67" s="464"/>
      <c r="J67" s="465"/>
      <c r="K67" s="466">
        <v>7301</v>
      </c>
      <c r="L67" s="466"/>
      <c r="M67" s="51" t="s">
        <v>230</v>
      </c>
      <c r="N67" s="467" t="s">
        <v>141</v>
      </c>
      <c r="O67" s="467"/>
      <c r="P67" s="468">
        <v>50</v>
      </c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3</v>
      </c>
      <c r="B68" s="462"/>
      <c r="C68" s="104" t="s">
        <v>118</v>
      </c>
      <c r="D68" s="353"/>
      <c r="E68" s="350" t="s">
        <v>212</v>
      </c>
      <c r="F68" s="463" t="s">
        <v>418</v>
      </c>
      <c r="G68" s="464"/>
      <c r="H68" s="464"/>
      <c r="I68" s="464"/>
      <c r="J68" s="465"/>
      <c r="K68" s="466" t="s">
        <v>419</v>
      </c>
      <c r="L68" s="466"/>
      <c r="M68" s="51" t="s">
        <v>230</v>
      </c>
      <c r="N68" s="467" t="s">
        <v>198</v>
      </c>
      <c r="O68" s="467"/>
      <c r="P68" s="468">
        <v>50</v>
      </c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4</v>
      </c>
      <c r="B69" s="462"/>
      <c r="C69" s="104" t="s">
        <v>112</v>
      </c>
      <c r="D69" s="353"/>
      <c r="E69" s="350" t="s">
        <v>115</v>
      </c>
      <c r="F69" s="463" t="s">
        <v>480</v>
      </c>
      <c r="G69" s="464"/>
      <c r="H69" s="464"/>
      <c r="I69" s="464"/>
      <c r="J69" s="465"/>
      <c r="K69" s="466" t="s">
        <v>244</v>
      </c>
      <c r="L69" s="466"/>
      <c r="M69" s="51" t="s">
        <v>230</v>
      </c>
      <c r="N69" s="467" t="s">
        <v>201</v>
      </c>
      <c r="O69" s="467"/>
      <c r="P69" s="468">
        <v>50</v>
      </c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5</v>
      </c>
      <c r="B70" s="462"/>
      <c r="C70" s="104"/>
      <c r="D70" s="353"/>
      <c r="E70" s="350"/>
      <c r="F70" s="463"/>
      <c r="G70" s="464"/>
      <c r="H70" s="464"/>
      <c r="I70" s="464"/>
      <c r="J70" s="465"/>
      <c r="K70" s="466"/>
      <c r="L70" s="466"/>
      <c r="M70" s="51"/>
      <c r="N70" s="467"/>
      <c r="O70" s="467"/>
      <c r="P70" s="468"/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6</v>
      </c>
      <c r="B71" s="462"/>
      <c r="C71" s="104"/>
      <c r="D71" s="353"/>
      <c r="E71" s="350"/>
      <c r="F71" s="463"/>
      <c r="G71" s="464"/>
      <c r="H71" s="464"/>
      <c r="I71" s="464"/>
      <c r="J71" s="465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7</v>
      </c>
      <c r="B72" s="462"/>
      <c r="C72" s="104"/>
      <c r="D72" s="353"/>
      <c r="E72" s="350"/>
      <c r="F72" s="463"/>
      <c r="G72" s="464"/>
      <c r="H72" s="464"/>
      <c r="I72" s="464"/>
      <c r="J72" s="465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8</v>
      </c>
      <c r="B73" s="462"/>
      <c r="C73" s="104"/>
      <c r="D73" s="353"/>
      <c r="E73" s="350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9</v>
      </c>
      <c r="B74" s="462"/>
      <c r="C74" s="104"/>
      <c r="D74" s="353"/>
      <c r="E74" s="350"/>
      <c r="F74" s="470"/>
      <c r="G74" s="466"/>
      <c r="H74" s="466"/>
      <c r="I74" s="466"/>
      <c r="J74" s="466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5.5" customHeight="1">
      <c r="A75" s="461">
        <v>10</v>
      </c>
      <c r="B75" s="462"/>
      <c r="C75" s="104"/>
      <c r="D75" s="353"/>
      <c r="E75" s="350"/>
      <c r="F75" s="470"/>
      <c r="G75" s="466"/>
      <c r="H75" s="466"/>
      <c r="I75" s="466"/>
      <c r="J75" s="466"/>
      <c r="K75" s="466"/>
      <c r="L75" s="466"/>
      <c r="M75" s="51"/>
      <c r="N75" s="467"/>
      <c r="O75" s="467"/>
      <c r="P75" s="468"/>
      <c r="Q75" s="468"/>
      <c r="R75" s="442"/>
      <c r="S75" s="442"/>
      <c r="T75" s="442"/>
      <c r="U75" s="442"/>
      <c r="V75" s="442"/>
      <c r="W75" s="442"/>
      <c r="X75" s="442"/>
      <c r="Y75" s="442"/>
      <c r="Z75" s="442"/>
      <c r="AA75" s="442"/>
      <c r="AB75" s="466"/>
      <c r="AC75" s="466"/>
      <c r="AD75" s="469"/>
      <c r="AF75" s="50"/>
    </row>
    <row r="76" spans="1:32" ht="26.25" customHeight="1" thickBot="1">
      <c r="A76" s="471" t="s">
        <v>548</v>
      </c>
      <c r="B76" s="471"/>
      <c r="C76" s="471"/>
      <c r="D76" s="471"/>
      <c r="E76" s="471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72" t="s">
        <v>126</v>
      </c>
      <c r="B77" s="473"/>
      <c r="C77" s="352" t="s">
        <v>2</v>
      </c>
      <c r="D77" s="352" t="s">
        <v>37</v>
      </c>
      <c r="E77" s="352" t="s">
        <v>125</v>
      </c>
      <c r="F77" s="473" t="s">
        <v>38</v>
      </c>
      <c r="G77" s="473"/>
      <c r="H77" s="473"/>
      <c r="I77" s="473"/>
      <c r="J77" s="473"/>
      <c r="K77" s="474" t="s">
        <v>58</v>
      </c>
      <c r="L77" s="475"/>
      <c r="M77" s="475"/>
      <c r="N77" s="475"/>
      <c r="O77" s="475"/>
      <c r="P77" s="475"/>
      <c r="Q77" s="475"/>
      <c r="R77" s="475"/>
      <c r="S77" s="476"/>
      <c r="T77" s="473" t="s">
        <v>49</v>
      </c>
      <c r="U77" s="473"/>
      <c r="V77" s="474" t="s">
        <v>50</v>
      </c>
      <c r="W77" s="476"/>
      <c r="X77" s="475" t="s">
        <v>51</v>
      </c>
      <c r="Y77" s="475"/>
      <c r="Z77" s="475"/>
      <c r="AA77" s="475"/>
      <c r="AB77" s="475"/>
      <c r="AC77" s="475"/>
      <c r="AD77" s="477"/>
      <c r="AF77" s="50"/>
    </row>
    <row r="78" spans="1:32" ht="33.75" customHeight="1">
      <c r="A78" s="486">
        <v>1</v>
      </c>
      <c r="B78" s="487"/>
      <c r="C78" s="354" t="s">
        <v>112</v>
      </c>
      <c r="D78" s="354"/>
      <c r="E78" s="65" t="s">
        <v>117</v>
      </c>
      <c r="F78" s="488" t="s">
        <v>116</v>
      </c>
      <c r="G78" s="489"/>
      <c r="H78" s="489"/>
      <c r="I78" s="489"/>
      <c r="J78" s="490"/>
      <c r="K78" s="491" t="s">
        <v>119</v>
      </c>
      <c r="L78" s="492"/>
      <c r="M78" s="492"/>
      <c r="N78" s="492"/>
      <c r="O78" s="492"/>
      <c r="P78" s="492"/>
      <c r="Q78" s="492"/>
      <c r="R78" s="492"/>
      <c r="S78" s="493"/>
      <c r="T78" s="494">
        <v>44118</v>
      </c>
      <c r="U78" s="495"/>
      <c r="V78" s="496"/>
      <c r="W78" s="496"/>
      <c r="X78" s="497"/>
      <c r="Y78" s="497"/>
      <c r="Z78" s="497"/>
      <c r="AA78" s="497"/>
      <c r="AB78" s="497"/>
      <c r="AC78" s="497"/>
      <c r="AD78" s="498"/>
      <c r="AF78" s="50"/>
    </row>
    <row r="79" spans="1:32" ht="30" customHeight="1">
      <c r="A79" s="478">
        <f>A78+1</f>
        <v>2</v>
      </c>
      <c r="B79" s="479"/>
      <c r="C79" s="353"/>
      <c r="D79" s="353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ref="A80:A84" si="19">A79+1</f>
        <v>3</v>
      </c>
      <c r="B80" s="479"/>
      <c r="C80" s="353"/>
      <c r="D80" s="353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19"/>
        <v>4</v>
      </c>
      <c r="B81" s="479"/>
      <c r="C81" s="353"/>
      <c r="D81" s="353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19"/>
        <v>5</v>
      </c>
      <c r="B82" s="479"/>
      <c r="C82" s="353"/>
      <c r="D82" s="353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19"/>
        <v>6</v>
      </c>
      <c r="B83" s="479"/>
      <c r="C83" s="353"/>
      <c r="D83" s="353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78">
        <f t="shared" si="19"/>
        <v>7</v>
      </c>
      <c r="B84" s="479"/>
      <c r="C84" s="353"/>
      <c r="D84" s="353"/>
      <c r="E84" s="32"/>
      <c r="F84" s="479"/>
      <c r="G84" s="479"/>
      <c r="H84" s="479"/>
      <c r="I84" s="479"/>
      <c r="J84" s="479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6" thickBot="1">
      <c r="A85" s="471" t="s">
        <v>549</v>
      </c>
      <c r="B85" s="471"/>
      <c r="C85" s="471"/>
      <c r="D85" s="471"/>
      <c r="E85" s="471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2" t="s">
        <v>111</v>
      </c>
      <c r="B86" s="473"/>
      <c r="C86" s="499" t="s">
        <v>52</v>
      </c>
      <c r="D86" s="499"/>
      <c r="E86" s="499" t="s">
        <v>53</v>
      </c>
      <c r="F86" s="499"/>
      <c r="G86" s="499"/>
      <c r="H86" s="499"/>
      <c r="I86" s="499"/>
      <c r="J86" s="499"/>
      <c r="K86" s="499" t="s">
        <v>54</v>
      </c>
      <c r="L86" s="499"/>
      <c r="M86" s="499"/>
      <c r="N86" s="499"/>
      <c r="O86" s="499"/>
      <c r="P86" s="499"/>
      <c r="Q86" s="499"/>
      <c r="R86" s="499"/>
      <c r="S86" s="499"/>
      <c r="T86" s="499" t="s">
        <v>55</v>
      </c>
      <c r="U86" s="499"/>
      <c r="V86" s="499" t="s">
        <v>56</v>
      </c>
      <c r="W86" s="499"/>
      <c r="X86" s="499"/>
      <c r="Y86" s="499" t="s">
        <v>51</v>
      </c>
      <c r="Z86" s="499"/>
      <c r="AA86" s="499"/>
      <c r="AB86" s="499"/>
      <c r="AC86" s="499"/>
      <c r="AD86" s="500"/>
      <c r="AF86" s="50"/>
    </row>
    <row r="87" spans="1:32" ht="30.75" customHeight="1">
      <c r="A87" s="486">
        <v>1</v>
      </c>
      <c r="B87" s="487"/>
      <c r="C87" s="501">
        <v>9</v>
      </c>
      <c r="D87" s="501"/>
      <c r="E87" s="501" t="s">
        <v>149</v>
      </c>
      <c r="F87" s="501"/>
      <c r="G87" s="501"/>
      <c r="H87" s="501"/>
      <c r="I87" s="501"/>
      <c r="J87" s="501"/>
      <c r="K87" s="501" t="s">
        <v>462</v>
      </c>
      <c r="L87" s="501"/>
      <c r="M87" s="501"/>
      <c r="N87" s="501"/>
      <c r="O87" s="501"/>
      <c r="P87" s="501"/>
      <c r="Q87" s="501"/>
      <c r="R87" s="501"/>
      <c r="S87" s="501"/>
      <c r="T87" s="501" t="s">
        <v>151</v>
      </c>
      <c r="U87" s="501"/>
      <c r="V87" s="502" t="s">
        <v>265</v>
      </c>
      <c r="W87" s="502"/>
      <c r="X87" s="502"/>
      <c r="Y87" s="503"/>
      <c r="Z87" s="503"/>
      <c r="AA87" s="503"/>
      <c r="AB87" s="503"/>
      <c r="AC87" s="503"/>
      <c r="AD87" s="504"/>
      <c r="AF87" s="50"/>
    </row>
    <row r="88" spans="1:32" ht="30.75" customHeight="1">
      <c r="A88" s="478">
        <v>2</v>
      </c>
      <c r="B88" s="479"/>
      <c r="C88" s="512"/>
      <c r="D88" s="512"/>
      <c r="E88" s="512"/>
      <c r="F88" s="512"/>
      <c r="G88" s="512"/>
      <c r="H88" s="512"/>
      <c r="I88" s="512"/>
      <c r="J88" s="512"/>
      <c r="K88" s="512"/>
      <c r="L88" s="512"/>
      <c r="M88" s="512"/>
      <c r="N88" s="512"/>
      <c r="O88" s="512"/>
      <c r="P88" s="512"/>
      <c r="Q88" s="512"/>
      <c r="R88" s="512"/>
      <c r="S88" s="512"/>
      <c r="T88" s="513"/>
      <c r="U88" s="513"/>
      <c r="V88" s="514"/>
      <c r="W88" s="514"/>
      <c r="X88" s="514"/>
      <c r="Y88" s="505"/>
      <c r="Z88" s="505"/>
      <c r="AA88" s="505"/>
      <c r="AB88" s="505"/>
      <c r="AC88" s="505"/>
      <c r="AD88" s="506"/>
      <c r="AF88" s="50"/>
    </row>
    <row r="89" spans="1:32" ht="30.75" customHeight="1" thickBot="1">
      <c r="A89" s="507">
        <v>3</v>
      </c>
      <c r="B89" s="508"/>
      <c r="C89" s="509"/>
      <c r="D89" s="509"/>
      <c r="E89" s="509"/>
      <c r="F89" s="509"/>
      <c r="G89" s="509"/>
      <c r="H89" s="509"/>
      <c r="I89" s="509"/>
      <c r="J89" s="509"/>
      <c r="K89" s="509"/>
      <c r="L89" s="509"/>
      <c r="M89" s="509"/>
      <c r="N89" s="509"/>
      <c r="O89" s="509"/>
      <c r="P89" s="509"/>
      <c r="Q89" s="509"/>
      <c r="R89" s="509"/>
      <c r="S89" s="509"/>
      <c r="T89" s="509"/>
      <c r="U89" s="509"/>
      <c r="V89" s="509"/>
      <c r="W89" s="509"/>
      <c r="X89" s="509"/>
      <c r="Y89" s="510"/>
      <c r="Z89" s="510"/>
      <c r="AA89" s="510"/>
      <c r="AB89" s="510"/>
      <c r="AC89" s="510"/>
      <c r="AD89" s="511"/>
      <c r="AF89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6D55-2CE6-4623-8CF4-B8CDEC4DE9AE}">
  <dimension ref="A1:AF89"/>
  <sheetViews>
    <sheetView view="pageBreakPreview" zoomScale="70" zoomScaleNormal="72" zoomScaleSheetLayoutView="70" workbookViewId="0">
      <selection activeCell="A86" sqref="A86:B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550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367" t="s">
        <v>17</v>
      </c>
      <c r="L5" s="367" t="s">
        <v>18</v>
      </c>
      <c r="M5" s="367" t="s">
        <v>19</v>
      </c>
      <c r="N5" s="36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212</v>
      </c>
      <c r="E6" s="53" t="s">
        <v>544</v>
      </c>
      <c r="F6" s="30" t="s">
        <v>132</v>
      </c>
      <c r="G6" s="12">
        <v>1</v>
      </c>
      <c r="H6" s="13">
        <v>24</v>
      </c>
      <c r="I6" s="31">
        <v>300</v>
      </c>
      <c r="J6" s="14">
        <v>581</v>
      </c>
      <c r="K6" s="15">
        <f>L6</f>
        <v>581</v>
      </c>
      <c r="L6" s="15">
        <v>581</v>
      </c>
      <c r="M6" s="15">
        <f t="shared" ref="M6:M23" si="0">L6-N6</f>
        <v>581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4</v>
      </c>
      <c r="Q6" s="40">
        <f t="shared" ref="Q6:Q23" si="3">SUM(R6:AA6)</f>
        <v>20</v>
      </c>
      <c r="R6" s="7"/>
      <c r="S6" s="6"/>
      <c r="T6" s="16"/>
      <c r="U6" s="16"/>
      <c r="V6" s="17"/>
      <c r="W6" s="5"/>
      <c r="X6" s="16"/>
      <c r="Y6" s="16"/>
      <c r="Z6" s="16"/>
      <c r="AA6" s="18">
        <v>20</v>
      </c>
      <c r="AB6" s="8">
        <f t="shared" ref="AB6:AB23" si="4">IF(J6=0,"0",(L6/J6))</f>
        <v>1</v>
      </c>
      <c r="AC6" s="9">
        <f t="shared" ref="AC6:AC23" si="5">IF(P6=0,"0",(P6/24))</f>
        <v>0.16666666666666666</v>
      </c>
      <c r="AD6" s="10">
        <f t="shared" ref="AD6:AD23" si="6">AC6*AB6*(1-O6)</f>
        <v>0.16666666666666666</v>
      </c>
      <c r="AE6" s="36">
        <f t="shared" ref="AE6:AE23" si="7">$AD$24</f>
        <v>0.57537048046857786</v>
      </c>
      <c r="AF6" s="84">
        <f t="shared" ref="AF6:AF23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228</v>
      </c>
      <c r="E7" s="53" t="s">
        <v>299</v>
      </c>
      <c r="F7" s="30" t="s">
        <v>344</v>
      </c>
      <c r="G7" s="12">
        <v>4</v>
      </c>
      <c r="H7" s="13">
        <v>24</v>
      </c>
      <c r="I7" s="31">
        <v>130000</v>
      </c>
      <c r="J7" s="14">
        <v>26084</v>
      </c>
      <c r="K7" s="15">
        <f>L7+20667+13102+12272+13122+5600+15600+26484+22683</f>
        <v>155614</v>
      </c>
      <c r="L7" s="15">
        <f>3210*4+3311*4</f>
        <v>26084</v>
      </c>
      <c r="M7" s="15">
        <f t="shared" si="0"/>
        <v>26084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0.57537048046857786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139</v>
      </c>
      <c r="D8" s="52" t="s">
        <v>115</v>
      </c>
      <c r="E8" s="53" t="s">
        <v>442</v>
      </c>
      <c r="F8" s="30" t="s">
        <v>165</v>
      </c>
      <c r="G8" s="33">
        <v>1</v>
      </c>
      <c r="H8" s="35">
        <v>24</v>
      </c>
      <c r="I8" s="7">
        <v>2500</v>
      </c>
      <c r="J8" s="5">
        <v>2213</v>
      </c>
      <c r="K8" s="15">
        <f>L8+2507</f>
        <v>4720</v>
      </c>
      <c r="L8" s="15">
        <v>2213</v>
      </c>
      <c r="M8" s="15">
        <f t="shared" si="0"/>
        <v>2213</v>
      </c>
      <c r="N8" s="15">
        <v>0</v>
      </c>
      <c r="O8" s="58">
        <f t="shared" si="1"/>
        <v>0</v>
      </c>
      <c r="P8" s="39">
        <f t="shared" si="2"/>
        <v>10</v>
      </c>
      <c r="Q8" s="40">
        <f t="shared" si="3"/>
        <v>14</v>
      </c>
      <c r="R8" s="7"/>
      <c r="S8" s="6"/>
      <c r="T8" s="16"/>
      <c r="U8" s="16"/>
      <c r="V8" s="17"/>
      <c r="W8" s="5">
        <v>14</v>
      </c>
      <c r="X8" s="16"/>
      <c r="Y8" s="16"/>
      <c r="Z8" s="16"/>
      <c r="AA8" s="18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6">
        <f t="shared" si="7"/>
        <v>0.57537048046857786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134</v>
      </c>
      <c r="F9" s="30" t="s">
        <v>133</v>
      </c>
      <c r="G9" s="12">
        <v>1</v>
      </c>
      <c r="H9" s="13">
        <v>24</v>
      </c>
      <c r="I9" s="7">
        <v>50000</v>
      </c>
      <c r="J9" s="14">
        <v>5235</v>
      </c>
      <c r="K9" s="15">
        <f>L9+4441+5448+5546+5454+5474+5364+5279+1939+4542+4891+3967+5490+5482+5324+5398+4994+5489+5478</f>
        <v>95235</v>
      </c>
      <c r="L9" s="15">
        <f>2742+2493</f>
        <v>5235</v>
      </c>
      <c r="M9" s="15">
        <f t="shared" si="0"/>
        <v>5235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0.57537048046857786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135</v>
      </c>
      <c r="E10" s="53" t="s">
        <v>529</v>
      </c>
      <c r="F10" s="30" t="s">
        <v>244</v>
      </c>
      <c r="G10" s="33">
        <v>1</v>
      </c>
      <c r="H10" s="35">
        <v>24</v>
      </c>
      <c r="I10" s="7">
        <v>25000</v>
      </c>
      <c r="J10" s="14">
        <v>6648</v>
      </c>
      <c r="K10" s="15">
        <f>L10+6258</f>
        <v>12906</v>
      </c>
      <c r="L10" s="15">
        <f>3308+3340</f>
        <v>6648</v>
      </c>
      <c r="M10" s="15">
        <f t="shared" si="0"/>
        <v>6648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0.57537048046857786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464</v>
      </c>
      <c r="E11" s="53" t="s">
        <v>465</v>
      </c>
      <c r="F11" s="30" t="s">
        <v>466</v>
      </c>
      <c r="G11" s="33">
        <v>16</v>
      </c>
      <c r="H11" s="35">
        <v>24</v>
      </c>
      <c r="I11" s="7">
        <v>100000</v>
      </c>
      <c r="J11" s="14">
        <v>15260</v>
      </c>
      <c r="K11" s="15">
        <f>L11+39816+90622+108136+15260</f>
        <v>253834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0.57537048046857786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144</v>
      </c>
      <c r="F12" s="30" t="s">
        <v>145</v>
      </c>
      <c r="G12" s="12">
        <v>1</v>
      </c>
      <c r="H12" s="13">
        <v>22</v>
      </c>
      <c r="I12" s="31">
        <v>34000</v>
      </c>
      <c r="J12" s="5">
        <v>4563</v>
      </c>
      <c r="K12" s="15">
        <f>L12+5421+4981</f>
        <v>14965</v>
      </c>
      <c r="L12" s="15">
        <f>2724+1839</f>
        <v>4563</v>
      </c>
      <c r="M12" s="15">
        <f t="shared" si="0"/>
        <v>4563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6"/>
        <v>0.83333333333333337</v>
      </c>
      <c r="AE12" s="36">
        <f t="shared" si="7"/>
        <v>0.57537048046857786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135</v>
      </c>
      <c r="E13" s="53" t="s">
        <v>268</v>
      </c>
      <c r="F13" s="30" t="s">
        <v>244</v>
      </c>
      <c r="G13" s="33">
        <v>1</v>
      </c>
      <c r="H13" s="35">
        <v>24</v>
      </c>
      <c r="I13" s="7">
        <v>20000</v>
      </c>
      <c r="J13" s="14">
        <v>8436</v>
      </c>
      <c r="K13" s="15">
        <f>L13</f>
        <v>8436</v>
      </c>
      <c r="L13" s="15">
        <f>869*2+3349*2</f>
        <v>8436</v>
      </c>
      <c r="M13" s="15">
        <f t="shared" si="0"/>
        <v>8436</v>
      </c>
      <c r="N13" s="15">
        <v>0</v>
      </c>
      <c r="O13" s="58">
        <f t="shared" si="1"/>
        <v>0</v>
      </c>
      <c r="P13" s="39">
        <f t="shared" si="2"/>
        <v>17</v>
      </c>
      <c r="Q13" s="40">
        <f t="shared" si="3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0.70833333333333337</v>
      </c>
      <c r="AD13" s="10">
        <f t="shared" si="6"/>
        <v>0.70833333333333337</v>
      </c>
      <c r="AE13" s="36">
        <f t="shared" si="7"/>
        <v>0.57537048046857786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505</v>
      </c>
      <c r="F14" s="30" t="s">
        <v>245</v>
      </c>
      <c r="G14" s="33">
        <v>1</v>
      </c>
      <c r="H14" s="35">
        <v>50</v>
      </c>
      <c r="I14" s="7">
        <v>300</v>
      </c>
      <c r="J14" s="5">
        <v>275</v>
      </c>
      <c r="K14" s="15">
        <f>L14+340+275</f>
        <v>615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0.57537048046857786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130</v>
      </c>
      <c r="E15" s="53" t="s">
        <v>520</v>
      </c>
      <c r="F15" s="30" t="s">
        <v>344</v>
      </c>
      <c r="G15" s="12">
        <v>4</v>
      </c>
      <c r="H15" s="13">
        <v>24</v>
      </c>
      <c r="I15" s="31">
        <v>80000</v>
      </c>
      <c r="J15" s="14">
        <v>22956</v>
      </c>
      <c r="K15" s="15">
        <f>L15+17216+22532</f>
        <v>62704</v>
      </c>
      <c r="L15" s="15">
        <f>2893*4+2846*4</f>
        <v>22956</v>
      </c>
      <c r="M15" s="15">
        <f t="shared" si="0"/>
        <v>22956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0.57537048046857786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139</v>
      </c>
      <c r="D16" s="52" t="s">
        <v>162</v>
      </c>
      <c r="E16" s="53" t="s">
        <v>545</v>
      </c>
      <c r="F16" s="30" t="s">
        <v>245</v>
      </c>
      <c r="G16" s="12">
        <v>1</v>
      </c>
      <c r="H16" s="13">
        <v>24</v>
      </c>
      <c r="I16" s="7">
        <v>1000</v>
      </c>
      <c r="J16" s="14">
        <v>2556</v>
      </c>
      <c r="K16" s="15">
        <f>L16</f>
        <v>2556</v>
      </c>
      <c r="L16" s="15">
        <f>1624+932</f>
        <v>2556</v>
      </c>
      <c r="M16" s="15">
        <f t="shared" si="0"/>
        <v>2556</v>
      </c>
      <c r="N16" s="15">
        <v>0</v>
      </c>
      <c r="O16" s="58">
        <f t="shared" si="1"/>
        <v>0</v>
      </c>
      <c r="P16" s="39">
        <f t="shared" si="2"/>
        <v>12</v>
      </c>
      <c r="Q16" s="40">
        <f t="shared" si="3"/>
        <v>12</v>
      </c>
      <c r="R16" s="7"/>
      <c r="S16" s="6">
        <v>4</v>
      </c>
      <c r="T16" s="16"/>
      <c r="U16" s="16"/>
      <c r="V16" s="17"/>
      <c r="W16" s="5">
        <v>8</v>
      </c>
      <c r="X16" s="16"/>
      <c r="Y16" s="16"/>
      <c r="Z16" s="16"/>
      <c r="AA16" s="18"/>
      <c r="AB16" s="8">
        <f t="shared" si="4"/>
        <v>1</v>
      </c>
      <c r="AC16" s="9">
        <f t="shared" si="5"/>
        <v>0.5</v>
      </c>
      <c r="AD16" s="10">
        <f t="shared" si="6"/>
        <v>0.5</v>
      </c>
      <c r="AE16" s="36">
        <f t="shared" si="7"/>
        <v>0.57537048046857786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/>
      <c r="E17" s="53" t="s">
        <v>546</v>
      </c>
      <c r="F17" s="30" t="s">
        <v>128</v>
      </c>
      <c r="G17" s="12">
        <v>1</v>
      </c>
      <c r="H17" s="13">
        <v>24</v>
      </c>
      <c r="I17" s="7">
        <v>6000</v>
      </c>
      <c r="J17" s="14">
        <v>4996</v>
      </c>
      <c r="K17" s="15">
        <f>L17</f>
        <v>4996</v>
      </c>
      <c r="L17" s="15">
        <f>2179+2817</f>
        <v>4996</v>
      </c>
      <c r="M17" s="15">
        <f t="shared" si="0"/>
        <v>4996</v>
      </c>
      <c r="N17" s="15">
        <v>0</v>
      </c>
      <c r="O17" s="58">
        <f t="shared" si="1"/>
        <v>0</v>
      </c>
      <c r="P17" s="39">
        <f t="shared" si="2"/>
        <v>23</v>
      </c>
      <c r="Q17" s="40">
        <f t="shared" si="3"/>
        <v>1</v>
      </c>
      <c r="R17" s="7"/>
      <c r="S17" s="6">
        <v>1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0.95833333333333337</v>
      </c>
      <c r="AD17" s="10">
        <f t="shared" si="6"/>
        <v>0.95833333333333337</v>
      </c>
      <c r="AE17" s="36">
        <f t="shared" si="7"/>
        <v>0.57537048046857786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467</v>
      </c>
      <c r="F18" s="30" t="s">
        <v>129</v>
      </c>
      <c r="G18" s="33">
        <v>1</v>
      </c>
      <c r="H18" s="35">
        <v>24</v>
      </c>
      <c r="I18" s="7">
        <v>23400</v>
      </c>
      <c r="J18" s="14">
        <v>5869</v>
      </c>
      <c r="K18" s="15">
        <f>L18+783+4509+5580+5841+5844</f>
        <v>28426</v>
      </c>
      <c r="L18" s="15">
        <f>2878+2991</f>
        <v>5869</v>
      </c>
      <c r="M18" s="15">
        <f t="shared" si="0"/>
        <v>5869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0.57537048046857786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135</v>
      </c>
      <c r="E19" s="53" t="s">
        <v>270</v>
      </c>
      <c r="F19" s="30" t="s">
        <v>231</v>
      </c>
      <c r="G19" s="33">
        <v>2</v>
      </c>
      <c r="H19" s="35">
        <v>24</v>
      </c>
      <c r="I19" s="7">
        <v>1500</v>
      </c>
      <c r="J19" s="14">
        <v>1652</v>
      </c>
      <c r="K19" s="15">
        <f>L19</f>
        <v>1652</v>
      </c>
      <c r="L19" s="15">
        <f>826*2</f>
        <v>1652</v>
      </c>
      <c r="M19" s="15">
        <f t="shared" ref="M19" si="9">L19-N19</f>
        <v>1652</v>
      </c>
      <c r="N19" s="15">
        <v>0</v>
      </c>
      <c r="O19" s="58">
        <f t="shared" ref="O19" si="10">IF(L19=0,"0",N19/L19)</f>
        <v>0</v>
      </c>
      <c r="P19" s="39">
        <f t="shared" ref="P19" si="11">IF(L19=0,"0",(24-Q19))</f>
        <v>5</v>
      </c>
      <c r="Q19" s="40">
        <f t="shared" ref="Q19" si="12">SUM(R19:AA19)</f>
        <v>19</v>
      </c>
      <c r="R19" s="7"/>
      <c r="S19" s="6"/>
      <c r="T19" s="16"/>
      <c r="U19" s="16"/>
      <c r="V19" s="17"/>
      <c r="W19" s="5">
        <v>19</v>
      </c>
      <c r="X19" s="16"/>
      <c r="Y19" s="16"/>
      <c r="Z19" s="16"/>
      <c r="AA19" s="18"/>
      <c r="AB19" s="8">
        <f t="shared" ref="AB19" si="13">IF(J19=0,"0",(L19/J19))</f>
        <v>1</v>
      </c>
      <c r="AC19" s="9">
        <f t="shared" ref="AC19" si="14">IF(P19=0,"0",(P19/24))</f>
        <v>0.20833333333333334</v>
      </c>
      <c r="AD19" s="10">
        <f t="shared" ref="AD19" si="15">AC19*AB19*(1-O19)</f>
        <v>0.20833333333333334</v>
      </c>
      <c r="AE19" s="36">
        <f t="shared" si="7"/>
        <v>0.57537048046857786</v>
      </c>
      <c r="AF19" s="84">
        <f t="shared" ref="AF19" si="16">A19</f>
        <v>14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211</v>
      </c>
      <c r="E20" s="53" t="s">
        <v>513</v>
      </c>
      <c r="F20" s="30" t="s">
        <v>131</v>
      </c>
      <c r="G20" s="33">
        <v>2</v>
      </c>
      <c r="H20" s="35">
        <v>24</v>
      </c>
      <c r="I20" s="7">
        <v>1000</v>
      </c>
      <c r="J20" s="14">
        <v>1000</v>
      </c>
      <c r="K20" s="15">
        <f>L20</f>
        <v>1000</v>
      </c>
      <c r="L20" s="15">
        <v>1000</v>
      </c>
      <c r="M20" s="15">
        <f t="shared" si="0"/>
        <v>1000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>
        <v>4</v>
      </c>
      <c r="T20" s="16"/>
      <c r="U20" s="16"/>
      <c r="V20" s="17"/>
      <c r="W20" s="5">
        <v>16</v>
      </c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si="6"/>
        <v>0.16666666666666666</v>
      </c>
      <c r="AE20" s="36">
        <f t="shared" si="7"/>
        <v>0.57537048046857786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118</v>
      </c>
      <c r="D21" s="52" t="s">
        <v>228</v>
      </c>
      <c r="E21" s="53" t="s">
        <v>225</v>
      </c>
      <c r="F21" s="30" t="s">
        <v>233</v>
      </c>
      <c r="G21" s="12">
        <v>2</v>
      </c>
      <c r="H21" s="13">
        <v>24</v>
      </c>
      <c r="I21" s="7">
        <v>1500</v>
      </c>
      <c r="J21" s="14">
        <v>1682</v>
      </c>
      <c r="K21" s="15">
        <f>L21</f>
        <v>1682</v>
      </c>
      <c r="L21" s="15">
        <f>841*2</f>
        <v>1682</v>
      </c>
      <c r="M21" s="15">
        <f t="shared" ref="M21" si="17">L21-N21</f>
        <v>1682</v>
      </c>
      <c r="N21" s="15">
        <v>0</v>
      </c>
      <c r="O21" s="58">
        <f t="shared" ref="O21" si="18">IF(L21=0,"0",N21/L21)</f>
        <v>0</v>
      </c>
      <c r="P21" s="39">
        <f t="shared" ref="P21" si="19">IF(L21=0,"0",(24-Q21))</f>
        <v>5</v>
      </c>
      <c r="Q21" s="40">
        <f t="shared" ref="Q21" si="20">SUM(R21:AA21)</f>
        <v>19</v>
      </c>
      <c r="R21" s="7"/>
      <c r="S21" s="6"/>
      <c r="T21" s="16"/>
      <c r="U21" s="16"/>
      <c r="V21" s="17"/>
      <c r="W21" s="5">
        <v>19</v>
      </c>
      <c r="X21" s="16"/>
      <c r="Y21" s="16"/>
      <c r="Z21" s="16"/>
      <c r="AA21" s="18"/>
      <c r="AB21" s="8">
        <f t="shared" ref="AB21" si="21">IF(J21=0,"0",(L21/J21))</f>
        <v>1</v>
      </c>
      <c r="AC21" s="9">
        <f t="shared" ref="AC21" si="22">IF(P21=0,"0",(P21/24))</f>
        <v>0.20833333333333334</v>
      </c>
      <c r="AD21" s="10">
        <f t="shared" ref="AD21" si="23">AC21*AB21*(1-O21)</f>
        <v>0.20833333333333334</v>
      </c>
      <c r="AE21" s="36">
        <f t="shared" si="7"/>
        <v>0.57537048046857786</v>
      </c>
      <c r="AF21" s="84">
        <f t="shared" ref="AF21" si="24">A21</f>
        <v>15</v>
      </c>
    </row>
    <row r="22" spans="1:32" ht="30" customHeight="1">
      <c r="A22" s="112">
        <v>15</v>
      </c>
      <c r="B22" s="11" t="s">
        <v>57</v>
      </c>
      <c r="C22" s="34" t="s">
        <v>118</v>
      </c>
      <c r="D22" s="52" t="s">
        <v>115</v>
      </c>
      <c r="E22" s="53" t="s">
        <v>260</v>
      </c>
      <c r="F22" s="30" t="s">
        <v>145</v>
      </c>
      <c r="G22" s="12">
        <v>2</v>
      </c>
      <c r="H22" s="13">
        <v>24</v>
      </c>
      <c r="I22" s="7">
        <v>1500</v>
      </c>
      <c r="J22" s="14">
        <v>1682</v>
      </c>
      <c r="K22" s="15">
        <f>L22</f>
        <v>1534</v>
      </c>
      <c r="L22" s="15">
        <f>767*2</f>
        <v>1534</v>
      </c>
      <c r="M22" s="15">
        <f t="shared" si="0"/>
        <v>1534</v>
      </c>
      <c r="N22" s="15">
        <v>0</v>
      </c>
      <c r="O22" s="58">
        <f t="shared" si="1"/>
        <v>0</v>
      </c>
      <c r="P22" s="39">
        <f t="shared" si="2"/>
        <v>5</v>
      </c>
      <c r="Q22" s="40">
        <f t="shared" si="3"/>
        <v>19</v>
      </c>
      <c r="R22" s="7"/>
      <c r="S22" s="6"/>
      <c r="T22" s="16"/>
      <c r="U22" s="16"/>
      <c r="V22" s="17"/>
      <c r="W22" s="5">
        <v>19</v>
      </c>
      <c r="X22" s="16"/>
      <c r="Y22" s="16"/>
      <c r="Z22" s="16"/>
      <c r="AA22" s="18"/>
      <c r="AB22" s="8">
        <f t="shared" si="4"/>
        <v>0.91200951248513673</v>
      </c>
      <c r="AC22" s="9">
        <f t="shared" si="5"/>
        <v>0.20833333333333334</v>
      </c>
      <c r="AD22" s="10">
        <f t="shared" si="6"/>
        <v>0.19000198176773683</v>
      </c>
      <c r="AE22" s="36">
        <f t="shared" si="7"/>
        <v>0.57537048046857786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346</v>
      </c>
      <c r="F23" s="12" t="s">
        <v>114</v>
      </c>
      <c r="G23" s="12">
        <v>3</v>
      </c>
      <c r="H23" s="35">
        <v>20</v>
      </c>
      <c r="I23" s="7">
        <v>1000000</v>
      </c>
      <c r="J23" s="14">
        <v>75692</v>
      </c>
      <c r="K23" s="15">
        <f>L23+28316+74820+71924+69164+75560+75632+75472+75276+75604+67592+75408+75360</f>
        <v>915820</v>
      </c>
      <c r="L23" s="15">
        <f>9386*4+9537*4</f>
        <v>75692</v>
      </c>
      <c r="M23" s="15">
        <f t="shared" si="0"/>
        <v>75692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6"/>
        <v>1</v>
      </c>
      <c r="AE23" s="36">
        <f t="shared" si="7"/>
        <v>0.57537048046857786</v>
      </c>
      <c r="AF23" s="84">
        <f t="shared" si="8"/>
        <v>16</v>
      </c>
    </row>
    <row r="24" spans="1:32" ht="31.5" customHeight="1" thickBot="1">
      <c r="A24" s="408" t="s">
        <v>34</v>
      </c>
      <c r="B24" s="409"/>
      <c r="C24" s="409"/>
      <c r="D24" s="409"/>
      <c r="E24" s="409"/>
      <c r="F24" s="409"/>
      <c r="G24" s="409"/>
      <c r="H24" s="410"/>
      <c r="I24" s="22">
        <f t="shared" ref="I24:N24" si="25">SUM(I6:I23)</f>
        <v>1478000</v>
      </c>
      <c r="J24" s="19">
        <f t="shared" si="25"/>
        <v>187380</v>
      </c>
      <c r="K24" s="20">
        <f t="shared" si="25"/>
        <v>1567276</v>
      </c>
      <c r="L24" s="21">
        <f t="shared" si="25"/>
        <v>171697</v>
      </c>
      <c r="M24" s="20">
        <f t="shared" si="25"/>
        <v>171697</v>
      </c>
      <c r="N24" s="21">
        <f t="shared" si="25"/>
        <v>0</v>
      </c>
      <c r="O24" s="41">
        <f t="shared" si="1"/>
        <v>0</v>
      </c>
      <c r="P24" s="42">
        <f t="shared" ref="P24:AA24" si="26">SUM(P6:P23)</f>
        <v>249</v>
      </c>
      <c r="Q24" s="43">
        <f t="shared" si="26"/>
        <v>183</v>
      </c>
      <c r="R24" s="23">
        <f t="shared" si="26"/>
        <v>24</v>
      </c>
      <c r="S24" s="24">
        <f t="shared" si="26"/>
        <v>20</v>
      </c>
      <c r="T24" s="24">
        <f t="shared" si="26"/>
        <v>0</v>
      </c>
      <c r="U24" s="24">
        <f t="shared" si="26"/>
        <v>0</v>
      </c>
      <c r="V24" s="25">
        <f t="shared" si="26"/>
        <v>0</v>
      </c>
      <c r="W24" s="26">
        <f t="shared" si="26"/>
        <v>119</v>
      </c>
      <c r="X24" s="27">
        <f t="shared" si="26"/>
        <v>0</v>
      </c>
      <c r="Y24" s="27">
        <f t="shared" si="26"/>
        <v>0</v>
      </c>
      <c r="Z24" s="27">
        <f t="shared" si="26"/>
        <v>0</v>
      </c>
      <c r="AA24" s="27">
        <f t="shared" si="26"/>
        <v>20</v>
      </c>
      <c r="AB24" s="28">
        <f>AVERAGE(AB6:AB23)</f>
        <v>0.88400052847139643</v>
      </c>
      <c r="AC24" s="4">
        <f>AVERAGE(AC6:AC23)</f>
        <v>0.57638888888888884</v>
      </c>
      <c r="AD24" s="4">
        <f>AVERAGE(AD6:AD23)</f>
        <v>0.57537048046857786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11" t="s">
        <v>45</v>
      </c>
      <c r="B51" s="411"/>
      <c r="C51" s="411"/>
      <c r="D51" s="411"/>
      <c r="E51" s="411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12" t="s">
        <v>551</v>
      </c>
      <c r="B52" s="413"/>
      <c r="C52" s="413"/>
      <c r="D52" s="413"/>
      <c r="E52" s="413"/>
      <c r="F52" s="413"/>
      <c r="G52" s="413"/>
      <c r="H52" s="413"/>
      <c r="I52" s="413"/>
      <c r="J52" s="413"/>
      <c r="K52" s="413"/>
      <c r="L52" s="413"/>
      <c r="M52" s="414"/>
      <c r="N52" s="415" t="s">
        <v>552</v>
      </c>
      <c r="O52" s="416"/>
      <c r="P52" s="416"/>
      <c r="Q52" s="416"/>
      <c r="R52" s="416"/>
      <c r="S52" s="416"/>
      <c r="T52" s="416"/>
      <c r="U52" s="416"/>
      <c r="V52" s="416"/>
      <c r="W52" s="416"/>
      <c r="X52" s="416"/>
      <c r="Y52" s="416"/>
      <c r="Z52" s="416"/>
      <c r="AA52" s="416"/>
      <c r="AB52" s="416"/>
      <c r="AC52" s="416"/>
      <c r="AD52" s="417"/>
    </row>
    <row r="53" spans="1:32" ht="27" customHeight="1">
      <c r="A53" s="418" t="s">
        <v>2</v>
      </c>
      <c r="B53" s="419"/>
      <c r="C53" s="366" t="s">
        <v>46</v>
      </c>
      <c r="D53" s="366" t="s">
        <v>47</v>
      </c>
      <c r="E53" s="366" t="s">
        <v>107</v>
      </c>
      <c r="F53" s="420" t="s">
        <v>106</v>
      </c>
      <c r="G53" s="421"/>
      <c r="H53" s="421"/>
      <c r="I53" s="421"/>
      <c r="J53" s="421"/>
      <c r="K53" s="421"/>
      <c r="L53" s="421"/>
      <c r="M53" s="422"/>
      <c r="N53" s="67" t="s">
        <v>110</v>
      </c>
      <c r="O53" s="366" t="s">
        <v>46</v>
      </c>
      <c r="P53" s="420" t="s">
        <v>47</v>
      </c>
      <c r="Q53" s="423"/>
      <c r="R53" s="420" t="s">
        <v>38</v>
      </c>
      <c r="S53" s="421"/>
      <c r="T53" s="421"/>
      <c r="U53" s="423"/>
      <c r="V53" s="420" t="s">
        <v>48</v>
      </c>
      <c r="W53" s="421"/>
      <c r="X53" s="421"/>
      <c r="Y53" s="421"/>
      <c r="Z53" s="421"/>
      <c r="AA53" s="421"/>
      <c r="AB53" s="421"/>
      <c r="AC53" s="421"/>
      <c r="AD53" s="422"/>
    </row>
    <row r="54" spans="1:32" ht="27" customHeight="1">
      <c r="A54" s="434" t="s">
        <v>112</v>
      </c>
      <c r="B54" s="435"/>
      <c r="C54" s="362" t="s">
        <v>250</v>
      </c>
      <c r="D54" s="362" t="s">
        <v>212</v>
      </c>
      <c r="E54" s="362" t="s">
        <v>544</v>
      </c>
      <c r="F54" s="436" t="s">
        <v>138</v>
      </c>
      <c r="G54" s="437"/>
      <c r="H54" s="437"/>
      <c r="I54" s="437"/>
      <c r="J54" s="437"/>
      <c r="K54" s="437"/>
      <c r="L54" s="437"/>
      <c r="M54" s="438"/>
      <c r="N54" s="365" t="s">
        <v>156</v>
      </c>
      <c r="O54" s="359" t="s">
        <v>250</v>
      </c>
      <c r="P54" s="439" t="s">
        <v>162</v>
      </c>
      <c r="Q54" s="440"/>
      <c r="R54" s="439" t="s">
        <v>158</v>
      </c>
      <c r="S54" s="441"/>
      <c r="T54" s="441"/>
      <c r="U54" s="440"/>
      <c r="V54" s="442" t="s">
        <v>138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118</v>
      </c>
      <c r="B55" s="435"/>
      <c r="C55" s="362" t="s">
        <v>208</v>
      </c>
      <c r="D55" s="362" t="s">
        <v>228</v>
      </c>
      <c r="E55" s="362" t="s">
        <v>225</v>
      </c>
      <c r="F55" s="436" t="s">
        <v>138</v>
      </c>
      <c r="G55" s="437"/>
      <c r="H55" s="437"/>
      <c r="I55" s="437"/>
      <c r="J55" s="437"/>
      <c r="K55" s="437"/>
      <c r="L55" s="437"/>
      <c r="M55" s="438"/>
      <c r="N55" s="365" t="s">
        <v>118</v>
      </c>
      <c r="O55" s="359" t="s">
        <v>385</v>
      </c>
      <c r="P55" s="439" t="s">
        <v>115</v>
      </c>
      <c r="Q55" s="440"/>
      <c r="R55" s="439" t="s">
        <v>553</v>
      </c>
      <c r="S55" s="441"/>
      <c r="T55" s="441"/>
      <c r="U55" s="440"/>
      <c r="V55" s="442" t="s">
        <v>138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118</v>
      </c>
      <c r="B56" s="435"/>
      <c r="C56" s="362" t="s">
        <v>208</v>
      </c>
      <c r="D56" s="362" t="s">
        <v>115</v>
      </c>
      <c r="E56" s="362" t="s">
        <v>260</v>
      </c>
      <c r="F56" s="436" t="s">
        <v>138</v>
      </c>
      <c r="G56" s="437"/>
      <c r="H56" s="437"/>
      <c r="I56" s="437"/>
      <c r="J56" s="437"/>
      <c r="K56" s="437"/>
      <c r="L56" s="437"/>
      <c r="M56" s="438"/>
      <c r="N56" s="365" t="s">
        <v>118</v>
      </c>
      <c r="O56" s="359" t="s">
        <v>136</v>
      </c>
      <c r="P56" s="439" t="s">
        <v>115</v>
      </c>
      <c r="Q56" s="440"/>
      <c r="R56" s="439" t="s">
        <v>144</v>
      </c>
      <c r="S56" s="441"/>
      <c r="T56" s="441"/>
      <c r="U56" s="440"/>
      <c r="V56" s="442" t="s">
        <v>124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118</v>
      </c>
      <c r="B57" s="435"/>
      <c r="C57" s="362" t="s">
        <v>136</v>
      </c>
      <c r="D57" s="362" t="s">
        <v>115</v>
      </c>
      <c r="E57" s="362" t="s">
        <v>144</v>
      </c>
      <c r="F57" s="436" t="s">
        <v>297</v>
      </c>
      <c r="G57" s="437"/>
      <c r="H57" s="437"/>
      <c r="I57" s="437"/>
      <c r="J57" s="437"/>
      <c r="K57" s="437"/>
      <c r="L57" s="437"/>
      <c r="M57" s="438"/>
      <c r="N57" s="365" t="s">
        <v>118</v>
      </c>
      <c r="O57" s="359" t="s">
        <v>201</v>
      </c>
      <c r="P57" s="439" t="s">
        <v>130</v>
      </c>
      <c r="Q57" s="440"/>
      <c r="R57" s="439" t="s">
        <v>554</v>
      </c>
      <c r="S57" s="441"/>
      <c r="T57" s="441"/>
      <c r="U57" s="440"/>
      <c r="V57" s="442" t="s">
        <v>138</v>
      </c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139</v>
      </c>
      <c r="B58" s="435"/>
      <c r="C58" s="362" t="s">
        <v>141</v>
      </c>
      <c r="D58" s="362" t="s">
        <v>162</v>
      </c>
      <c r="E58" s="362" t="s">
        <v>545</v>
      </c>
      <c r="F58" s="436" t="s">
        <v>138</v>
      </c>
      <c r="G58" s="437"/>
      <c r="H58" s="437"/>
      <c r="I58" s="437"/>
      <c r="J58" s="437"/>
      <c r="K58" s="437"/>
      <c r="L58" s="437"/>
      <c r="M58" s="438"/>
      <c r="N58" s="365" t="s">
        <v>118</v>
      </c>
      <c r="O58" s="359" t="s">
        <v>208</v>
      </c>
      <c r="P58" s="439" t="s">
        <v>115</v>
      </c>
      <c r="Q58" s="440"/>
      <c r="R58" s="439" t="s">
        <v>555</v>
      </c>
      <c r="S58" s="441"/>
      <c r="T58" s="441"/>
      <c r="U58" s="440"/>
      <c r="V58" s="442" t="s">
        <v>138</v>
      </c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 t="s">
        <v>120</v>
      </c>
      <c r="B59" s="435"/>
      <c r="C59" s="362" t="s">
        <v>198</v>
      </c>
      <c r="D59" s="362"/>
      <c r="E59" s="362" t="s">
        <v>546</v>
      </c>
      <c r="F59" s="436" t="s">
        <v>138</v>
      </c>
      <c r="G59" s="437"/>
      <c r="H59" s="437"/>
      <c r="I59" s="437"/>
      <c r="J59" s="437"/>
      <c r="K59" s="437"/>
      <c r="L59" s="437"/>
      <c r="M59" s="438"/>
      <c r="N59" s="365"/>
      <c r="O59" s="359"/>
      <c r="P59" s="439"/>
      <c r="Q59" s="440"/>
      <c r="R59" s="439"/>
      <c r="S59" s="441"/>
      <c r="T59" s="441"/>
      <c r="U59" s="440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34" t="s">
        <v>118</v>
      </c>
      <c r="B60" s="435"/>
      <c r="C60" s="362" t="s">
        <v>201</v>
      </c>
      <c r="D60" s="362" t="s">
        <v>216</v>
      </c>
      <c r="E60" s="362" t="s">
        <v>223</v>
      </c>
      <c r="F60" s="436" t="s">
        <v>138</v>
      </c>
      <c r="G60" s="437"/>
      <c r="H60" s="437"/>
      <c r="I60" s="437"/>
      <c r="J60" s="437"/>
      <c r="K60" s="437"/>
      <c r="L60" s="437"/>
      <c r="M60" s="438"/>
      <c r="N60" s="365"/>
      <c r="O60" s="359"/>
      <c r="P60" s="439"/>
      <c r="Q60" s="440"/>
      <c r="R60" s="439"/>
      <c r="S60" s="441"/>
      <c r="T60" s="441"/>
      <c r="U60" s="440"/>
      <c r="V60" s="442"/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57" t="s">
        <v>112</v>
      </c>
      <c r="B61" s="458"/>
      <c r="C61" s="361" t="s">
        <v>201</v>
      </c>
      <c r="D61" s="361" t="s">
        <v>211</v>
      </c>
      <c r="E61" s="362" t="s">
        <v>513</v>
      </c>
      <c r="F61" s="436" t="s">
        <v>206</v>
      </c>
      <c r="G61" s="437"/>
      <c r="H61" s="437"/>
      <c r="I61" s="437"/>
      <c r="J61" s="437"/>
      <c r="K61" s="437"/>
      <c r="L61" s="437"/>
      <c r="M61" s="438"/>
      <c r="N61" s="365"/>
      <c r="O61" s="359"/>
      <c r="P61" s="439"/>
      <c r="Q61" s="440"/>
      <c r="R61" s="435"/>
      <c r="S61" s="435"/>
      <c r="T61" s="435"/>
      <c r="U61" s="435"/>
      <c r="V61" s="442"/>
      <c r="W61" s="442"/>
      <c r="X61" s="442"/>
      <c r="Y61" s="442"/>
      <c r="Z61" s="442"/>
      <c r="AA61" s="442"/>
      <c r="AB61" s="442"/>
      <c r="AC61" s="442"/>
      <c r="AD61" s="443"/>
    </row>
    <row r="62" spans="1:32" ht="27" customHeight="1">
      <c r="A62" s="457"/>
      <c r="B62" s="458"/>
      <c r="C62" s="361"/>
      <c r="D62" s="361"/>
      <c r="E62" s="362"/>
      <c r="F62" s="436"/>
      <c r="G62" s="437"/>
      <c r="H62" s="437"/>
      <c r="I62" s="437"/>
      <c r="J62" s="437"/>
      <c r="K62" s="437"/>
      <c r="L62" s="437"/>
      <c r="M62" s="438"/>
      <c r="N62" s="365"/>
      <c r="O62" s="359"/>
      <c r="P62" s="435"/>
      <c r="Q62" s="435"/>
      <c r="R62" s="435"/>
      <c r="S62" s="435"/>
      <c r="T62" s="435"/>
      <c r="U62" s="435"/>
      <c r="V62" s="442"/>
      <c r="W62" s="442"/>
      <c r="X62" s="442"/>
      <c r="Y62" s="442"/>
      <c r="Z62" s="442"/>
      <c r="AA62" s="442"/>
      <c r="AB62" s="442"/>
      <c r="AC62" s="442"/>
      <c r="AD62" s="443"/>
      <c r="AF62" s="84">
        <f>8*3000</f>
        <v>24000</v>
      </c>
    </row>
    <row r="63" spans="1:32" ht="27" customHeight="1" thickBot="1">
      <c r="A63" s="444"/>
      <c r="B63" s="445"/>
      <c r="C63" s="363"/>
      <c r="D63" s="364"/>
      <c r="E63" s="363"/>
      <c r="F63" s="446"/>
      <c r="G63" s="447"/>
      <c r="H63" s="447"/>
      <c r="I63" s="447"/>
      <c r="J63" s="447"/>
      <c r="K63" s="447"/>
      <c r="L63" s="447"/>
      <c r="M63" s="448"/>
      <c r="N63" s="111"/>
      <c r="O63" s="103"/>
      <c r="P63" s="449"/>
      <c r="Q63" s="449"/>
      <c r="R63" s="449"/>
      <c r="S63" s="449"/>
      <c r="T63" s="449"/>
      <c r="U63" s="449"/>
      <c r="V63" s="450"/>
      <c r="W63" s="450"/>
      <c r="X63" s="450"/>
      <c r="Y63" s="450"/>
      <c r="Z63" s="450"/>
      <c r="AA63" s="450"/>
      <c r="AB63" s="450"/>
      <c r="AC63" s="450"/>
      <c r="AD63" s="451"/>
      <c r="AF63" s="84">
        <f>16*3000</f>
        <v>48000</v>
      </c>
    </row>
    <row r="64" spans="1:32" ht="27.75" thickBot="1">
      <c r="A64" s="452" t="s">
        <v>556</v>
      </c>
      <c r="B64" s="452"/>
      <c r="C64" s="452"/>
      <c r="D64" s="452"/>
      <c r="E64" s="452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53" t="s">
        <v>111</v>
      </c>
      <c r="B65" s="454"/>
      <c r="C65" s="360" t="s">
        <v>2</v>
      </c>
      <c r="D65" s="360" t="s">
        <v>37</v>
      </c>
      <c r="E65" s="360" t="s">
        <v>3</v>
      </c>
      <c r="F65" s="454" t="s">
        <v>109</v>
      </c>
      <c r="G65" s="454"/>
      <c r="H65" s="454"/>
      <c r="I65" s="454"/>
      <c r="J65" s="454"/>
      <c r="K65" s="454" t="s">
        <v>39</v>
      </c>
      <c r="L65" s="454"/>
      <c r="M65" s="360" t="s">
        <v>40</v>
      </c>
      <c r="N65" s="454" t="s">
        <v>41</v>
      </c>
      <c r="O65" s="454"/>
      <c r="P65" s="455" t="s">
        <v>42</v>
      </c>
      <c r="Q65" s="456"/>
      <c r="R65" s="455" t="s">
        <v>43</v>
      </c>
      <c r="S65" s="459"/>
      <c r="T65" s="459"/>
      <c r="U65" s="459"/>
      <c r="V65" s="459"/>
      <c r="W65" s="459"/>
      <c r="X65" s="459"/>
      <c r="Y65" s="459"/>
      <c r="Z65" s="459"/>
      <c r="AA65" s="456"/>
      <c r="AB65" s="454" t="s">
        <v>44</v>
      </c>
      <c r="AC65" s="454"/>
      <c r="AD65" s="460"/>
      <c r="AF65" s="84">
        <f>SUM(AF62:AF64)</f>
        <v>96000</v>
      </c>
    </row>
    <row r="66" spans="1:32" ht="25.5" customHeight="1">
      <c r="A66" s="461">
        <v>1</v>
      </c>
      <c r="B66" s="462"/>
      <c r="C66" s="104" t="s">
        <v>112</v>
      </c>
      <c r="D66" s="355"/>
      <c r="E66" s="358" t="s">
        <v>212</v>
      </c>
      <c r="F66" s="463" t="s">
        <v>476</v>
      </c>
      <c r="G66" s="464"/>
      <c r="H66" s="464"/>
      <c r="I66" s="464"/>
      <c r="J66" s="465"/>
      <c r="K66" s="466" t="s">
        <v>132</v>
      </c>
      <c r="L66" s="466"/>
      <c r="M66" s="51" t="s">
        <v>230</v>
      </c>
      <c r="N66" s="467" t="s">
        <v>250</v>
      </c>
      <c r="O66" s="467"/>
      <c r="P66" s="468">
        <v>50</v>
      </c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2</v>
      </c>
      <c r="B67" s="462"/>
      <c r="C67" s="104" t="s">
        <v>118</v>
      </c>
      <c r="D67" s="355"/>
      <c r="E67" s="358" t="s">
        <v>228</v>
      </c>
      <c r="F67" s="463" t="s">
        <v>557</v>
      </c>
      <c r="G67" s="464"/>
      <c r="H67" s="464"/>
      <c r="I67" s="464"/>
      <c r="J67" s="465"/>
      <c r="K67" s="466" t="s">
        <v>344</v>
      </c>
      <c r="L67" s="466"/>
      <c r="M67" s="51" t="s">
        <v>232</v>
      </c>
      <c r="N67" s="467" t="s">
        <v>250</v>
      </c>
      <c r="O67" s="467"/>
      <c r="P67" s="468">
        <v>200</v>
      </c>
      <c r="Q67" s="468"/>
      <c r="R67" s="442" t="s">
        <v>248</v>
      </c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3</v>
      </c>
      <c r="B68" s="462"/>
      <c r="C68" s="104" t="s">
        <v>118</v>
      </c>
      <c r="D68" s="355"/>
      <c r="E68" s="358" t="s">
        <v>115</v>
      </c>
      <c r="F68" s="463" t="s">
        <v>558</v>
      </c>
      <c r="G68" s="464"/>
      <c r="H68" s="464"/>
      <c r="I68" s="464"/>
      <c r="J68" s="465"/>
      <c r="K68" s="466" t="s">
        <v>344</v>
      </c>
      <c r="L68" s="466"/>
      <c r="M68" s="51" t="s">
        <v>232</v>
      </c>
      <c r="N68" s="467" t="s">
        <v>250</v>
      </c>
      <c r="O68" s="467"/>
      <c r="P68" s="468">
        <v>200</v>
      </c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4</v>
      </c>
      <c r="B69" s="462"/>
      <c r="C69" s="104" t="s">
        <v>118</v>
      </c>
      <c r="D69" s="355"/>
      <c r="E69" s="358" t="s">
        <v>390</v>
      </c>
      <c r="F69" s="463" t="s">
        <v>559</v>
      </c>
      <c r="G69" s="464"/>
      <c r="H69" s="464"/>
      <c r="I69" s="464"/>
      <c r="J69" s="465"/>
      <c r="K69" s="466" t="s">
        <v>367</v>
      </c>
      <c r="L69" s="466"/>
      <c r="M69" s="51" t="s">
        <v>232</v>
      </c>
      <c r="N69" s="467" t="s">
        <v>250</v>
      </c>
      <c r="O69" s="467"/>
      <c r="P69" s="468"/>
      <c r="Q69" s="468"/>
      <c r="R69" s="442" t="s">
        <v>431</v>
      </c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5</v>
      </c>
      <c r="B70" s="462"/>
      <c r="C70" s="104" t="s">
        <v>112</v>
      </c>
      <c r="D70" s="355"/>
      <c r="E70" s="358" t="s">
        <v>216</v>
      </c>
      <c r="F70" s="463" t="s">
        <v>278</v>
      </c>
      <c r="G70" s="464"/>
      <c r="H70" s="464"/>
      <c r="I70" s="464"/>
      <c r="J70" s="465"/>
      <c r="K70" s="466" t="s">
        <v>244</v>
      </c>
      <c r="L70" s="466"/>
      <c r="M70" s="51" t="s">
        <v>230</v>
      </c>
      <c r="N70" s="467" t="s">
        <v>127</v>
      </c>
      <c r="O70" s="467"/>
      <c r="P70" s="468">
        <v>100</v>
      </c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6</v>
      </c>
      <c r="B71" s="462"/>
      <c r="C71" s="104" t="s">
        <v>112</v>
      </c>
      <c r="D71" s="355"/>
      <c r="E71" s="358" t="s">
        <v>211</v>
      </c>
      <c r="F71" s="463" t="s">
        <v>513</v>
      </c>
      <c r="G71" s="464"/>
      <c r="H71" s="464"/>
      <c r="I71" s="464"/>
      <c r="J71" s="465"/>
      <c r="K71" s="466" t="s">
        <v>131</v>
      </c>
      <c r="L71" s="466"/>
      <c r="M71" s="51" t="s">
        <v>230</v>
      </c>
      <c r="N71" s="467" t="s">
        <v>127</v>
      </c>
      <c r="O71" s="467"/>
      <c r="P71" s="468">
        <v>100</v>
      </c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7</v>
      </c>
      <c r="B72" s="462"/>
      <c r="C72" s="104" t="s">
        <v>118</v>
      </c>
      <c r="D72" s="355"/>
      <c r="E72" s="358" t="s">
        <v>332</v>
      </c>
      <c r="F72" s="463" t="s">
        <v>560</v>
      </c>
      <c r="G72" s="464"/>
      <c r="H72" s="464"/>
      <c r="I72" s="464"/>
      <c r="J72" s="465"/>
      <c r="K72" s="466" t="s">
        <v>339</v>
      </c>
      <c r="L72" s="466"/>
      <c r="M72" s="51" t="s">
        <v>230</v>
      </c>
      <c r="N72" s="467" t="s">
        <v>201</v>
      </c>
      <c r="O72" s="467"/>
      <c r="P72" s="468">
        <f>50*8</f>
        <v>400</v>
      </c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8</v>
      </c>
      <c r="B73" s="462"/>
      <c r="C73" s="104"/>
      <c r="D73" s="355"/>
      <c r="E73" s="358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9</v>
      </c>
      <c r="B74" s="462"/>
      <c r="C74" s="104"/>
      <c r="D74" s="355"/>
      <c r="E74" s="358"/>
      <c r="F74" s="470"/>
      <c r="G74" s="466"/>
      <c r="H74" s="466"/>
      <c r="I74" s="466"/>
      <c r="J74" s="466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5.5" customHeight="1">
      <c r="A75" s="461">
        <v>10</v>
      </c>
      <c r="B75" s="462"/>
      <c r="C75" s="104"/>
      <c r="D75" s="355"/>
      <c r="E75" s="358"/>
      <c r="F75" s="470"/>
      <c r="G75" s="466"/>
      <c r="H75" s="466"/>
      <c r="I75" s="466"/>
      <c r="J75" s="466"/>
      <c r="K75" s="466"/>
      <c r="L75" s="466"/>
      <c r="M75" s="51"/>
      <c r="N75" s="467"/>
      <c r="O75" s="467"/>
      <c r="P75" s="468"/>
      <c r="Q75" s="468"/>
      <c r="R75" s="442"/>
      <c r="S75" s="442"/>
      <c r="T75" s="442"/>
      <c r="U75" s="442"/>
      <c r="V75" s="442"/>
      <c r="W75" s="442"/>
      <c r="X75" s="442"/>
      <c r="Y75" s="442"/>
      <c r="Z75" s="442"/>
      <c r="AA75" s="442"/>
      <c r="AB75" s="466"/>
      <c r="AC75" s="466"/>
      <c r="AD75" s="469"/>
      <c r="AF75" s="50"/>
    </row>
    <row r="76" spans="1:32" ht="26.25" customHeight="1" thickBot="1">
      <c r="A76" s="471" t="s">
        <v>561</v>
      </c>
      <c r="B76" s="471"/>
      <c r="C76" s="471"/>
      <c r="D76" s="471"/>
      <c r="E76" s="471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72" t="s">
        <v>126</v>
      </c>
      <c r="B77" s="473"/>
      <c r="C77" s="357" t="s">
        <v>2</v>
      </c>
      <c r="D77" s="357" t="s">
        <v>37</v>
      </c>
      <c r="E77" s="357" t="s">
        <v>125</v>
      </c>
      <c r="F77" s="473" t="s">
        <v>38</v>
      </c>
      <c r="G77" s="473"/>
      <c r="H77" s="473"/>
      <c r="I77" s="473"/>
      <c r="J77" s="473"/>
      <c r="K77" s="474" t="s">
        <v>58</v>
      </c>
      <c r="L77" s="475"/>
      <c r="M77" s="475"/>
      <c r="N77" s="475"/>
      <c r="O77" s="475"/>
      <c r="P77" s="475"/>
      <c r="Q77" s="475"/>
      <c r="R77" s="475"/>
      <c r="S77" s="476"/>
      <c r="T77" s="473" t="s">
        <v>49</v>
      </c>
      <c r="U77" s="473"/>
      <c r="V77" s="474" t="s">
        <v>50</v>
      </c>
      <c r="W77" s="476"/>
      <c r="X77" s="475" t="s">
        <v>51</v>
      </c>
      <c r="Y77" s="475"/>
      <c r="Z77" s="475"/>
      <c r="AA77" s="475"/>
      <c r="AB77" s="475"/>
      <c r="AC77" s="475"/>
      <c r="AD77" s="477"/>
      <c r="AF77" s="50"/>
    </row>
    <row r="78" spans="1:32" ht="33.75" customHeight="1">
      <c r="A78" s="486">
        <v>1</v>
      </c>
      <c r="B78" s="487"/>
      <c r="C78" s="356" t="s">
        <v>112</v>
      </c>
      <c r="D78" s="356"/>
      <c r="E78" s="65" t="s">
        <v>117</v>
      </c>
      <c r="F78" s="488" t="s">
        <v>116</v>
      </c>
      <c r="G78" s="489"/>
      <c r="H78" s="489"/>
      <c r="I78" s="489"/>
      <c r="J78" s="490"/>
      <c r="K78" s="491" t="s">
        <v>119</v>
      </c>
      <c r="L78" s="492"/>
      <c r="M78" s="492"/>
      <c r="N78" s="492"/>
      <c r="O78" s="492"/>
      <c r="P78" s="492"/>
      <c r="Q78" s="492"/>
      <c r="R78" s="492"/>
      <c r="S78" s="493"/>
      <c r="T78" s="494">
        <v>44118</v>
      </c>
      <c r="U78" s="495"/>
      <c r="V78" s="496"/>
      <c r="W78" s="496"/>
      <c r="X78" s="497"/>
      <c r="Y78" s="497"/>
      <c r="Z78" s="497"/>
      <c r="AA78" s="497"/>
      <c r="AB78" s="497"/>
      <c r="AC78" s="497"/>
      <c r="AD78" s="498"/>
      <c r="AF78" s="50"/>
    </row>
    <row r="79" spans="1:32" ht="30" customHeight="1">
      <c r="A79" s="478">
        <f>A78+1</f>
        <v>2</v>
      </c>
      <c r="B79" s="479"/>
      <c r="C79" s="355"/>
      <c r="D79" s="355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ref="A80:A84" si="27">A79+1</f>
        <v>3</v>
      </c>
      <c r="B80" s="479"/>
      <c r="C80" s="355"/>
      <c r="D80" s="355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27"/>
        <v>4</v>
      </c>
      <c r="B81" s="479"/>
      <c r="C81" s="355"/>
      <c r="D81" s="355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27"/>
        <v>5</v>
      </c>
      <c r="B82" s="479"/>
      <c r="C82" s="355"/>
      <c r="D82" s="355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27"/>
        <v>6</v>
      </c>
      <c r="B83" s="479"/>
      <c r="C83" s="355"/>
      <c r="D83" s="355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78">
        <f t="shared" si="27"/>
        <v>7</v>
      </c>
      <c r="B84" s="479"/>
      <c r="C84" s="355"/>
      <c r="D84" s="355"/>
      <c r="E84" s="32"/>
      <c r="F84" s="479"/>
      <c r="G84" s="479"/>
      <c r="H84" s="479"/>
      <c r="I84" s="479"/>
      <c r="J84" s="479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6" thickBot="1">
      <c r="A85" s="471" t="s">
        <v>562</v>
      </c>
      <c r="B85" s="471"/>
      <c r="C85" s="471"/>
      <c r="D85" s="471"/>
      <c r="E85" s="471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2" t="s">
        <v>111</v>
      </c>
      <c r="B86" s="473"/>
      <c r="C86" s="499" t="s">
        <v>52</v>
      </c>
      <c r="D86" s="499"/>
      <c r="E86" s="499" t="s">
        <v>53</v>
      </c>
      <c r="F86" s="499"/>
      <c r="G86" s="499"/>
      <c r="H86" s="499"/>
      <c r="I86" s="499"/>
      <c r="J86" s="499"/>
      <c r="K86" s="499" t="s">
        <v>54</v>
      </c>
      <c r="L86" s="499"/>
      <c r="M86" s="499"/>
      <c r="N86" s="499"/>
      <c r="O86" s="499"/>
      <c r="P86" s="499"/>
      <c r="Q86" s="499"/>
      <c r="R86" s="499"/>
      <c r="S86" s="499"/>
      <c r="T86" s="499" t="s">
        <v>55</v>
      </c>
      <c r="U86" s="499"/>
      <c r="V86" s="499" t="s">
        <v>56</v>
      </c>
      <c r="W86" s="499"/>
      <c r="X86" s="499"/>
      <c r="Y86" s="499" t="s">
        <v>51</v>
      </c>
      <c r="Z86" s="499"/>
      <c r="AA86" s="499"/>
      <c r="AB86" s="499"/>
      <c r="AC86" s="499"/>
      <c r="AD86" s="500"/>
      <c r="AF86" s="50"/>
    </row>
    <row r="87" spans="1:32" ht="30.75" customHeight="1">
      <c r="A87" s="486">
        <v>1</v>
      </c>
      <c r="B87" s="487"/>
      <c r="C87" s="501">
        <v>9</v>
      </c>
      <c r="D87" s="501"/>
      <c r="E87" s="501" t="s">
        <v>149</v>
      </c>
      <c r="F87" s="501"/>
      <c r="G87" s="501"/>
      <c r="H87" s="501"/>
      <c r="I87" s="501"/>
      <c r="J87" s="501"/>
      <c r="K87" s="501" t="s">
        <v>462</v>
      </c>
      <c r="L87" s="501"/>
      <c r="M87" s="501"/>
      <c r="N87" s="501"/>
      <c r="O87" s="501"/>
      <c r="P87" s="501"/>
      <c r="Q87" s="501"/>
      <c r="R87" s="501"/>
      <c r="S87" s="501"/>
      <c r="T87" s="501" t="s">
        <v>151</v>
      </c>
      <c r="U87" s="501"/>
      <c r="V87" s="502" t="s">
        <v>265</v>
      </c>
      <c r="W87" s="502"/>
      <c r="X87" s="502"/>
      <c r="Y87" s="503"/>
      <c r="Z87" s="503"/>
      <c r="AA87" s="503"/>
      <c r="AB87" s="503"/>
      <c r="AC87" s="503"/>
      <c r="AD87" s="504"/>
      <c r="AF87" s="50"/>
    </row>
    <row r="88" spans="1:32" ht="30.75" customHeight="1">
      <c r="A88" s="478">
        <v>2</v>
      </c>
      <c r="B88" s="479"/>
      <c r="C88" s="512"/>
      <c r="D88" s="512"/>
      <c r="E88" s="512"/>
      <c r="F88" s="512"/>
      <c r="G88" s="512"/>
      <c r="H88" s="512"/>
      <c r="I88" s="512"/>
      <c r="J88" s="512"/>
      <c r="K88" s="512"/>
      <c r="L88" s="512"/>
      <c r="M88" s="512"/>
      <c r="N88" s="512"/>
      <c r="O88" s="512"/>
      <c r="P88" s="512"/>
      <c r="Q88" s="512"/>
      <c r="R88" s="512"/>
      <c r="S88" s="512"/>
      <c r="T88" s="513"/>
      <c r="U88" s="513"/>
      <c r="V88" s="514"/>
      <c r="W88" s="514"/>
      <c r="X88" s="514"/>
      <c r="Y88" s="505"/>
      <c r="Z88" s="505"/>
      <c r="AA88" s="505"/>
      <c r="AB88" s="505"/>
      <c r="AC88" s="505"/>
      <c r="AD88" s="506"/>
      <c r="AF88" s="50"/>
    </row>
    <row r="89" spans="1:32" ht="30.75" customHeight="1" thickBot="1">
      <c r="A89" s="507">
        <v>3</v>
      </c>
      <c r="B89" s="508"/>
      <c r="C89" s="509"/>
      <c r="D89" s="509"/>
      <c r="E89" s="509"/>
      <c r="F89" s="509"/>
      <c r="G89" s="509"/>
      <c r="H89" s="509"/>
      <c r="I89" s="509"/>
      <c r="J89" s="509"/>
      <c r="K89" s="509"/>
      <c r="L89" s="509"/>
      <c r="M89" s="509"/>
      <c r="N89" s="509"/>
      <c r="O89" s="509"/>
      <c r="P89" s="509"/>
      <c r="Q89" s="509"/>
      <c r="R89" s="509"/>
      <c r="S89" s="509"/>
      <c r="T89" s="509"/>
      <c r="U89" s="509"/>
      <c r="V89" s="509"/>
      <c r="W89" s="509"/>
      <c r="X89" s="509"/>
      <c r="Y89" s="510"/>
      <c r="Z89" s="510"/>
      <c r="AA89" s="510"/>
      <c r="AB89" s="510"/>
      <c r="AC89" s="510"/>
      <c r="AD89" s="511"/>
      <c r="AF89" s="50"/>
    </row>
  </sheetData>
  <mergeCells count="232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A7CF-6334-49CF-ABC5-72CD490DB691}"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563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368" t="s">
        <v>17</v>
      </c>
      <c r="L5" s="368" t="s">
        <v>18</v>
      </c>
      <c r="M5" s="368" t="s">
        <v>19</v>
      </c>
      <c r="N5" s="36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27" customHeight="1">
      <c r="A6" s="112">
        <v>1</v>
      </c>
      <c r="B6" s="11" t="s">
        <v>57</v>
      </c>
      <c r="C6" s="34" t="s">
        <v>156</v>
      </c>
      <c r="D6" s="52" t="s">
        <v>162</v>
      </c>
      <c r="E6" s="53" t="s">
        <v>158</v>
      </c>
      <c r="F6" s="30" t="s">
        <v>267</v>
      </c>
      <c r="G6" s="12">
        <v>1</v>
      </c>
      <c r="H6" s="13">
        <v>24</v>
      </c>
      <c r="I6" s="31">
        <v>5000</v>
      </c>
      <c r="J6" s="14">
        <v>6282</v>
      </c>
      <c r="K6" s="15">
        <f>L6</f>
        <v>6282</v>
      </c>
      <c r="L6" s="15">
        <f>3367+2915</f>
        <v>6282</v>
      </c>
      <c r="M6" s="15">
        <f t="shared" ref="M6:M22" si="0">L6-N6</f>
        <v>6282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23</v>
      </c>
      <c r="Q6" s="40">
        <f t="shared" ref="Q6:Q22" si="3">SUM(R6:AA6)</f>
        <v>1</v>
      </c>
      <c r="R6" s="7"/>
      <c r="S6" s="6"/>
      <c r="T6" s="16">
        <v>1</v>
      </c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0.95833333333333337</v>
      </c>
      <c r="AD6" s="10">
        <f t="shared" ref="AD6:AD22" si="6">AC6*AB6*(1-O6)</f>
        <v>0.95833333333333337</v>
      </c>
      <c r="AE6" s="36">
        <f t="shared" ref="AE6:AE22" si="7">$AD$23</f>
        <v>0.6470588235294118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228</v>
      </c>
      <c r="E7" s="53" t="s">
        <v>299</v>
      </c>
      <c r="F7" s="30" t="s">
        <v>344</v>
      </c>
      <c r="G7" s="12">
        <v>4</v>
      </c>
      <c r="H7" s="13">
        <v>24</v>
      </c>
      <c r="I7" s="31">
        <v>130000</v>
      </c>
      <c r="J7" s="14">
        <v>10612</v>
      </c>
      <c r="K7" s="15">
        <f>L7+20667+13102+12272+13122+5600+15600+26484+22683+26084</f>
        <v>166226</v>
      </c>
      <c r="L7" s="15">
        <f>2653*4</f>
        <v>10612</v>
      </c>
      <c r="M7" s="15">
        <f t="shared" si="0"/>
        <v>10612</v>
      </c>
      <c r="N7" s="15">
        <v>0</v>
      </c>
      <c r="O7" s="58">
        <f t="shared" si="1"/>
        <v>0</v>
      </c>
      <c r="P7" s="39">
        <f t="shared" si="2"/>
        <v>10</v>
      </c>
      <c r="Q7" s="40">
        <f t="shared" si="3"/>
        <v>14</v>
      </c>
      <c r="R7" s="7"/>
      <c r="S7" s="6"/>
      <c r="T7" s="16"/>
      <c r="U7" s="16"/>
      <c r="V7" s="17"/>
      <c r="W7" s="5">
        <v>14</v>
      </c>
      <c r="X7" s="16"/>
      <c r="Y7" s="16"/>
      <c r="Z7" s="16"/>
      <c r="AA7" s="18"/>
      <c r="AB7" s="8">
        <f t="shared" si="4"/>
        <v>1</v>
      </c>
      <c r="AC7" s="9">
        <f t="shared" si="5"/>
        <v>0.41666666666666669</v>
      </c>
      <c r="AD7" s="10">
        <f t="shared" si="6"/>
        <v>0.41666666666666669</v>
      </c>
      <c r="AE7" s="36">
        <f t="shared" si="7"/>
        <v>0.6470588235294118</v>
      </c>
      <c r="AF7" s="84">
        <f t="shared" si="8"/>
        <v>2</v>
      </c>
    </row>
    <row r="8" spans="1:32" ht="27" customHeight="1">
      <c r="A8" s="112">
        <v>2</v>
      </c>
      <c r="B8" s="11" t="s">
        <v>57</v>
      </c>
      <c r="C8" s="34" t="s">
        <v>120</v>
      </c>
      <c r="D8" s="52"/>
      <c r="E8" s="53" t="s">
        <v>498</v>
      </c>
      <c r="F8" s="30" t="s">
        <v>128</v>
      </c>
      <c r="G8" s="12">
        <v>1</v>
      </c>
      <c r="H8" s="13">
        <v>24</v>
      </c>
      <c r="I8" s="31">
        <v>1300</v>
      </c>
      <c r="J8" s="14">
        <v>1457</v>
      </c>
      <c r="K8" s="15">
        <f>L8</f>
        <v>1457</v>
      </c>
      <c r="L8" s="15">
        <v>1457</v>
      </c>
      <c r="M8" s="15">
        <f t="shared" ref="M8" si="9">L8-N8</f>
        <v>1457</v>
      </c>
      <c r="N8" s="15">
        <v>0</v>
      </c>
      <c r="O8" s="58">
        <f t="shared" ref="O8" si="10">IF(L8=0,"0",N8/L8)</f>
        <v>0</v>
      </c>
      <c r="P8" s="39">
        <f t="shared" ref="P8" si="11">IF(L8=0,"0",(24-Q8))</f>
        <v>8</v>
      </c>
      <c r="Q8" s="40">
        <f t="shared" ref="Q8" si="12">SUM(R8:AA8)</f>
        <v>16</v>
      </c>
      <c r="R8" s="7"/>
      <c r="S8" s="6"/>
      <c r="T8" s="16">
        <v>12</v>
      </c>
      <c r="U8" s="16"/>
      <c r="V8" s="17"/>
      <c r="W8" s="5">
        <v>4</v>
      </c>
      <c r="X8" s="16"/>
      <c r="Y8" s="16"/>
      <c r="Z8" s="16"/>
      <c r="AA8" s="18"/>
      <c r="AB8" s="8">
        <f t="shared" ref="AB8" si="13">IF(J8=0,"0",(L8/J8))</f>
        <v>1</v>
      </c>
      <c r="AC8" s="9">
        <f t="shared" ref="AC8" si="14">IF(P8=0,"0",(P8/24))</f>
        <v>0.33333333333333331</v>
      </c>
      <c r="AD8" s="10">
        <f t="shared" ref="AD8" si="15">AC8*AB8*(1-O8)</f>
        <v>0.33333333333333331</v>
      </c>
      <c r="AE8" s="36">
        <f t="shared" si="7"/>
        <v>0.6470588235294118</v>
      </c>
      <c r="AF8" s="84">
        <f t="shared" ref="AF8" si="16">A8</f>
        <v>2</v>
      </c>
    </row>
    <row r="9" spans="1:32" ht="27" customHeight="1">
      <c r="A9" s="96">
        <v>3</v>
      </c>
      <c r="B9" s="11" t="s">
        <v>57</v>
      </c>
      <c r="C9" s="34" t="s">
        <v>139</v>
      </c>
      <c r="D9" s="52" t="s">
        <v>115</v>
      </c>
      <c r="E9" s="53" t="s">
        <v>442</v>
      </c>
      <c r="F9" s="30" t="s">
        <v>165</v>
      </c>
      <c r="G9" s="33">
        <v>1</v>
      </c>
      <c r="H9" s="35">
        <v>24</v>
      </c>
      <c r="I9" s="7">
        <v>2500</v>
      </c>
      <c r="J9" s="5">
        <v>2213</v>
      </c>
      <c r="K9" s="15">
        <f>L9+2507+2213</f>
        <v>4720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0.6470588235294118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115</v>
      </c>
      <c r="E10" s="53" t="s">
        <v>553</v>
      </c>
      <c r="F10" s="30" t="s">
        <v>133</v>
      </c>
      <c r="G10" s="12">
        <v>1</v>
      </c>
      <c r="H10" s="13">
        <v>24</v>
      </c>
      <c r="I10" s="7">
        <v>28000</v>
      </c>
      <c r="J10" s="14">
        <v>4421</v>
      </c>
      <c r="K10" s="15">
        <f>L10</f>
        <v>4421</v>
      </c>
      <c r="L10" s="15">
        <f>2514+1907</f>
        <v>4421</v>
      </c>
      <c r="M10" s="15">
        <f t="shared" si="0"/>
        <v>4421</v>
      </c>
      <c r="N10" s="15">
        <v>0</v>
      </c>
      <c r="O10" s="58">
        <f t="shared" si="1"/>
        <v>0</v>
      </c>
      <c r="P10" s="39">
        <f t="shared" si="2"/>
        <v>20</v>
      </c>
      <c r="Q10" s="40">
        <f t="shared" si="3"/>
        <v>4</v>
      </c>
      <c r="R10" s="7"/>
      <c r="S10" s="6">
        <v>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0.83333333333333337</v>
      </c>
      <c r="AD10" s="10">
        <f t="shared" si="6"/>
        <v>0.83333333333333337</v>
      </c>
      <c r="AE10" s="36">
        <f t="shared" si="7"/>
        <v>0.6470588235294118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118</v>
      </c>
      <c r="D11" s="52" t="s">
        <v>135</v>
      </c>
      <c r="E11" s="53" t="s">
        <v>529</v>
      </c>
      <c r="F11" s="30" t="s">
        <v>244</v>
      </c>
      <c r="G11" s="33">
        <v>1</v>
      </c>
      <c r="H11" s="35">
        <v>24</v>
      </c>
      <c r="I11" s="7">
        <v>25000</v>
      </c>
      <c r="J11" s="14">
        <v>6637</v>
      </c>
      <c r="K11" s="15">
        <f>L11+6258+6648</f>
        <v>19543</v>
      </c>
      <c r="L11" s="15">
        <f>3315+3322</f>
        <v>6637</v>
      </c>
      <c r="M11" s="15">
        <f t="shared" si="0"/>
        <v>6637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0.6470588235294118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118</v>
      </c>
      <c r="D12" s="52" t="s">
        <v>464</v>
      </c>
      <c r="E12" s="53" t="s">
        <v>465</v>
      </c>
      <c r="F12" s="30" t="s">
        <v>466</v>
      </c>
      <c r="G12" s="33">
        <v>16</v>
      </c>
      <c r="H12" s="35">
        <v>24</v>
      </c>
      <c r="I12" s="7">
        <v>100000</v>
      </c>
      <c r="J12" s="14">
        <v>15260</v>
      </c>
      <c r="K12" s="15">
        <f>L12+39816+90622+108136+15260</f>
        <v>253834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>
        <v>24</v>
      </c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0.6470588235294118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144</v>
      </c>
      <c r="F13" s="30" t="s">
        <v>145</v>
      </c>
      <c r="G13" s="12">
        <v>1</v>
      </c>
      <c r="H13" s="13">
        <v>22</v>
      </c>
      <c r="I13" s="31">
        <v>34000</v>
      </c>
      <c r="J13" s="5">
        <v>3733</v>
      </c>
      <c r="K13" s="15">
        <f>L13+5421+4981+4563</f>
        <v>18698</v>
      </c>
      <c r="L13" s="15">
        <f>2739+994</f>
        <v>3733</v>
      </c>
      <c r="M13" s="15">
        <f t="shared" si="0"/>
        <v>3733</v>
      </c>
      <c r="N13" s="15">
        <v>0</v>
      </c>
      <c r="O13" s="58">
        <f t="shared" si="1"/>
        <v>0</v>
      </c>
      <c r="P13" s="39">
        <f t="shared" si="2"/>
        <v>18</v>
      </c>
      <c r="Q13" s="40">
        <f t="shared" si="3"/>
        <v>6</v>
      </c>
      <c r="R13" s="7"/>
      <c r="S13" s="6">
        <v>6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0.75</v>
      </c>
      <c r="AD13" s="10">
        <f t="shared" si="6"/>
        <v>0.75</v>
      </c>
      <c r="AE13" s="36">
        <f t="shared" si="7"/>
        <v>0.6470588235294118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135</v>
      </c>
      <c r="E14" s="53" t="s">
        <v>268</v>
      </c>
      <c r="F14" s="30" t="s">
        <v>244</v>
      </c>
      <c r="G14" s="33">
        <v>2</v>
      </c>
      <c r="H14" s="35">
        <v>24</v>
      </c>
      <c r="I14" s="7">
        <v>20000</v>
      </c>
      <c r="J14" s="14">
        <v>13386</v>
      </c>
      <c r="K14" s="15">
        <f>L14+8436</f>
        <v>21822</v>
      </c>
      <c r="L14" s="15">
        <f>3343*2+3350*2</f>
        <v>13386</v>
      </c>
      <c r="M14" s="15">
        <f t="shared" si="0"/>
        <v>13386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0.6470588235294118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505</v>
      </c>
      <c r="F15" s="30" t="s">
        <v>245</v>
      </c>
      <c r="G15" s="33">
        <v>1</v>
      </c>
      <c r="H15" s="35">
        <v>50</v>
      </c>
      <c r="I15" s="7">
        <v>300</v>
      </c>
      <c r="J15" s="5">
        <v>275</v>
      </c>
      <c r="K15" s="15">
        <f>L15+340+275</f>
        <v>615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0.6470588235294118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118</v>
      </c>
      <c r="D16" s="52" t="s">
        <v>130</v>
      </c>
      <c r="E16" s="53" t="s">
        <v>520</v>
      </c>
      <c r="F16" s="30" t="s">
        <v>344</v>
      </c>
      <c r="G16" s="12">
        <v>4</v>
      </c>
      <c r="H16" s="13">
        <v>24</v>
      </c>
      <c r="I16" s="31">
        <v>80000</v>
      </c>
      <c r="J16" s="14">
        <v>23032</v>
      </c>
      <c r="K16" s="15">
        <f>L16+17216+22532+22956</f>
        <v>85736</v>
      </c>
      <c r="L16" s="15">
        <f>2884*4+2874*4</f>
        <v>23032</v>
      </c>
      <c r="M16" s="15">
        <f t="shared" si="0"/>
        <v>23032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0.6470588235294118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139</v>
      </c>
      <c r="D17" s="52" t="s">
        <v>162</v>
      </c>
      <c r="E17" s="53" t="s">
        <v>545</v>
      </c>
      <c r="F17" s="30" t="s">
        <v>245</v>
      </c>
      <c r="G17" s="12">
        <v>1</v>
      </c>
      <c r="H17" s="13">
        <v>24</v>
      </c>
      <c r="I17" s="7">
        <v>1000</v>
      </c>
      <c r="J17" s="14">
        <v>2556</v>
      </c>
      <c r="K17" s="15">
        <f>L17+2556</f>
        <v>2556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0.6470588235294118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/>
      <c r="E18" s="53" t="s">
        <v>546</v>
      </c>
      <c r="F18" s="30" t="s">
        <v>128</v>
      </c>
      <c r="G18" s="12">
        <v>1</v>
      </c>
      <c r="H18" s="13">
        <v>24</v>
      </c>
      <c r="I18" s="7">
        <v>6000</v>
      </c>
      <c r="J18" s="14">
        <v>5194</v>
      </c>
      <c r="K18" s="15">
        <f>L18+4996</f>
        <v>10190</v>
      </c>
      <c r="L18" s="15">
        <f>2450+2744</f>
        <v>5194</v>
      </c>
      <c r="M18" s="15">
        <f t="shared" si="0"/>
        <v>5194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0.6470588235294118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115</v>
      </c>
      <c r="E19" s="53" t="s">
        <v>467</v>
      </c>
      <c r="F19" s="30" t="s">
        <v>129</v>
      </c>
      <c r="G19" s="33">
        <v>1</v>
      </c>
      <c r="H19" s="35">
        <v>24</v>
      </c>
      <c r="I19" s="7">
        <v>23400</v>
      </c>
      <c r="J19" s="14">
        <v>5847</v>
      </c>
      <c r="K19" s="15">
        <f>L19+783+4509+5580+5841+5844+5869</f>
        <v>34273</v>
      </c>
      <c r="L19" s="15">
        <f>2938+2909</f>
        <v>5847</v>
      </c>
      <c r="M19" s="15">
        <f t="shared" si="0"/>
        <v>5847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0.6470588235294118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118</v>
      </c>
      <c r="D20" s="52" t="s">
        <v>130</v>
      </c>
      <c r="E20" s="53" t="s">
        <v>554</v>
      </c>
      <c r="F20" s="30" t="s">
        <v>339</v>
      </c>
      <c r="G20" s="33">
        <v>1</v>
      </c>
      <c r="H20" s="35">
        <v>24</v>
      </c>
      <c r="I20" s="7">
        <v>28000</v>
      </c>
      <c r="J20" s="14">
        <v>4498</v>
      </c>
      <c r="K20" s="15">
        <f>L20</f>
        <v>4498</v>
      </c>
      <c r="L20" s="15">
        <f>2378+2120</f>
        <v>4498</v>
      </c>
      <c r="M20" s="15">
        <f t="shared" si="0"/>
        <v>4498</v>
      </c>
      <c r="N20" s="15">
        <v>0</v>
      </c>
      <c r="O20" s="58">
        <f t="shared" si="1"/>
        <v>0</v>
      </c>
      <c r="P20" s="39">
        <f t="shared" si="2"/>
        <v>23</v>
      </c>
      <c r="Q20" s="40">
        <f t="shared" si="3"/>
        <v>1</v>
      </c>
      <c r="R20" s="7"/>
      <c r="S20" s="6"/>
      <c r="T20" s="16">
        <v>1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0.95833333333333337</v>
      </c>
      <c r="AD20" s="10">
        <f t="shared" si="6"/>
        <v>0.95833333333333337</v>
      </c>
      <c r="AE20" s="36">
        <f t="shared" si="7"/>
        <v>0.6470588235294118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118</v>
      </c>
      <c r="D21" s="52" t="s">
        <v>115</v>
      </c>
      <c r="E21" s="53" t="s">
        <v>555</v>
      </c>
      <c r="F21" s="30" t="s">
        <v>339</v>
      </c>
      <c r="G21" s="12">
        <v>1</v>
      </c>
      <c r="H21" s="13">
        <v>24</v>
      </c>
      <c r="I21" s="7">
        <v>3000</v>
      </c>
      <c r="J21" s="14">
        <v>3065</v>
      </c>
      <c r="K21" s="15">
        <f>L21</f>
        <v>3065</v>
      </c>
      <c r="L21" s="15">
        <f>2435+630</f>
        <v>3065</v>
      </c>
      <c r="M21" s="15">
        <f t="shared" si="0"/>
        <v>3065</v>
      </c>
      <c r="N21" s="15">
        <v>0</v>
      </c>
      <c r="O21" s="58">
        <f t="shared" si="1"/>
        <v>0</v>
      </c>
      <c r="P21" s="39">
        <f t="shared" si="2"/>
        <v>18</v>
      </c>
      <c r="Q21" s="40">
        <f t="shared" si="3"/>
        <v>6</v>
      </c>
      <c r="R21" s="7"/>
      <c r="S21" s="6">
        <v>6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0.75</v>
      </c>
      <c r="AD21" s="10">
        <f t="shared" si="6"/>
        <v>0.75</v>
      </c>
      <c r="AE21" s="36">
        <f t="shared" si="7"/>
        <v>0.6470588235294118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346</v>
      </c>
      <c r="F22" s="12" t="s">
        <v>114</v>
      </c>
      <c r="G22" s="12">
        <v>3</v>
      </c>
      <c r="H22" s="35">
        <v>20</v>
      </c>
      <c r="I22" s="7">
        <v>1000000</v>
      </c>
      <c r="J22" s="14">
        <v>70172</v>
      </c>
      <c r="K22" s="15">
        <f>L22+28316+74820+71924+69164+75560+75632+75472+75276+75604+67592+75408+75360+75692</f>
        <v>985992</v>
      </c>
      <c r="L22" s="15">
        <f>8113*4+9430*4</f>
        <v>70172</v>
      </c>
      <c r="M22" s="15">
        <f t="shared" si="0"/>
        <v>70172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0.6470588235294118</v>
      </c>
      <c r="AF22" s="84">
        <f t="shared" si="8"/>
        <v>16</v>
      </c>
    </row>
    <row r="23" spans="1:32" ht="31.5" customHeight="1" thickBot="1">
      <c r="A23" s="408" t="s">
        <v>34</v>
      </c>
      <c r="B23" s="409"/>
      <c r="C23" s="409"/>
      <c r="D23" s="409"/>
      <c r="E23" s="409"/>
      <c r="F23" s="409"/>
      <c r="G23" s="409"/>
      <c r="H23" s="410"/>
      <c r="I23" s="22">
        <f t="shared" ref="I23:N23" si="17">SUM(I6:I22)</f>
        <v>1487500</v>
      </c>
      <c r="J23" s="19">
        <f t="shared" si="17"/>
        <v>178640</v>
      </c>
      <c r="K23" s="20">
        <f t="shared" si="17"/>
        <v>1623928</v>
      </c>
      <c r="L23" s="21">
        <f t="shared" si="17"/>
        <v>158336</v>
      </c>
      <c r="M23" s="20">
        <f t="shared" si="17"/>
        <v>158336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264</v>
      </c>
      <c r="Q23" s="43">
        <f t="shared" si="18"/>
        <v>144</v>
      </c>
      <c r="R23" s="23">
        <f t="shared" si="18"/>
        <v>24</v>
      </c>
      <c r="S23" s="24">
        <f t="shared" si="18"/>
        <v>16</v>
      </c>
      <c r="T23" s="24">
        <f t="shared" si="18"/>
        <v>14</v>
      </c>
      <c r="U23" s="24">
        <f t="shared" si="18"/>
        <v>0</v>
      </c>
      <c r="V23" s="25">
        <f t="shared" si="18"/>
        <v>0</v>
      </c>
      <c r="W23" s="26">
        <f t="shared" si="18"/>
        <v>90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0</v>
      </c>
      <c r="AB23" s="28">
        <f>AVERAGE(AB6:AB22)</f>
        <v>0.76470588235294112</v>
      </c>
      <c r="AC23" s="4">
        <f>AVERAGE(AC6:AC22)</f>
        <v>0.6470588235294118</v>
      </c>
      <c r="AD23" s="4">
        <f>AVERAGE(AD6:AD22)</f>
        <v>0.6470588235294118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11" t="s">
        <v>45</v>
      </c>
      <c r="B50" s="411"/>
      <c r="C50" s="411"/>
      <c r="D50" s="411"/>
      <c r="E50" s="411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12" t="s">
        <v>564</v>
      </c>
      <c r="B51" s="413"/>
      <c r="C51" s="413"/>
      <c r="D51" s="413"/>
      <c r="E51" s="413"/>
      <c r="F51" s="413"/>
      <c r="G51" s="413"/>
      <c r="H51" s="413"/>
      <c r="I51" s="413"/>
      <c r="J51" s="413"/>
      <c r="K51" s="413"/>
      <c r="L51" s="413"/>
      <c r="M51" s="414"/>
      <c r="N51" s="415" t="s">
        <v>567</v>
      </c>
      <c r="O51" s="416"/>
      <c r="P51" s="416"/>
      <c r="Q51" s="416"/>
      <c r="R51" s="416"/>
      <c r="S51" s="416"/>
      <c r="T51" s="416"/>
      <c r="U51" s="416"/>
      <c r="V51" s="416"/>
      <c r="W51" s="416"/>
      <c r="X51" s="416"/>
      <c r="Y51" s="416"/>
      <c r="Z51" s="416"/>
      <c r="AA51" s="416"/>
      <c r="AB51" s="416"/>
      <c r="AC51" s="416"/>
      <c r="AD51" s="417"/>
    </row>
    <row r="52" spans="1:32" ht="27" customHeight="1">
      <c r="A52" s="418" t="s">
        <v>2</v>
      </c>
      <c r="B52" s="419"/>
      <c r="C52" s="369" t="s">
        <v>46</v>
      </c>
      <c r="D52" s="369" t="s">
        <v>47</v>
      </c>
      <c r="E52" s="369" t="s">
        <v>107</v>
      </c>
      <c r="F52" s="420" t="s">
        <v>106</v>
      </c>
      <c r="G52" s="421"/>
      <c r="H52" s="421"/>
      <c r="I52" s="421"/>
      <c r="J52" s="421"/>
      <c r="K52" s="421"/>
      <c r="L52" s="421"/>
      <c r="M52" s="422"/>
      <c r="N52" s="67" t="s">
        <v>110</v>
      </c>
      <c r="O52" s="369" t="s">
        <v>46</v>
      </c>
      <c r="P52" s="420" t="s">
        <v>47</v>
      </c>
      <c r="Q52" s="423"/>
      <c r="R52" s="420" t="s">
        <v>38</v>
      </c>
      <c r="S52" s="421"/>
      <c r="T52" s="421"/>
      <c r="U52" s="423"/>
      <c r="V52" s="420" t="s">
        <v>48</v>
      </c>
      <c r="W52" s="421"/>
      <c r="X52" s="421"/>
      <c r="Y52" s="421"/>
      <c r="Z52" s="421"/>
      <c r="AA52" s="421"/>
      <c r="AB52" s="421"/>
      <c r="AC52" s="421"/>
      <c r="AD52" s="422"/>
    </row>
    <row r="53" spans="1:32" ht="27" customHeight="1">
      <c r="A53" s="434" t="s">
        <v>156</v>
      </c>
      <c r="B53" s="435"/>
      <c r="C53" s="371" t="s">
        <v>250</v>
      </c>
      <c r="D53" s="371" t="s">
        <v>162</v>
      </c>
      <c r="E53" s="371" t="s">
        <v>158</v>
      </c>
      <c r="F53" s="436" t="s">
        <v>138</v>
      </c>
      <c r="G53" s="437"/>
      <c r="H53" s="437"/>
      <c r="I53" s="437"/>
      <c r="J53" s="437"/>
      <c r="K53" s="437"/>
      <c r="L53" s="437"/>
      <c r="M53" s="438"/>
      <c r="N53" s="370" t="s">
        <v>120</v>
      </c>
      <c r="O53" s="377" t="s">
        <v>141</v>
      </c>
      <c r="P53" s="439"/>
      <c r="Q53" s="440"/>
      <c r="R53" s="439" t="s">
        <v>411</v>
      </c>
      <c r="S53" s="441"/>
      <c r="T53" s="441"/>
      <c r="U53" s="440"/>
      <c r="V53" s="442" t="s">
        <v>138</v>
      </c>
      <c r="W53" s="442"/>
      <c r="X53" s="442"/>
      <c r="Y53" s="442"/>
      <c r="Z53" s="442"/>
      <c r="AA53" s="442"/>
      <c r="AB53" s="442"/>
      <c r="AC53" s="442"/>
      <c r="AD53" s="443"/>
    </row>
    <row r="54" spans="1:32" ht="27" customHeight="1">
      <c r="A54" s="434" t="s">
        <v>120</v>
      </c>
      <c r="B54" s="435"/>
      <c r="C54" s="371" t="s">
        <v>140</v>
      </c>
      <c r="D54" s="371"/>
      <c r="E54" s="371" t="s">
        <v>498</v>
      </c>
      <c r="F54" s="436" t="s">
        <v>138</v>
      </c>
      <c r="G54" s="437"/>
      <c r="H54" s="437"/>
      <c r="I54" s="437"/>
      <c r="J54" s="437"/>
      <c r="K54" s="437"/>
      <c r="L54" s="437"/>
      <c r="M54" s="438"/>
      <c r="N54" s="370"/>
      <c r="O54" s="377"/>
      <c r="P54" s="439"/>
      <c r="Q54" s="440"/>
      <c r="R54" s="439"/>
      <c r="S54" s="441"/>
      <c r="T54" s="441"/>
      <c r="U54" s="440"/>
      <c r="V54" s="442"/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 t="s">
        <v>118</v>
      </c>
      <c r="B55" s="435"/>
      <c r="C55" s="371" t="s">
        <v>136</v>
      </c>
      <c r="D55" s="371" t="s">
        <v>115</v>
      </c>
      <c r="E55" s="371" t="s">
        <v>144</v>
      </c>
      <c r="F55" s="436" t="s">
        <v>565</v>
      </c>
      <c r="G55" s="437"/>
      <c r="H55" s="437"/>
      <c r="I55" s="437"/>
      <c r="J55" s="437"/>
      <c r="K55" s="437"/>
      <c r="L55" s="437"/>
      <c r="M55" s="438"/>
      <c r="N55" s="370"/>
      <c r="O55" s="377"/>
      <c r="P55" s="439"/>
      <c r="Q55" s="440"/>
      <c r="R55" s="439"/>
      <c r="S55" s="441"/>
      <c r="T55" s="441"/>
      <c r="U55" s="440"/>
      <c r="V55" s="442"/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 t="s">
        <v>118</v>
      </c>
      <c r="B56" s="435"/>
      <c r="C56" s="371" t="s">
        <v>385</v>
      </c>
      <c r="D56" s="371" t="s">
        <v>115</v>
      </c>
      <c r="E56" s="371" t="s">
        <v>553</v>
      </c>
      <c r="F56" s="436" t="s">
        <v>566</v>
      </c>
      <c r="G56" s="437"/>
      <c r="H56" s="437"/>
      <c r="I56" s="437"/>
      <c r="J56" s="437"/>
      <c r="K56" s="437"/>
      <c r="L56" s="437"/>
      <c r="M56" s="438"/>
      <c r="N56" s="370"/>
      <c r="O56" s="377"/>
      <c r="P56" s="439"/>
      <c r="Q56" s="440"/>
      <c r="R56" s="439"/>
      <c r="S56" s="441"/>
      <c r="T56" s="441"/>
      <c r="U56" s="440"/>
      <c r="V56" s="442"/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 t="s">
        <v>118</v>
      </c>
      <c r="B57" s="435"/>
      <c r="C57" s="371" t="s">
        <v>201</v>
      </c>
      <c r="D57" s="371" t="s">
        <v>130</v>
      </c>
      <c r="E57" s="371" t="s">
        <v>554</v>
      </c>
      <c r="F57" s="436" t="s">
        <v>138</v>
      </c>
      <c r="G57" s="437"/>
      <c r="H57" s="437"/>
      <c r="I57" s="437"/>
      <c r="J57" s="437"/>
      <c r="K57" s="437"/>
      <c r="L57" s="437"/>
      <c r="M57" s="438"/>
      <c r="N57" s="370"/>
      <c r="O57" s="377"/>
      <c r="P57" s="439"/>
      <c r="Q57" s="440"/>
      <c r="R57" s="439"/>
      <c r="S57" s="441"/>
      <c r="T57" s="441"/>
      <c r="U57" s="440"/>
      <c r="V57" s="442"/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 t="s">
        <v>118</v>
      </c>
      <c r="B58" s="435"/>
      <c r="C58" s="371" t="s">
        <v>208</v>
      </c>
      <c r="D58" s="371" t="s">
        <v>115</v>
      </c>
      <c r="E58" s="371" t="s">
        <v>555</v>
      </c>
      <c r="F58" s="436" t="s">
        <v>138</v>
      </c>
      <c r="G58" s="437"/>
      <c r="H58" s="437"/>
      <c r="I58" s="437"/>
      <c r="J58" s="437"/>
      <c r="K58" s="437"/>
      <c r="L58" s="437"/>
      <c r="M58" s="438"/>
      <c r="N58" s="370"/>
      <c r="O58" s="377"/>
      <c r="P58" s="439"/>
      <c r="Q58" s="440"/>
      <c r="R58" s="439"/>
      <c r="S58" s="441"/>
      <c r="T58" s="441"/>
      <c r="U58" s="440"/>
      <c r="V58" s="442"/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34"/>
      <c r="B59" s="435"/>
      <c r="C59" s="371"/>
      <c r="D59" s="371"/>
      <c r="E59" s="371"/>
      <c r="F59" s="436"/>
      <c r="G59" s="437"/>
      <c r="H59" s="437"/>
      <c r="I59" s="437"/>
      <c r="J59" s="437"/>
      <c r="K59" s="437"/>
      <c r="L59" s="437"/>
      <c r="M59" s="438"/>
      <c r="N59" s="370"/>
      <c r="O59" s="377"/>
      <c r="P59" s="439"/>
      <c r="Q59" s="440"/>
      <c r="R59" s="439"/>
      <c r="S59" s="441"/>
      <c r="T59" s="441"/>
      <c r="U59" s="440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57"/>
      <c r="B60" s="458"/>
      <c r="C60" s="375"/>
      <c r="D60" s="375"/>
      <c r="E60" s="371"/>
      <c r="F60" s="436"/>
      <c r="G60" s="437"/>
      <c r="H60" s="437"/>
      <c r="I60" s="437"/>
      <c r="J60" s="437"/>
      <c r="K60" s="437"/>
      <c r="L60" s="437"/>
      <c r="M60" s="438"/>
      <c r="N60" s="370"/>
      <c r="O60" s="377"/>
      <c r="P60" s="439"/>
      <c r="Q60" s="440"/>
      <c r="R60" s="435"/>
      <c r="S60" s="435"/>
      <c r="T60" s="435"/>
      <c r="U60" s="435"/>
      <c r="V60" s="442"/>
      <c r="W60" s="442"/>
      <c r="X60" s="442"/>
      <c r="Y60" s="442"/>
      <c r="Z60" s="442"/>
      <c r="AA60" s="442"/>
      <c r="AB60" s="442"/>
      <c r="AC60" s="442"/>
      <c r="AD60" s="443"/>
    </row>
    <row r="61" spans="1:32" ht="27" customHeight="1">
      <c r="A61" s="457"/>
      <c r="B61" s="458"/>
      <c r="C61" s="375"/>
      <c r="D61" s="375"/>
      <c r="E61" s="371"/>
      <c r="F61" s="436"/>
      <c r="G61" s="437"/>
      <c r="H61" s="437"/>
      <c r="I61" s="437"/>
      <c r="J61" s="437"/>
      <c r="K61" s="437"/>
      <c r="L61" s="437"/>
      <c r="M61" s="438"/>
      <c r="N61" s="370"/>
      <c r="O61" s="377"/>
      <c r="P61" s="435"/>
      <c r="Q61" s="435"/>
      <c r="R61" s="435"/>
      <c r="S61" s="435"/>
      <c r="T61" s="435"/>
      <c r="U61" s="435"/>
      <c r="V61" s="442"/>
      <c r="W61" s="442"/>
      <c r="X61" s="442"/>
      <c r="Y61" s="442"/>
      <c r="Z61" s="442"/>
      <c r="AA61" s="442"/>
      <c r="AB61" s="442"/>
      <c r="AC61" s="442"/>
      <c r="AD61" s="443"/>
      <c r="AF61" s="84">
        <f>8*3000</f>
        <v>24000</v>
      </c>
    </row>
    <row r="62" spans="1:32" ht="27" customHeight="1" thickBot="1">
      <c r="A62" s="444"/>
      <c r="B62" s="445"/>
      <c r="C62" s="372"/>
      <c r="D62" s="373"/>
      <c r="E62" s="372"/>
      <c r="F62" s="446"/>
      <c r="G62" s="447"/>
      <c r="H62" s="447"/>
      <c r="I62" s="447"/>
      <c r="J62" s="447"/>
      <c r="K62" s="447"/>
      <c r="L62" s="447"/>
      <c r="M62" s="448"/>
      <c r="N62" s="111"/>
      <c r="O62" s="103"/>
      <c r="P62" s="449"/>
      <c r="Q62" s="449"/>
      <c r="R62" s="449"/>
      <c r="S62" s="449"/>
      <c r="T62" s="449"/>
      <c r="U62" s="449"/>
      <c r="V62" s="450"/>
      <c r="W62" s="450"/>
      <c r="X62" s="450"/>
      <c r="Y62" s="450"/>
      <c r="Z62" s="450"/>
      <c r="AA62" s="450"/>
      <c r="AB62" s="450"/>
      <c r="AC62" s="450"/>
      <c r="AD62" s="451"/>
      <c r="AF62" s="84">
        <f>16*3000</f>
        <v>48000</v>
      </c>
    </row>
    <row r="63" spans="1:32" ht="27.75" thickBot="1">
      <c r="A63" s="452" t="s">
        <v>568</v>
      </c>
      <c r="B63" s="452"/>
      <c r="C63" s="452"/>
      <c r="D63" s="452"/>
      <c r="E63" s="45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3" t="s">
        <v>111</v>
      </c>
      <c r="B64" s="454"/>
      <c r="C64" s="374" t="s">
        <v>2</v>
      </c>
      <c r="D64" s="374" t="s">
        <v>37</v>
      </c>
      <c r="E64" s="374" t="s">
        <v>3</v>
      </c>
      <c r="F64" s="454" t="s">
        <v>109</v>
      </c>
      <c r="G64" s="454"/>
      <c r="H64" s="454"/>
      <c r="I64" s="454"/>
      <c r="J64" s="454"/>
      <c r="K64" s="454" t="s">
        <v>39</v>
      </c>
      <c r="L64" s="454"/>
      <c r="M64" s="374" t="s">
        <v>40</v>
      </c>
      <c r="N64" s="454" t="s">
        <v>41</v>
      </c>
      <c r="O64" s="454"/>
      <c r="P64" s="455" t="s">
        <v>42</v>
      </c>
      <c r="Q64" s="456"/>
      <c r="R64" s="455" t="s">
        <v>43</v>
      </c>
      <c r="S64" s="459"/>
      <c r="T64" s="459"/>
      <c r="U64" s="459"/>
      <c r="V64" s="459"/>
      <c r="W64" s="459"/>
      <c r="X64" s="459"/>
      <c r="Y64" s="459"/>
      <c r="Z64" s="459"/>
      <c r="AA64" s="456"/>
      <c r="AB64" s="454" t="s">
        <v>44</v>
      </c>
      <c r="AC64" s="454"/>
      <c r="AD64" s="460"/>
      <c r="AF64" s="84">
        <f>SUM(AF61:AF63)</f>
        <v>96000</v>
      </c>
    </row>
    <row r="65" spans="1:32" ht="25.5" customHeight="1">
      <c r="A65" s="461">
        <v>1</v>
      </c>
      <c r="B65" s="462"/>
      <c r="C65" s="104" t="s">
        <v>118</v>
      </c>
      <c r="D65" s="379"/>
      <c r="E65" s="376" t="s">
        <v>390</v>
      </c>
      <c r="F65" s="463" t="s">
        <v>559</v>
      </c>
      <c r="G65" s="464"/>
      <c r="H65" s="464"/>
      <c r="I65" s="464"/>
      <c r="J65" s="465"/>
      <c r="K65" s="466" t="s">
        <v>367</v>
      </c>
      <c r="L65" s="466"/>
      <c r="M65" s="51" t="s">
        <v>232</v>
      </c>
      <c r="N65" s="467" t="s">
        <v>140</v>
      </c>
      <c r="O65" s="467"/>
      <c r="P65" s="468">
        <v>400</v>
      </c>
      <c r="Q65" s="468"/>
      <c r="R65" s="442" t="s">
        <v>569</v>
      </c>
      <c r="S65" s="442"/>
      <c r="T65" s="442"/>
      <c r="U65" s="442"/>
      <c r="V65" s="442"/>
      <c r="W65" s="442"/>
      <c r="X65" s="442"/>
      <c r="Y65" s="442"/>
      <c r="Z65" s="442"/>
      <c r="AA65" s="442"/>
      <c r="AB65" s="466"/>
      <c r="AC65" s="466"/>
      <c r="AD65" s="469"/>
      <c r="AF65" s="50"/>
    </row>
    <row r="66" spans="1:32" ht="25.5" customHeight="1">
      <c r="A66" s="461">
        <v>2</v>
      </c>
      <c r="B66" s="462"/>
      <c r="C66" s="104" t="s">
        <v>118</v>
      </c>
      <c r="D66" s="379"/>
      <c r="E66" s="376" t="s">
        <v>130</v>
      </c>
      <c r="F66" s="463" t="s">
        <v>570</v>
      </c>
      <c r="G66" s="464"/>
      <c r="H66" s="464"/>
      <c r="I66" s="464"/>
      <c r="J66" s="465"/>
      <c r="K66" s="466" t="s">
        <v>129</v>
      </c>
      <c r="L66" s="466"/>
      <c r="M66" s="51" t="s">
        <v>232</v>
      </c>
      <c r="N66" s="467" t="s">
        <v>141</v>
      </c>
      <c r="O66" s="467"/>
      <c r="P66" s="468">
        <v>200</v>
      </c>
      <c r="Q66" s="468"/>
      <c r="R66" s="442" t="s">
        <v>571</v>
      </c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3</v>
      </c>
      <c r="B67" s="462"/>
      <c r="C67" s="104" t="s">
        <v>118</v>
      </c>
      <c r="D67" s="379"/>
      <c r="E67" s="376" t="s">
        <v>228</v>
      </c>
      <c r="F67" s="463" t="s">
        <v>572</v>
      </c>
      <c r="G67" s="464"/>
      <c r="H67" s="464"/>
      <c r="I67" s="464"/>
      <c r="J67" s="465"/>
      <c r="K67" s="466" t="s">
        <v>233</v>
      </c>
      <c r="L67" s="466"/>
      <c r="M67" s="51" t="s">
        <v>302</v>
      </c>
      <c r="N67" s="467" t="s">
        <v>190</v>
      </c>
      <c r="O67" s="467"/>
      <c r="P67" s="468">
        <v>50</v>
      </c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4</v>
      </c>
      <c r="B68" s="462"/>
      <c r="C68" s="104" t="s">
        <v>118</v>
      </c>
      <c r="D68" s="379"/>
      <c r="E68" s="376" t="s">
        <v>212</v>
      </c>
      <c r="F68" s="463" t="s">
        <v>573</v>
      </c>
      <c r="G68" s="464"/>
      <c r="H68" s="464"/>
      <c r="I68" s="464"/>
      <c r="J68" s="465"/>
      <c r="K68" s="466" t="s">
        <v>574</v>
      </c>
      <c r="L68" s="466"/>
      <c r="M68" s="51" t="s">
        <v>575</v>
      </c>
      <c r="N68" s="467" t="s">
        <v>190</v>
      </c>
      <c r="O68" s="467"/>
      <c r="P68" s="468">
        <v>40</v>
      </c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5</v>
      </c>
      <c r="B69" s="462"/>
      <c r="C69" s="104"/>
      <c r="D69" s="379"/>
      <c r="E69" s="376"/>
      <c r="F69" s="463"/>
      <c r="G69" s="464"/>
      <c r="H69" s="464"/>
      <c r="I69" s="464"/>
      <c r="J69" s="465"/>
      <c r="K69" s="466"/>
      <c r="L69" s="466"/>
      <c r="M69" s="51"/>
      <c r="N69" s="467"/>
      <c r="O69" s="467"/>
      <c r="P69" s="468"/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6</v>
      </c>
      <c r="B70" s="462"/>
      <c r="C70" s="104"/>
      <c r="D70" s="379"/>
      <c r="E70" s="376"/>
      <c r="F70" s="463"/>
      <c r="G70" s="464"/>
      <c r="H70" s="464"/>
      <c r="I70" s="464"/>
      <c r="J70" s="465"/>
      <c r="K70" s="466"/>
      <c r="L70" s="466"/>
      <c r="M70" s="51"/>
      <c r="N70" s="467"/>
      <c r="O70" s="467"/>
      <c r="P70" s="468"/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7</v>
      </c>
      <c r="B71" s="462"/>
      <c r="C71" s="104"/>
      <c r="D71" s="379"/>
      <c r="E71" s="376"/>
      <c r="F71" s="463"/>
      <c r="G71" s="464"/>
      <c r="H71" s="464"/>
      <c r="I71" s="464"/>
      <c r="J71" s="465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8</v>
      </c>
      <c r="B72" s="462"/>
      <c r="C72" s="104"/>
      <c r="D72" s="379"/>
      <c r="E72" s="376"/>
      <c r="F72" s="470"/>
      <c r="G72" s="466"/>
      <c r="H72" s="466"/>
      <c r="I72" s="466"/>
      <c r="J72" s="466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9</v>
      </c>
      <c r="B73" s="462"/>
      <c r="C73" s="104"/>
      <c r="D73" s="379"/>
      <c r="E73" s="376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5.5" customHeight="1">
      <c r="A74" s="461">
        <v>10</v>
      </c>
      <c r="B74" s="462"/>
      <c r="C74" s="104"/>
      <c r="D74" s="379"/>
      <c r="E74" s="376"/>
      <c r="F74" s="470"/>
      <c r="G74" s="466"/>
      <c r="H74" s="466"/>
      <c r="I74" s="466"/>
      <c r="J74" s="466"/>
      <c r="K74" s="466"/>
      <c r="L74" s="466"/>
      <c r="M74" s="51"/>
      <c r="N74" s="467"/>
      <c r="O74" s="467"/>
      <c r="P74" s="468"/>
      <c r="Q74" s="468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66"/>
      <c r="AC74" s="466"/>
      <c r="AD74" s="469"/>
      <c r="AF74" s="50"/>
    </row>
    <row r="75" spans="1:32" ht="26.25" customHeight="1" thickBot="1">
      <c r="A75" s="471" t="s">
        <v>576</v>
      </c>
      <c r="B75" s="471"/>
      <c r="C75" s="471"/>
      <c r="D75" s="471"/>
      <c r="E75" s="471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2" t="s">
        <v>126</v>
      </c>
      <c r="B76" s="473"/>
      <c r="C76" s="378" t="s">
        <v>2</v>
      </c>
      <c r="D76" s="378" t="s">
        <v>37</v>
      </c>
      <c r="E76" s="378" t="s">
        <v>125</v>
      </c>
      <c r="F76" s="473" t="s">
        <v>38</v>
      </c>
      <c r="G76" s="473"/>
      <c r="H76" s="473"/>
      <c r="I76" s="473"/>
      <c r="J76" s="473"/>
      <c r="K76" s="474" t="s">
        <v>58</v>
      </c>
      <c r="L76" s="475"/>
      <c r="M76" s="475"/>
      <c r="N76" s="475"/>
      <c r="O76" s="475"/>
      <c r="P76" s="475"/>
      <c r="Q76" s="475"/>
      <c r="R76" s="475"/>
      <c r="S76" s="476"/>
      <c r="T76" s="473" t="s">
        <v>49</v>
      </c>
      <c r="U76" s="473"/>
      <c r="V76" s="474" t="s">
        <v>50</v>
      </c>
      <c r="W76" s="476"/>
      <c r="X76" s="475" t="s">
        <v>51</v>
      </c>
      <c r="Y76" s="475"/>
      <c r="Z76" s="475"/>
      <c r="AA76" s="475"/>
      <c r="AB76" s="475"/>
      <c r="AC76" s="475"/>
      <c r="AD76" s="477"/>
      <c r="AF76" s="50"/>
    </row>
    <row r="77" spans="1:32" ht="33.75" customHeight="1">
      <c r="A77" s="486">
        <v>1</v>
      </c>
      <c r="B77" s="487"/>
      <c r="C77" s="380" t="s">
        <v>112</v>
      </c>
      <c r="D77" s="380"/>
      <c r="E77" s="65" t="s">
        <v>117</v>
      </c>
      <c r="F77" s="488" t="s">
        <v>116</v>
      </c>
      <c r="G77" s="489"/>
      <c r="H77" s="489"/>
      <c r="I77" s="489"/>
      <c r="J77" s="490"/>
      <c r="K77" s="491" t="s">
        <v>119</v>
      </c>
      <c r="L77" s="492"/>
      <c r="M77" s="492"/>
      <c r="N77" s="492"/>
      <c r="O77" s="492"/>
      <c r="P77" s="492"/>
      <c r="Q77" s="492"/>
      <c r="R77" s="492"/>
      <c r="S77" s="493"/>
      <c r="T77" s="494">
        <v>44118</v>
      </c>
      <c r="U77" s="495"/>
      <c r="V77" s="496"/>
      <c r="W77" s="496"/>
      <c r="X77" s="497"/>
      <c r="Y77" s="497"/>
      <c r="Z77" s="497"/>
      <c r="AA77" s="497"/>
      <c r="AB77" s="497"/>
      <c r="AC77" s="497"/>
      <c r="AD77" s="498"/>
      <c r="AF77" s="50"/>
    </row>
    <row r="78" spans="1:32" ht="30" customHeight="1">
      <c r="A78" s="478">
        <f>A77+1</f>
        <v>2</v>
      </c>
      <c r="B78" s="479"/>
      <c r="C78" s="379"/>
      <c r="D78" s="379"/>
      <c r="E78" s="32"/>
      <c r="F78" s="479"/>
      <c r="G78" s="479"/>
      <c r="H78" s="479"/>
      <c r="I78" s="479"/>
      <c r="J78" s="479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78">
        <f t="shared" ref="A79:A83" si="19">A78+1</f>
        <v>3</v>
      </c>
      <c r="B79" s="479"/>
      <c r="C79" s="379"/>
      <c r="D79" s="379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si="19"/>
        <v>4</v>
      </c>
      <c r="B80" s="479"/>
      <c r="C80" s="379"/>
      <c r="D80" s="379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19"/>
        <v>5</v>
      </c>
      <c r="B81" s="479"/>
      <c r="C81" s="379"/>
      <c r="D81" s="379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19"/>
        <v>6</v>
      </c>
      <c r="B82" s="479"/>
      <c r="C82" s="379"/>
      <c r="D82" s="379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78">
        <f t="shared" si="19"/>
        <v>7</v>
      </c>
      <c r="B83" s="479"/>
      <c r="C83" s="379"/>
      <c r="D83" s="379"/>
      <c r="E83" s="32"/>
      <c r="F83" s="479"/>
      <c r="G83" s="479"/>
      <c r="H83" s="479"/>
      <c r="I83" s="479"/>
      <c r="J83" s="479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1" t="s">
        <v>577</v>
      </c>
      <c r="B84" s="471"/>
      <c r="C84" s="471"/>
      <c r="D84" s="471"/>
      <c r="E84" s="471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2" t="s">
        <v>111</v>
      </c>
      <c r="B85" s="473"/>
      <c r="C85" s="499" t="s">
        <v>52</v>
      </c>
      <c r="D85" s="499"/>
      <c r="E85" s="499" t="s">
        <v>53</v>
      </c>
      <c r="F85" s="499"/>
      <c r="G85" s="499"/>
      <c r="H85" s="499"/>
      <c r="I85" s="499"/>
      <c r="J85" s="499"/>
      <c r="K85" s="499" t="s">
        <v>54</v>
      </c>
      <c r="L85" s="499"/>
      <c r="M85" s="499"/>
      <c r="N85" s="499"/>
      <c r="O85" s="499"/>
      <c r="P85" s="499"/>
      <c r="Q85" s="499"/>
      <c r="R85" s="499"/>
      <c r="S85" s="499"/>
      <c r="T85" s="499" t="s">
        <v>55</v>
      </c>
      <c r="U85" s="499"/>
      <c r="V85" s="499" t="s">
        <v>56</v>
      </c>
      <c r="W85" s="499"/>
      <c r="X85" s="499"/>
      <c r="Y85" s="499" t="s">
        <v>51</v>
      </c>
      <c r="Z85" s="499"/>
      <c r="AA85" s="499"/>
      <c r="AB85" s="499"/>
      <c r="AC85" s="499"/>
      <c r="AD85" s="500"/>
      <c r="AF85" s="50"/>
    </row>
    <row r="86" spans="1:32" ht="30.75" customHeight="1">
      <c r="A86" s="486">
        <v>1</v>
      </c>
      <c r="B86" s="487"/>
      <c r="C86" s="501">
        <v>9</v>
      </c>
      <c r="D86" s="501"/>
      <c r="E86" s="501" t="s">
        <v>149</v>
      </c>
      <c r="F86" s="501"/>
      <c r="G86" s="501"/>
      <c r="H86" s="501"/>
      <c r="I86" s="501"/>
      <c r="J86" s="501"/>
      <c r="K86" s="501" t="s">
        <v>462</v>
      </c>
      <c r="L86" s="501"/>
      <c r="M86" s="501"/>
      <c r="N86" s="501"/>
      <c r="O86" s="501"/>
      <c r="P86" s="501"/>
      <c r="Q86" s="501"/>
      <c r="R86" s="501"/>
      <c r="S86" s="501"/>
      <c r="T86" s="501" t="s">
        <v>151</v>
      </c>
      <c r="U86" s="501"/>
      <c r="V86" s="502" t="s">
        <v>265</v>
      </c>
      <c r="W86" s="502"/>
      <c r="X86" s="502"/>
      <c r="Y86" s="503"/>
      <c r="Z86" s="503"/>
      <c r="AA86" s="503"/>
      <c r="AB86" s="503"/>
      <c r="AC86" s="503"/>
      <c r="AD86" s="504"/>
      <c r="AF86" s="50"/>
    </row>
    <row r="87" spans="1:32" ht="30.75" customHeight="1">
      <c r="A87" s="478">
        <v>2</v>
      </c>
      <c r="B87" s="479"/>
      <c r="C87" s="512"/>
      <c r="D87" s="512"/>
      <c r="E87" s="512"/>
      <c r="F87" s="512"/>
      <c r="G87" s="512"/>
      <c r="H87" s="512"/>
      <c r="I87" s="512"/>
      <c r="J87" s="512"/>
      <c r="K87" s="512"/>
      <c r="L87" s="512"/>
      <c r="M87" s="512"/>
      <c r="N87" s="512"/>
      <c r="O87" s="512"/>
      <c r="P87" s="512"/>
      <c r="Q87" s="512"/>
      <c r="R87" s="512"/>
      <c r="S87" s="512"/>
      <c r="T87" s="513"/>
      <c r="U87" s="513"/>
      <c r="V87" s="514"/>
      <c r="W87" s="514"/>
      <c r="X87" s="514"/>
      <c r="Y87" s="505"/>
      <c r="Z87" s="505"/>
      <c r="AA87" s="505"/>
      <c r="AB87" s="505"/>
      <c r="AC87" s="505"/>
      <c r="AD87" s="506"/>
      <c r="AF87" s="50"/>
    </row>
    <row r="88" spans="1:32" ht="30.75" customHeight="1" thickBot="1">
      <c r="A88" s="507">
        <v>3</v>
      </c>
      <c r="B88" s="508"/>
      <c r="C88" s="509"/>
      <c r="D88" s="509"/>
      <c r="E88" s="509"/>
      <c r="F88" s="509"/>
      <c r="G88" s="509"/>
      <c r="H88" s="509"/>
      <c r="I88" s="509"/>
      <c r="J88" s="509"/>
      <c r="K88" s="509"/>
      <c r="L88" s="509"/>
      <c r="M88" s="509"/>
      <c r="N88" s="509"/>
      <c r="O88" s="509"/>
      <c r="P88" s="509"/>
      <c r="Q88" s="509"/>
      <c r="R88" s="509"/>
      <c r="S88" s="509"/>
      <c r="T88" s="509"/>
      <c r="U88" s="509"/>
      <c r="V88" s="509"/>
      <c r="W88" s="509"/>
      <c r="X88" s="509"/>
      <c r="Y88" s="510"/>
      <c r="Z88" s="510"/>
      <c r="AA88" s="510"/>
      <c r="AB88" s="510"/>
      <c r="AC88" s="510"/>
      <c r="AD88" s="511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4B1C-63FD-4A1D-9D28-31387940EAD8}">
  <dimension ref="A1:AF87"/>
  <sheetViews>
    <sheetView tabSelected="1" view="pageBreakPreview" zoomScale="70" zoomScaleNormal="72" zoomScaleSheetLayoutView="70" workbookViewId="0">
      <selection activeCell="K80" sqref="K80:S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4" t="s">
        <v>578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4" t="s">
        <v>8</v>
      </c>
      <c r="J4" s="425"/>
      <c r="K4" s="425"/>
      <c r="L4" s="425"/>
      <c r="M4" s="425"/>
      <c r="N4" s="425"/>
      <c r="O4" s="426"/>
      <c r="P4" s="427" t="s">
        <v>9</v>
      </c>
      <c r="Q4" s="428"/>
      <c r="R4" s="429" t="s">
        <v>10</v>
      </c>
      <c r="S4" s="429"/>
      <c r="T4" s="429"/>
      <c r="U4" s="429"/>
      <c r="V4" s="429"/>
      <c r="W4" s="430" t="s">
        <v>11</v>
      </c>
      <c r="X4" s="429"/>
      <c r="Y4" s="429"/>
      <c r="Z4" s="429"/>
      <c r="AA4" s="431"/>
      <c r="AB4" s="432" t="s">
        <v>12</v>
      </c>
      <c r="AC4" s="406" t="s">
        <v>13</v>
      </c>
      <c r="AD4" s="406" t="s">
        <v>14</v>
      </c>
      <c r="AE4" s="54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5" t="s">
        <v>15</v>
      </c>
      <c r="J5" s="56" t="s">
        <v>16</v>
      </c>
      <c r="K5" s="393" t="s">
        <v>17</v>
      </c>
      <c r="L5" s="393" t="s">
        <v>18</v>
      </c>
      <c r="M5" s="393" t="s">
        <v>19</v>
      </c>
      <c r="N5" s="39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3"/>
      <c r="AC5" s="407"/>
      <c r="AD5" s="407"/>
      <c r="AE5" s="54"/>
    </row>
    <row r="6" spans="1:32" ht="27" customHeight="1">
      <c r="A6" s="112">
        <v>1</v>
      </c>
      <c r="B6" s="11" t="s">
        <v>57</v>
      </c>
      <c r="C6" s="34" t="s">
        <v>156</v>
      </c>
      <c r="D6" s="52" t="s">
        <v>162</v>
      </c>
      <c r="E6" s="53" t="s">
        <v>158</v>
      </c>
      <c r="F6" s="30" t="s">
        <v>267</v>
      </c>
      <c r="G6" s="12">
        <v>1</v>
      </c>
      <c r="H6" s="13">
        <v>24</v>
      </c>
      <c r="I6" s="31">
        <v>5000</v>
      </c>
      <c r="J6" s="14">
        <v>883</v>
      </c>
      <c r="K6" s="15">
        <f>L6+6282</f>
        <v>7165</v>
      </c>
      <c r="L6" s="15">
        <v>883</v>
      </c>
      <c r="M6" s="15">
        <f t="shared" ref="M6:M21" si="0">L6-N6</f>
        <v>883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6</v>
      </c>
      <c r="Q6" s="40">
        <f t="shared" ref="Q6:Q21" si="3">SUM(R6:AA6)</f>
        <v>18</v>
      </c>
      <c r="R6" s="7"/>
      <c r="S6" s="6"/>
      <c r="T6" s="16"/>
      <c r="U6" s="16"/>
      <c r="V6" s="17"/>
      <c r="W6" s="5">
        <v>18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0.25</v>
      </c>
      <c r="AD6" s="10">
        <f t="shared" ref="AD6:AD21" si="6">AC6*AB6*(1-O6)</f>
        <v>0.25</v>
      </c>
      <c r="AE6" s="36">
        <f>$AD$22</f>
        <v>0.23177083333333337</v>
      </c>
      <c r="AF6" s="84">
        <f t="shared" ref="AF6:AF21" si="7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498</v>
      </c>
      <c r="F7" s="30" t="s">
        <v>128</v>
      </c>
      <c r="G7" s="12">
        <v>1</v>
      </c>
      <c r="H7" s="13">
        <v>24</v>
      </c>
      <c r="I7" s="31">
        <v>1300</v>
      </c>
      <c r="J7" s="14">
        <v>1457</v>
      </c>
      <c r="K7" s="15">
        <f>L7+1457</f>
        <v>1457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>$AD$22</f>
        <v>0.23177083333333337</v>
      </c>
      <c r="AF7" s="84">
        <f t="shared" si="7"/>
        <v>2</v>
      </c>
    </row>
    <row r="8" spans="1:32" ht="27" customHeight="1">
      <c r="A8" s="96">
        <v>3</v>
      </c>
      <c r="B8" s="11" t="s">
        <v>57</v>
      </c>
      <c r="C8" s="34" t="s">
        <v>139</v>
      </c>
      <c r="D8" s="52" t="s">
        <v>115</v>
      </c>
      <c r="E8" s="53" t="s">
        <v>442</v>
      </c>
      <c r="F8" s="30" t="s">
        <v>165</v>
      </c>
      <c r="G8" s="33">
        <v>1</v>
      </c>
      <c r="H8" s="35">
        <v>24</v>
      </c>
      <c r="I8" s="7">
        <v>2500</v>
      </c>
      <c r="J8" s="5">
        <v>2213</v>
      </c>
      <c r="K8" s="15">
        <f>L8+2507+2213</f>
        <v>4720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>$AD$22</f>
        <v>0.23177083333333337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115</v>
      </c>
      <c r="E9" s="53" t="s">
        <v>553</v>
      </c>
      <c r="F9" s="30" t="s">
        <v>133</v>
      </c>
      <c r="G9" s="12">
        <v>1</v>
      </c>
      <c r="H9" s="13">
        <v>24</v>
      </c>
      <c r="I9" s="7">
        <v>28000</v>
      </c>
      <c r="J9" s="14">
        <v>1946</v>
      </c>
      <c r="K9" s="15">
        <f>L9+4421</f>
        <v>6367</v>
      </c>
      <c r="L9" s="15">
        <v>1946</v>
      </c>
      <c r="M9" s="15">
        <f t="shared" si="0"/>
        <v>1946</v>
      </c>
      <c r="N9" s="15">
        <v>0</v>
      </c>
      <c r="O9" s="58">
        <f t="shared" si="1"/>
        <v>0</v>
      </c>
      <c r="P9" s="39">
        <f t="shared" si="2"/>
        <v>9</v>
      </c>
      <c r="Q9" s="40">
        <f t="shared" si="3"/>
        <v>15</v>
      </c>
      <c r="R9" s="7"/>
      <c r="S9" s="6">
        <v>2</v>
      </c>
      <c r="T9" s="16"/>
      <c r="U9" s="16"/>
      <c r="V9" s="17">
        <v>13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0.375</v>
      </c>
      <c r="AD9" s="10">
        <f t="shared" si="6"/>
        <v>0.375</v>
      </c>
      <c r="AE9" s="36">
        <f>$AD$22</f>
        <v>0.23177083333333337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135</v>
      </c>
      <c r="E10" s="53" t="s">
        <v>529</v>
      </c>
      <c r="F10" s="30" t="s">
        <v>244</v>
      </c>
      <c r="G10" s="33">
        <v>1</v>
      </c>
      <c r="H10" s="35">
        <v>24</v>
      </c>
      <c r="I10" s="7">
        <v>25000</v>
      </c>
      <c r="J10" s="14">
        <v>2872</v>
      </c>
      <c r="K10" s="15">
        <f>L10+6258+6648+6637</f>
        <v>22415</v>
      </c>
      <c r="L10" s="15">
        <f>2872</f>
        <v>2872</v>
      </c>
      <c r="M10" s="15">
        <f t="shared" si="0"/>
        <v>2872</v>
      </c>
      <c r="N10" s="15">
        <v>0</v>
      </c>
      <c r="O10" s="58">
        <f t="shared" si="1"/>
        <v>0</v>
      </c>
      <c r="P10" s="39">
        <f t="shared" si="2"/>
        <v>11</v>
      </c>
      <c r="Q10" s="40">
        <f t="shared" si="3"/>
        <v>13</v>
      </c>
      <c r="R10" s="7"/>
      <c r="S10" s="6"/>
      <c r="T10" s="16"/>
      <c r="U10" s="16"/>
      <c r="V10" s="17">
        <v>13</v>
      </c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0.45833333333333331</v>
      </c>
      <c r="AD10" s="10">
        <f t="shared" si="6"/>
        <v>0.45833333333333331</v>
      </c>
      <c r="AE10" s="36">
        <f>$AD$22</f>
        <v>0.23177083333333337</v>
      </c>
      <c r="AF10" s="84">
        <f t="shared" si="7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464</v>
      </c>
      <c r="E11" s="53" t="s">
        <v>465</v>
      </c>
      <c r="F11" s="30" t="s">
        <v>466</v>
      </c>
      <c r="G11" s="33">
        <v>16</v>
      </c>
      <c r="H11" s="35">
        <v>24</v>
      </c>
      <c r="I11" s="7">
        <v>100000</v>
      </c>
      <c r="J11" s="14">
        <v>15260</v>
      </c>
      <c r="K11" s="15">
        <f>L11+39816+90622+108136+15260</f>
        <v>253834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>$AD$22</f>
        <v>0.23177083333333337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144</v>
      </c>
      <c r="F12" s="30" t="s">
        <v>145</v>
      </c>
      <c r="G12" s="12">
        <v>1</v>
      </c>
      <c r="H12" s="13">
        <v>22</v>
      </c>
      <c r="I12" s="31">
        <v>34000</v>
      </c>
      <c r="J12" s="5">
        <v>2354</v>
      </c>
      <c r="K12" s="15">
        <f>L12+5421+4981+4563+3733</f>
        <v>21052</v>
      </c>
      <c r="L12" s="15">
        <v>2354</v>
      </c>
      <c r="M12" s="15">
        <f t="shared" si="0"/>
        <v>2354</v>
      </c>
      <c r="N12" s="15">
        <v>0</v>
      </c>
      <c r="O12" s="58">
        <f t="shared" si="1"/>
        <v>0</v>
      </c>
      <c r="P12" s="39">
        <f t="shared" si="2"/>
        <v>11</v>
      </c>
      <c r="Q12" s="40">
        <f t="shared" si="3"/>
        <v>13</v>
      </c>
      <c r="R12" s="7"/>
      <c r="S12" s="6"/>
      <c r="T12" s="16"/>
      <c r="U12" s="16"/>
      <c r="V12" s="17">
        <v>13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0.45833333333333331</v>
      </c>
      <c r="AD12" s="10">
        <f t="shared" si="6"/>
        <v>0.45833333333333331</v>
      </c>
      <c r="AE12" s="36">
        <f>$AD$22</f>
        <v>0.23177083333333337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135</v>
      </c>
      <c r="E13" s="53" t="s">
        <v>268</v>
      </c>
      <c r="F13" s="30" t="s">
        <v>244</v>
      </c>
      <c r="G13" s="33">
        <v>2</v>
      </c>
      <c r="H13" s="35">
        <v>24</v>
      </c>
      <c r="I13" s="7">
        <v>20000</v>
      </c>
      <c r="J13" s="14">
        <v>2364</v>
      </c>
      <c r="K13" s="15">
        <f>L13+8436+13386</f>
        <v>24186</v>
      </c>
      <c r="L13" s="15">
        <f>1182*2</f>
        <v>2364</v>
      </c>
      <c r="M13" s="15">
        <f t="shared" si="0"/>
        <v>2364</v>
      </c>
      <c r="N13" s="15">
        <v>0</v>
      </c>
      <c r="O13" s="58">
        <f t="shared" si="1"/>
        <v>0</v>
      </c>
      <c r="P13" s="39">
        <f t="shared" si="2"/>
        <v>6</v>
      </c>
      <c r="Q13" s="40">
        <f t="shared" si="3"/>
        <v>18</v>
      </c>
      <c r="R13" s="7"/>
      <c r="S13" s="6"/>
      <c r="T13" s="16"/>
      <c r="U13" s="16"/>
      <c r="V13" s="17"/>
      <c r="W13" s="5">
        <v>18</v>
      </c>
      <c r="X13" s="16"/>
      <c r="Y13" s="16"/>
      <c r="Z13" s="16"/>
      <c r="AA13" s="18"/>
      <c r="AB13" s="8">
        <f t="shared" si="4"/>
        <v>1</v>
      </c>
      <c r="AC13" s="9">
        <f t="shared" si="5"/>
        <v>0.25</v>
      </c>
      <c r="AD13" s="10">
        <f t="shared" si="6"/>
        <v>0.25</v>
      </c>
      <c r="AE13" s="36">
        <f>$AD$22</f>
        <v>0.23177083333333337</v>
      </c>
      <c r="AF13" s="84">
        <f t="shared" si="7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505</v>
      </c>
      <c r="F14" s="30" t="s">
        <v>245</v>
      </c>
      <c r="G14" s="33">
        <v>1</v>
      </c>
      <c r="H14" s="35">
        <v>50</v>
      </c>
      <c r="I14" s="7">
        <v>300</v>
      </c>
      <c r="J14" s="5">
        <v>275</v>
      </c>
      <c r="K14" s="15">
        <f>L14+340+275</f>
        <v>615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>$AD$22</f>
        <v>0.23177083333333337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130</v>
      </c>
      <c r="E15" s="53" t="s">
        <v>520</v>
      </c>
      <c r="F15" s="30" t="s">
        <v>344</v>
      </c>
      <c r="G15" s="12">
        <v>4</v>
      </c>
      <c r="H15" s="13">
        <v>24</v>
      </c>
      <c r="I15" s="31">
        <v>80000</v>
      </c>
      <c r="J15" s="14">
        <v>9380</v>
      </c>
      <c r="K15" s="15">
        <f>L15+17216+22532+22956+23032</f>
        <v>95116</v>
      </c>
      <c r="L15" s="15">
        <f>2345*4</f>
        <v>9380</v>
      </c>
      <c r="M15" s="15">
        <f t="shared" si="0"/>
        <v>9380</v>
      </c>
      <c r="N15" s="15">
        <v>0</v>
      </c>
      <c r="O15" s="58">
        <f t="shared" si="1"/>
        <v>0</v>
      </c>
      <c r="P15" s="39">
        <f t="shared" si="2"/>
        <v>8</v>
      </c>
      <c r="Q15" s="40">
        <f t="shared" si="3"/>
        <v>16</v>
      </c>
      <c r="R15" s="7"/>
      <c r="S15" s="6"/>
      <c r="T15" s="16"/>
      <c r="U15" s="16"/>
      <c r="V15" s="17"/>
      <c r="W15" s="5">
        <v>16</v>
      </c>
      <c r="X15" s="16"/>
      <c r="Y15" s="16"/>
      <c r="Z15" s="16"/>
      <c r="AA15" s="18"/>
      <c r="AB15" s="8">
        <f t="shared" si="4"/>
        <v>1</v>
      </c>
      <c r="AC15" s="9">
        <f t="shared" si="5"/>
        <v>0.33333333333333331</v>
      </c>
      <c r="AD15" s="10">
        <f t="shared" si="6"/>
        <v>0.33333333333333331</v>
      </c>
      <c r="AE15" s="36">
        <f>$AD$22</f>
        <v>0.23177083333333337</v>
      </c>
      <c r="AF15" s="84">
        <f t="shared" si="7"/>
        <v>10</v>
      </c>
    </row>
    <row r="16" spans="1:32" ht="30" customHeight="1">
      <c r="A16" s="112">
        <v>11</v>
      </c>
      <c r="B16" s="11" t="s">
        <v>57</v>
      </c>
      <c r="C16" s="34" t="s">
        <v>120</v>
      </c>
      <c r="D16" s="52"/>
      <c r="E16" s="53" t="s">
        <v>411</v>
      </c>
      <c r="F16" s="30" t="s">
        <v>129</v>
      </c>
      <c r="G16" s="12">
        <v>1</v>
      </c>
      <c r="H16" s="13">
        <v>24</v>
      </c>
      <c r="I16" s="7">
        <v>5000</v>
      </c>
      <c r="J16" s="14">
        <v>2283</v>
      </c>
      <c r="K16" s="15">
        <f>L16</f>
        <v>2283</v>
      </c>
      <c r="L16" s="15">
        <v>2283</v>
      </c>
      <c r="M16" s="15">
        <f t="shared" si="0"/>
        <v>2283</v>
      </c>
      <c r="N16" s="15">
        <v>0</v>
      </c>
      <c r="O16" s="58">
        <f t="shared" si="1"/>
        <v>0</v>
      </c>
      <c r="P16" s="39">
        <f t="shared" si="2"/>
        <v>11</v>
      </c>
      <c r="Q16" s="40">
        <f t="shared" si="3"/>
        <v>13</v>
      </c>
      <c r="R16" s="7"/>
      <c r="S16" s="6"/>
      <c r="T16" s="16"/>
      <c r="U16" s="16"/>
      <c r="V16" s="17">
        <v>13</v>
      </c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0.45833333333333331</v>
      </c>
      <c r="AD16" s="10">
        <f t="shared" si="6"/>
        <v>0.45833333333333331</v>
      </c>
      <c r="AE16" s="36">
        <f>$AD$22</f>
        <v>0.23177083333333337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/>
      <c r="E17" s="53" t="s">
        <v>546</v>
      </c>
      <c r="F17" s="30" t="s">
        <v>128</v>
      </c>
      <c r="G17" s="12">
        <v>1</v>
      </c>
      <c r="H17" s="13">
        <v>24</v>
      </c>
      <c r="I17" s="7">
        <v>6000</v>
      </c>
      <c r="J17" s="14">
        <v>5194</v>
      </c>
      <c r="K17" s="15">
        <f>L17+4996+5194</f>
        <v>10190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>$AD$22</f>
        <v>0.23177083333333337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467</v>
      </c>
      <c r="F18" s="30" t="s">
        <v>129</v>
      </c>
      <c r="G18" s="33">
        <v>1</v>
      </c>
      <c r="H18" s="35">
        <v>24</v>
      </c>
      <c r="I18" s="7">
        <v>23400</v>
      </c>
      <c r="J18" s="14">
        <v>792</v>
      </c>
      <c r="K18" s="15">
        <f>L18+783+4509+5580+5841+5844+5869+5847</f>
        <v>35065</v>
      </c>
      <c r="L18" s="15">
        <v>792</v>
      </c>
      <c r="M18" s="15">
        <f t="shared" si="0"/>
        <v>792</v>
      </c>
      <c r="N18" s="15">
        <v>0</v>
      </c>
      <c r="O18" s="58">
        <f t="shared" si="1"/>
        <v>0</v>
      </c>
      <c r="P18" s="39">
        <f t="shared" si="2"/>
        <v>5</v>
      </c>
      <c r="Q18" s="40">
        <f t="shared" si="3"/>
        <v>19</v>
      </c>
      <c r="R18" s="7"/>
      <c r="S18" s="6"/>
      <c r="T18" s="16"/>
      <c r="U18" s="16"/>
      <c r="V18" s="17"/>
      <c r="W18" s="5">
        <v>19</v>
      </c>
      <c r="X18" s="16"/>
      <c r="Y18" s="16"/>
      <c r="Z18" s="16"/>
      <c r="AA18" s="18"/>
      <c r="AB18" s="8">
        <f t="shared" si="4"/>
        <v>1</v>
      </c>
      <c r="AC18" s="9">
        <f t="shared" si="5"/>
        <v>0.20833333333333334</v>
      </c>
      <c r="AD18" s="10">
        <f t="shared" si="6"/>
        <v>0.20833333333333334</v>
      </c>
      <c r="AE18" s="36">
        <f>$AD$22</f>
        <v>0.23177083333333337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130</v>
      </c>
      <c r="E19" s="53" t="s">
        <v>554</v>
      </c>
      <c r="F19" s="30" t="s">
        <v>339</v>
      </c>
      <c r="G19" s="33">
        <v>1</v>
      </c>
      <c r="H19" s="35">
        <v>24</v>
      </c>
      <c r="I19" s="7">
        <v>28000</v>
      </c>
      <c r="J19" s="14">
        <v>2017</v>
      </c>
      <c r="K19" s="15">
        <f>L19+4498</f>
        <v>6515</v>
      </c>
      <c r="L19" s="15">
        <f>2017</f>
        <v>2017</v>
      </c>
      <c r="M19" s="15">
        <f t="shared" si="0"/>
        <v>2017</v>
      </c>
      <c r="N19" s="15">
        <v>0</v>
      </c>
      <c r="O19" s="58">
        <f t="shared" si="1"/>
        <v>0</v>
      </c>
      <c r="P19" s="39">
        <f t="shared" si="2"/>
        <v>11</v>
      </c>
      <c r="Q19" s="40">
        <f t="shared" si="3"/>
        <v>13</v>
      </c>
      <c r="R19" s="7"/>
      <c r="S19" s="6"/>
      <c r="T19" s="16"/>
      <c r="U19" s="16"/>
      <c r="V19" s="17">
        <v>13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0.45833333333333331</v>
      </c>
      <c r="AD19" s="10">
        <f t="shared" si="6"/>
        <v>0.45833333333333331</v>
      </c>
      <c r="AE19" s="36">
        <f>$AD$22</f>
        <v>0.23177083333333337</v>
      </c>
      <c r="AF19" s="84">
        <f t="shared" si="7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555</v>
      </c>
      <c r="F20" s="30" t="s">
        <v>339</v>
      </c>
      <c r="G20" s="12">
        <v>1</v>
      </c>
      <c r="H20" s="13">
        <v>24</v>
      </c>
      <c r="I20" s="7">
        <v>3000</v>
      </c>
      <c r="J20" s="14">
        <v>2105</v>
      </c>
      <c r="K20" s="15">
        <f>L20+3065</f>
        <v>5170</v>
      </c>
      <c r="L20" s="15">
        <v>2105</v>
      </c>
      <c r="M20" s="15">
        <f t="shared" si="0"/>
        <v>2105</v>
      </c>
      <c r="N20" s="15">
        <v>0</v>
      </c>
      <c r="O20" s="58">
        <f t="shared" si="1"/>
        <v>0</v>
      </c>
      <c r="P20" s="39">
        <f t="shared" si="2"/>
        <v>11</v>
      </c>
      <c r="Q20" s="40">
        <f t="shared" si="3"/>
        <v>13</v>
      </c>
      <c r="R20" s="7"/>
      <c r="S20" s="6"/>
      <c r="T20" s="16"/>
      <c r="U20" s="16"/>
      <c r="V20" s="17"/>
      <c r="W20" s="5">
        <v>13</v>
      </c>
      <c r="X20" s="16"/>
      <c r="Y20" s="16"/>
      <c r="Z20" s="16"/>
      <c r="AA20" s="18"/>
      <c r="AB20" s="8">
        <f t="shared" si="4"/>
        <v>1</v>
      </c>
      <c r="AC20" s="9">
        <f t="shared" si="5"/>
        <v>0.45833333333333331</v>
      </c>
      <c r="AD20" s="10">
        <f t="shared" si="6"/>
        <v>0.45833333333333331</v>
      </c>
      <c r="AE20" s="36">
        <f>$AD$22</f>
        <v>0.23177083333333337</v>
      </c>
      <c r="AF20" s="84">
        <f t="shared" si="7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346</v>
      </c>
      <c r="F21" s="12" t="s">
        <v>114</v>
      </c>
      <c r="G21" s="12">
        <v>3</v>
      </c>
      <c r="H21" s="35">
        <v>20</v>
      </c>
      <c r="I21" s="7">
        <v>1000000</v>
      </c>
      <c r="J21" s="14">
        <v>70172</v>
      </c>
      <c r="K21" s="15">
        <f>L21+28316+74820+71924+69164+75560+75632+75472+75276+75604+67592+75408+75360+75692+70172</f>
        <v>985992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>$AD$22</f>
        <v>0.23177083333333337</v>
      </c>
      <c r="AF21" s="84">
        <f t="shared" si="7"/>
        <v>16</v>
      </c>
    </row>
    <row r="22" spans="1:32" ht="31.5" customHeight="1" thickBot="1">
      <c r="A22" s="408" t="s">
        <v>34</v>
      </c>
      <c r="B22" s="409"/>
      <c r="C22" s="409"/>
      <c r="D22" s="409"/>
      <c r="E22" s="409"/>
      <c r="F22" s="409"/>
      <c r="G22" s="409"/>
      <c r="H22" s="410"/>
      <c r="I22" s="22">
        <f>SUM(I6:I21)</f>
        <v>1361500</v>
      </c>
      <c r="J22" s="19">
        <f>SUM(J6:J21)</f>
        <v>121567</v>
      </c>
      <c r="K22" s="20">
        <f>SUM(K6:K21)</f>
        <v>1482142</v>
      </c>
      <c r="L22" s="21">
        <f>SUM(L6:L21)</f>
        <v>26996</v>
      </c>
      <c r="M22" s="20">
        <f>SUM(M6:M21)</f>
        <v>26996</v>
      </c>
      <c r="N22" s="21">
        <f>SUM(N6:N21)</f>
        <v>0</v>
      </c>
      <c r="O22" s="41">
        <f t="shared" si="1"/>
        <v>0</v>
      </c>
      <c r="P22" s="42">
        <f>SUM(P6:P21)</f>
        <v>89</v>
      </c>
      <c r="Q22" s="43">
        <f>SUM(Q6:Q21)</f>
        <v>295</v>
      </c>
      <c r="R22" s="23">
        <f>SUM(R6:R21)</f>
        <v>24</v>
      </c>
      <c r="S22" s="24">
        <f>SUM(S6:S21)</f>
        <v>2</v>
      </c>
      <c r="T22" s="24">
        <f>SUM(T6:T21)</f>
        <v>0</v>
      </c>
      <c r="U22" s="24">
        <f>SUM(U6:U21)</f>
        <v>0</v>
      </c>
      <c r="V22" s="25">
        <f>SUM(V6:V21)</f>
        <v>89</v>
      </c>
      <c r="W22" s="26">
        <f>SUM(W6:W21)</f>
        <v>180</v>
      </c>
      <c r="X22" s="27">
        <f>SUM(X6:X21)</f>
        <v>0</v>
      </c>
      <c r="Y22" s="27">
        <f>SUM(Y6:Y21)</f>
        <v>0</v>
      </c>
      <c r="Z22" s="27">
        <f>SUM(Z6:Z21)</f>
        <v>0</v>
      </c>
      <c r="AA22" s="27">
        <f>SUM(AA6:AA21)</f>
        <v>0</v>
      </c>
      <c r="AB22" s="28">
        <f>AVERAGE(AB6:AB21)</f>
        <v>0.625</v>
      </c>
      <c r="AC22" s="4">
        <f>AVERAGE(AC6:AC21)</f>
        <v>0.23177083333333337</v>
      </c>
      <c r="AD22" s="4">
        <f>AVERAGE(AD6:AD21)</f>
        <v>0.23177083333333337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11" t="s">
        <v>45</v>
      </c>
      <c r="B49" s="411"/>
      <c r="C49" s="411"/>
      <c r="D49" s="411"/>
      <c r="E49" s="411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12" t="s">
        <v>579</v>
      </c>
      <c r="B50" s="413"/>
      <c r="C50" s="413"/>
      <c r="D50" s="413"/>
      <c r="E50" s="413"/>
      <c r="F50" s="413"/>
      <c r="G50" s="413"/>
      <c r="H50" s="413"/>
      <c r="I50" s="413"/>
      <c r="J50" s="413"/>
      <c r="K50" s="413"/>
      <c r="L50" s="413"/>
      <c r="M50" s="414"/>
      <c r="N50" s="415" t="s">
        <v>209</v>
      </c>
      <c r="O50" s="416"/>
      <c r="P50" s="416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/>
      <c r="AC50" s="416"/>
      <c r="AD50" s="417"/>
    </row>
    <row r="51" spans="1:32" ht="27" customHeight="1">
      <c r="A51" s="418" t="s">
        <v>2</v>
      </c>
      <c r="B51" s="419"/>
      <c r="C51" s="392" t="s">
        <v>46</v>
      </c>
      <c r="D51" s="392" t="s">
        <v>47</v>
      </c>
      <c r="E51" s="392" t="s">
        <v>107</v>
      </c>
      <c r="F51" s="420" t="s">
        <v>106</v>
      </c>
      <c r="G51" s="421"/>
      <c r="H51" s="421"/>
      <c r="I51" s="421"/>
      <c r="J51" s="421"/>
      <c r="K51" s="421"/>
      <c r="L51" s="421"/>
      <c r="M51" s="422"/>
      <c r="N51" s="67" t="s">
        <v>110</v>
      </c>
      <c r="O51" s="392" t="s">
        <v>46</v>
      </c>
      <c r="P51" s="420" t="s">
        <v>47</v>
      </c>
      <c r="Q51" s="423"/>
      <c r="R51" s="420" t="s">
        <v>38</v>
      </c>
      <c r="S51" s="421"/>
      <c r="T51" s="421"/>
      <c r="U51" s="423"/>
      <c r="V51" s="420" t="s">
        <v>48</v>
      </c>
      <c r="W51" s="421"/>
      <c r="X51" s="421"/>
      <c r="Y51" s="421"/>
      <c r="Z51" s="421"/>
      <c r="AA51" s="421"/>
      <c r="AB51" s="421"/>
      <c r="AC51" s="421"/>
      <c r="AD51" s="422"/>
    </row>
    <row r="52" spans="1:32" ht="27" customHeight="1">
      <c r="A52" s="434" t="s">
        <v>120</v>
      </c>
      <c r="B52" s="435"/>
      <c r="C52" s="388" t="s">
        <v>141</v>
      </c>
      <c r="D52" s="388"/>
      <c r="E52" s="388" t="s">
        <v>411</v>
      </c>
      <c r="F52" s="436" t="s">
        <v>138</v>
      </c>
      <c r="G52" s="437"/>
      <c r="H52" s="437"/>
      <c r="I52" s="437"/>
      <c r="J52" s="437"/>
      <c r="K52" s="437"/>
      <c r="L52" s="437"/>
      <c r="M52" s="438"/>
      <c r="N52" s="391" t="s">
        <v>156</v>
      </c>
      <c r="O52" s="385" t="s">
        <v>250</v>
      </c>
      <c r="P52" s="439" t="s">
        <v>355</v>
      </c>
      <c r="Q52" s="440"/>
      <c r="R52" s="439" t="s">
        <v>580</v>
      </c>
      <c r="S52" s="441"/>
      <c r="T52" s="441"/>
      <c r="U52" s="440"/>
      <c r="V52" s="442" t="s">
        <v>138</v>
      </c>
      <c r="W52" s="442"/>
      <c r="X52" s="442"/>
      <c r="Y52" s="442"/>
      <c r="Z52" s="442"/>
      <c r="AA52" s="442"/>
      <c r="AB52" s="442"/>
      <c r="AC52" s="442"/>
      <c r="AD52" s="443"/>
    </row>
    <row r="53" spans="1:32" ht="27" customHeight="1">
      <c r="A53" s="434" t="s">
        <v>118</v>
      </c>
      <c r="B53" s="435"/>
      <c r="C53" s="388" t="s">
        <v>385</v>
      </c>
      <c r="D53" s="388" t="s">
        <v>115</v>
      </c>
      <c r="E53" s="388" t="s">
        <v>553</v>
      </c>
      <c r="F53" s="436" t="s">
        <v>348</v>
      </c>
      <c r="G53" s="437"/>
      <c r="H53" s="437"/>
      <c r="I53" s="437"/>
      <c r="J53" s="437"/>
      <c r="K53" s="437"/>
      <c r="L53" s="437"/>
      <c r="M53" s="438"/>
      <c r="N53" s="391" t="s">
        <v>112</v>
      </c>
      <c r="O53" s="385" t="s">
        <v>190</v>
      </c>
      <c r="P53" s="439" t="s">
        <v>115</v>
      </c>
      <c r="Q53" s="440"/>
      <c r="R53" s="439" t="s">
        <v>581</v>
      </c>
      <c r="S53" s="441"/>
      <c r="T53" s="441"/>
      <c r="U53" s="440"/>
      <c r="V53" s="442" t="s">
        <v>138</v>
      </c>
      <c r="W53" s="442"/>
      <c r="X53" s="442"/>
      <c r="Y53" s="442"/>
      <c r="Z53" s="442"/>
      <c r="AA53" s="442"/>
      <c r="AB53" s="442"/>
      <c r="AC53" s="442"/>
      <c r="AD53" s="443"/>
    </row>
    <row r="54" spans="1:32" ht="27" customHeight="1">
      <c r="A54" s="434"/>
      <c r="B54" s="435"/>
      <c r="C54" s="388"/>
      <c r="D54" s="388"/>
      <c r="E54" s="388"/>
      <c r="F54" s="436"/>
      <c r="G54" s="437"/>
      <c r="H54" s="437"/>
      <c r="I54" s="437"/>
      <c r="J54" s="437"/>
      <c r="K54" s="437"/>
      <c r="L54" s="437"/>
      <c r="M54" s="438"/>
      <c r="N54" s="391" t="s">
        <v>120</v>
      </c>
      <c r="O54" s="385" t="s">
        <v>198</v>
      </c>
      <c r="P54" s="439"/>
      <c r="Q54" s="440"/>
      <c r="R54" s="439" t="s">
        <v>301</v>
      </c>
      <c r="S54" s="441"/>
      <c r="T54" s="441"/>
      <c r="U54" s="440"/>
      <c r="V54" s="442" t="s">
        <v>138</v>
      </c>
      <c r="W54" s="442"/>
      <c r="X54" s="442"/>
      <c r="Y54" s="442"/>
      <c r="Z54" s="442"/>
      <c r="AA54" s="442"/>
      <c r="AB54" s="442"/>
      <c r="AC54" s="442"/>
      <c r="AD54" s="443"/>
    </row>
    <row r="55" spans="1:32" ht="27" customHeight="1">
      <c r="A55" s="434"/>
      <c r="B55" s="435"/>
      <c r="C55" s="388"/>
      <c r="D55" s="388"/>
      <c r="E55" s="388"/>
      <c r="F55" s="436"/>
      <c r="G55" s="437"/>
      <c r="H55" s="437"/>
      <c r="I55" s="437"/>
      <c r="J55" s="437"/>
      <c r="K55" s="437"/>
      <c r="L55" s="437"/>
      <c r="M55" s="438"/>
      <c r="N55" s="391" t="s">
        <v>120</v>
      </c>
      <c r="O55" s="385" t="s">
        <v>200</v>
      </c>
      <c r="P55" s="439"/>
      <c r="Q55" s="440"/>
      <c r="R55" s="439" t="s">
        <v>582</v>
      </c>
      <c r="S55" s="441"/>
      <c r="T55" s="441"/>
      <c r="U55" s="440"/>
      <c r="V55" s="442" t="s">
        <v>138</v>
      </c>
      <c r="W55" s="442"/>
      <c r="X55" s="442"/>
      <c r="Y55" s="442"/>
      <c r="Z55" s="442"/>
      <c r="AA55" s="442"/>
      <c r="AB55" s="442"/>
      <c r="AC55" s="442"/>
      <c r="AD55" s="443"/>
    </row>
    <row r="56" spans="1:32" ht="27" customHeight="1">
      <c r="A56" s="434"/>
      <c r="B56" s="435"/>
      <c r="C56" s="388"/>
      <c r="D56" s="388"/>
      <c r="E56" s="388"/>
      <c r="F56" s="436"/>
      <c r="G56" s="437"/>
      <c r="H56" s="437"/>
      <c r="I56" s="437"/>
      <c r="J56" s="437"/>
      <c r="K56" s="437"/>
      <c r="L56" s="437"/>
      <c r="M56" s="438"/>
      <c r="N56" s="391" t="s">
        <v>113</v>
      </c>
      <c r="O56" s="385" t="s">
        <v>337</v>
      </c>
      <c r="P56" s="439"/>
      <c r="Q56" s="440"/>
      <c r="R56" s="439" t="s">
        <v>583</v>
      </c>
      <c r="S56" s="441"/>
      <c r="T56" s="441"/>
      <c r="U56" s="440"/>
      <c r="V56" s="442" t="s">
        <v>138</v>
      </c>
      <c r="W56" s="442"/>
      <c r="X56" s="442"/>
      <c r="Y56" s="442"/>
      <c r="Z56" s="442"/>
      <c r="AA56" s="442"/>
      <c r="AB56" s="442"/>
      <c r="AC56" s="442"/>
      <c r="AD56" s="443"/>
    </row>
    <row r="57" spans="1:32" ht="27" customHeight="1">
      <c r="A57" s="434"/>
      <c r="B57" s="435"/>
      <c r="C57" s="388"/>
      <c r="D57" s="388"/>
      <c r="E57" s="388"/>
      <c r="F57" s="436"/>
      <c r="G57" s="437"/>
      <c r="H57" s="437"/>
      <c r="I57" s="437"/>
      <c r="J57" s="437"/>
      <c r="K57" s="437"/>
      <c r="L57" s="437"/>
      <c r="M57" s="438"/>
      <c r="N57" s="391"/>
      <c r="O57" s="385"/>
      <c r="P57" s="439"/>
      <c r="Q57" s="440"/>
      <c r="R57" s="439"/>
      <c r="S57" s="441"/>
      <c r="T57" s="441"/>
      <c r="U57" s="440"/>
      <c r="V57" s="442"/>
      <c r="W57" s="442"/>
      <c r="X57" s="442"/>
      <c r="Y57" s="442"/>
      <c r="Z57" s="442"/>
      <c r="AA57" s="442"/>
      <c r="AB57" s="442"/>
      <c r="AC57" s="442"/>
      <c r="AD57" s="443"/>
    </row>
    <row r="58" spans="1:32" ht="27" customHeight="1">
      <c r="A58" s="434"/>
      <c r="B58" s="435"/>
      <c r="C58" s="388"/>
      <c r="D58" s="388"/>
      <c r="E58" s="388"/>
      <c r="F58" s="436"/>
      <c r="G58" s="437"/>
      <c r="H58" s="437"/>
      <c r="I58" s="437"/>
      <c r="J58" s="437"/>
      <c r="K58" s="437"/>
      <c r="L58" s="437"/>
      <c r="M58" s="438"/>
      <c r="N58" s="391"/>
      <c r="O58" s="385"/>
      <c r="P58" s="439"/>
      <c r="Q58" s="440"/>
      <c r="R58" s="439"/>
      <c r="S58" s="441"/>
      <c r="T58" s="441"/>
      <c r="U58" s="440"/>
      <c r="V58" s="442"/>
      <c r="W58" s="442"/>
      <c r="X58" s="442"/>
      <c r="Y58" s="442"/>
      <c r="Z58" s="442"/>
      <c r="AA58" s="442"/>
      <c r="AB58" s="442"/>
      <c r="AC58" s="442"/>
      <c r="AD58" s="443"/>
    </row>
    <row r="59" spans="1:32" ht="27" customHeight="1">
      <c r="A59" s="457"/>
      <c r="B59" s="458"/>
      <c r="C59" s="387"/>
      <c r="D59" s="387"/>
      <c r="E59" s="388"/>
      <c r="F59" s="436"/>
      <c r="G59" s="437"/>
      <c r="H59" s="437"/>
      <c r="I59" s="437"/>
      <c r="J59" s="437"/>
      <c r="K59" s="437"/>
      <c r="L59" s="437"/>
      <c r="M59" s="438"/>
      <c r="N59" s="391"/>
      <c r="O59" s="385"/>
      <c r="P59" s="439"/>
      <c r="Q59" s="440"/>
      <c r="R59" s="435"/>
      <c r="S59" s="435"/>
      <c r="T59" s="435"/>
      <c r="U59" s="435"/>
      <c r="V59" s="442"/>
      <c r="W59" s="442"/>
      <c r="X59" s="442"/>
      <c r="Y59" s="442"/>
      <c r="Z59" s="442"/>
      <c r="AA59" s="442"/>
      <c r="AB59" s="442"/>
      <c r="AC59" s="442"/>
      <c r="AD59" s="443"/>
    </row>
    <row r="60" spans="1:32" ht="27" customHeight="1">
      <c r="A60" s="457"/>
      <c r="B60" s="458"/>
      <c r="C60" s="387"/>
      <c r="D60" s="387"/>
      <c r="E60" s="388"/>
      <c r="F60" s="436"/>
      <c r="G60" s="437"/>
      <c r="H60" s="437"/>
      <c r="I60" s="437"/>
      <c r="J60" s="437"/>
      <c r="K60" s="437"/>
      <c r="L60" s="437"/>
      <c r="M60" s="438"/>
      <c r="N60" s="391"/>
      <c r="O60" s="385"/>
      <c r="P60" s="435"/>
      <c r="Q60" s="435"/>
      <c r="R60" s="435"/>
      <c r="S60" s="435"/>
      <c r="T60" s="435"/>
      <c r="U60" s="435"/>
      <c r="V60" s="442"/>
      <c r="W60" s="442"/>
      <c r="X60" s="442"/>
      <c r="Y60" s="442"/>
      <c r="Z60" s="442"/>
      <c r="AA60" s="442"/>
      <c r="AB60" s="442"/>
      <c r="AC60" s="442"/>
      <c r="AD60" s="443"/>
      <c r="AF60" s="84">
        <f>8*3000</f>
        <v>24000</v>
      </c>
    </row>
    <row r="61" spans="1:32" ht="27" customHeight="1" thickBot="1">
      <c r="A61" s="444"/>
      <c r="B61" s="445"/>
      <c r="C61" s="389"/>
      <c r="D61" s="390"/>
      <c r="E61" s="389"/>
      <c r="F61" s="446"/>
      <c r="G61" s="447"/>
      <c r="H61" s="447"/>
      <c r="I61" s="447"/>
      <c r="J61" s="447"/>
      <c r="K61" s="447"/>
      <c r="L61" s="447"/>
      <c r="M61" s="448"/>
      <c r="N61" s="111"/>
      <c r="O61" s="103"/>
      <c r="P61" s="449"/>
      <c r="Q61" s="449"/>
      <c r="R61" s="449"/>
      <c r="S61" s="449"/>
      <c r="T61" s="449"/>
      <c r="U61" s="449"/>
      <c r="V61" s="450"/>
      <c r="W61" s="450"/>
      <c r="X61" s="450"/>
      <c r="Y61" s="450"/>
      <c r="Z61" s="450"/>
      <c r="AA61" s="450"/>
      <c r="AB61" s="450"/>
      <c r="AC61" s="450"/>
      <c r="AD61" s="451"/>
      <c r="AF61" s="84">
        <f>16*3000</f>
        <v>48000</v>
      </c>
    </row>
    <row r="62" spans="1:32" ht="27.75" thickBot="1">
      <c r="A62" s="452" t="s">
        <v>584</v>
      </c>
      <c r="B62" s="452"/>
      <c r="C62" s="452"/>
      <c r="D62" s="452"/>
      <c r="E62" s="45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53" t="s">
        <v>111</v>
      </c>
      <c r="B63" s="454"/>
      <c r="C63" s="386" t="s">
        <v>2</v>
      </c>
      <c r="D63" s="386" t="s">
        <v>37</v>
      </c>
      <c r="E63" s="386" t="s">
        <v>3</v>
      </c>
      <c r="F63" s="454" t="s">
        <v>109</v>
      </c>
      <c r="G63" s="454"/>
      <c r="H63" s="454"/>
      <c r="I63" s="454"/>
      <c r="J63" s="454"/>
      <c r="K63" s="454" t="s">
        <v>39</v>
      </c>
      <c r="L63" s="454"/>
      <c r="M63" s="386" t="s">
        <v>40</v>
      </c>
      <c r="N63" s="454" t="s">
        <v>41</v>
      </c>
      <c r="O63" s="454"/>
      <c r="P63" s="455" t="s">
        <v>42</v>
      </c>
      <c r="Q63" s="456"/>
      <c r="R63" s="455" t="s">
        <v>43</v>
      </c>
      <c r="S63" s="459"/>
      <c r="T63" s="459"/>
      <c r="U63" s="459"/>
      <c r="V63" s="459"/>
      <c r="W63" s="459"/>
      <c r="X63" s="459"/>
      <c r="Y63" s="459"/>
      <c r="Z63" s="459"/>
      <c r="AA63" s="456"/>
      <c r="AB63" s="454" t="s">
        <v>44</v>
      </c>
      <c r="AC63" s="454"/>
      <c r="AD63" s="460"/>
      <c r="AF63" s="84">
        <f>SUM(AF60:AF62)</f>
        <v>96000</v>
      </c>
    </row>
    <row r="64" spans="1:32" ht="25.5" customHeight="1">
      <c r="A64" s="461">
        <v>1</v>
      </c>
      <c r="B64" s="462"/>
      <c r="C64" s="104" t="s">
        <v>118</v>
      </c>
      <c r="D64" s="381"/>
      <c r="E64" s="384" t="s">
        <v>212</v>
      </c>
      <c r="F64" s="463" t="s">
        <v>585</v>
      </c>
      <c r="G64" s="464"/>
      <c r="H64" s="464"/>
      <c r="I64" s="464"/>
      <c r="J64" s="465"/>
      <c r="K64" s="466" t="s">
        <v>586</v>
      </c>
      <c r="L64" s="466"/>
      <c r="M64" s="51" t="s">
        <v>230</v>
      </c>
      <c r="N64" s="467" t="s">
        <v>190</v>
      </c>
      <c r="O64" s="467"/>
      <c r="P64" s="468">
        <v>50</v>
      </c>
      <c r="Q64" s="468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66"/>
      <c r="AC64" s="466"/>
      <c r="AD64" s="469"/>
      <c r="AF64" s="50"/>
    </row>
    <row r="65" spans="1:32" ht="25.5" customHeight="1">
      <c r="A65" s="461">
        <v>2</v>
      </c>
      <c r="B65" s="462"/>
      <c r="C65" s="104"/>
      <c r="D65" s="381"/>
      <c r="E65" s="384"/>
      <c r="F65" s="463"/>
      <c r="G65" s="464"/>
      <c r="H65" s="464"/>
      <c r="I65" s="464"/>
      <c r="J65" s="465"/>
      <c r="K65" s="466"/>
      <c r="L65" s="466"/>
      <c r="M65" s="51"/>
      <c r="N65" s="467"/>
      <c r="O65" s="467"/>
      <c r="P65" s="468"/>
      <c r="Q65" s="468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66"/>
      <c r="AC65" s="466"/>
      <c r="AD65" s="469"/>
      <c r="AF65" s="50"/>
    </row>
    <row r="66" spans="1:32" ht="25.5" customHeight="1">
      <c r="A66" s="461">
        <v>3</v>
      </c>
      <c r="B66" s="462"/>
      <c r="C66" s="104"/>
      <c r="D66" s="381"/>
      <c r="E66" s="384"/>
      <c r="F66" s="463"/>
      <c r="G66" s="464"/>
      <c r="H66" s="464"/>
      <c r="I66" s="464"/>
      <c r="J66" s="465"/>
      <c r="K66" s="466"/>
      <c r="L66" s="466"/>
      <c r="M66" s="51"/>
      <c r="N66" s="467"/>
      <c r="O66" s="467"/>
      <c r="P66" s="468"/>
      <c r="Q66" s="468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66"/>
      <c r="AC66" s="466"/>
      <c r="AD66" s="469"/>
      <c r="AF66" s="50"/>
    </row>
    <row r="67" spans="1:32" ht="25.5" customHeight="1">
      <c r="A67" s="461">
        <v>4</v>
      </c>
      <c r="B67" s="462"/>
      <c r="C67" s="104"/>
      <c r="D67" s="381"/>
      <c r="E67" s="384"/>
      <c r="F67" s="463"/>
      <c r="G67" s="464"/>
      <c r="H67" s="464"/>
      <c r="I67" s="464"/>
      <c r="J67" s="465"/>
      <c r="K67" s="466"/>
      <c r="L67" s="466"/>
      <c r="M67" s="51"/>
      <c r="N67" s="467"/>
      <c r="O67" s="467"/>
      <c r="P67" s="468"/>
      <c r="Q67" s="468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66"/>
      <c r="AC67" s="466"/>
      <c r="AD67" s="469"/>
      <c r="AF67" s="50"/>
    </row>
    <row r="68" spans="1:32" ht="25.5" customHeight="1">
      <c r="A68" s="461">
        <v>5</v>
      </c>
      <c r="B68" s="462"/>
      <c r="C68" s="104"/>
      <c r="D68" s="381"/>
      <c r="E68" s="384"/>
      <c r="F68" s="463"/>
      <c r="G68" s="464"/>
      <c r="H68" s="464"/>
      <c r="I68" s="464"/>
      <c r="J68" s="465"/>
      <c r="K68" s="466"/>
      <c r="L68" s="466"/>
      <c r="M68" s="51"/>
      <c r="N68" s="467"/>
      <c r="O68" s="467"/>
      <c r="P68" s="468"/>
      <c r="Q68" s="468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66"/>
      <c r="AC68" s="466"/>
      <c r="AD68" s="469"/>
      <c r="AF68" s="50"/>
    </row>
    <row r="69" spans="1:32" ht="25.5" customHeight="1">
      <c r="A69" s="461">
        <v>6</v>
      </c>
      <c r="B69" s="462"/>
      <c r="C69" s="104"/>
      <c r="D69" s="381"/>
      <c r="E69" s="384"/>
      <c r="F69" s="463"/>
      <c r="G69" s="464"/>
      <c r="H69" s="464"/>
      <c r="I69" s="464"/>
      <c r="J69" s="465"/>
      <c r="K69" s="466"/>
      <c r="L69" s="466"/>
      <c r="M69" s="51"/>
      <c r="N69" s="467"/>
      <c r="O69" s="467"/>
      <c r="P69" s="468"/>
      <c r="Q69" s="468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66"/>
      <c r="AC69" s="466"/>
      <c r="AD69" s="469"/>
      <c r="AF69" s="50"/>
    </row>
    <row r="70" spans="1:32" ht="25.5" customHeight="1">
      <c r="A70" s="461">
        <v>7</v>
      </c>
      <c r="B70" s="462"/>
      <c r="C70" s="104"/>
      <c r="D70" s="381"/>
      <c r="E70" s="384"/>
      <c r="F70" s="463"/>
      <c r="G70" s="464"/>
      <c r="H70" s="464"/>
      <c r="I70" s="464"/>
      <c r="J70" s="465"/>
      <c r="K70" s="466"/>
      <c r="L70" s="466"/>
      <c r="M70" s="51"/>
      <c r="N70" s="467"/>
      <c r="O70" s="467"/>
      <c r="P70" s="468"/>
      <c r="Q70" s="468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66"/>
      <c r="AC70" s="466"/>
      <c r="AD70" s="469"/>
      <c r="AF70" s="50"/>
    </row>
    <row r="71" spans="1:32" ht="25.5" customHeight="1">
      <c r="A71" s="461">
        <v>8</v>
      </c>
      <c r="B71" s="462"/>
      <c r="C71" s="104"/>
      <c r="D71" s="381"/>
      <c r="E71" s="384"/>
      <c r="F71" s="470"/>
      <c r="G71" s="466"/>
      <c r="H71" s="466"/>
      <c r="I71" s="466"/>
      <c r="J71" s="466"/>
      <c r="K71" s="466"/>
      <c r="L71" s="466"/>
      <c r="M71" s="51"/>
      <c r="N71" s="467"/>
      <c r="O71" s="467"/>
      <c r="P71" s="468"/>
      <c r="Q71" s="468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66"/>
      <c r="AC71" s="466"/>
      <c r="AD71" s="469"/>
      <c r="AF71" s="50"/>
    </row>
    <row r="72" spans="1:32" ht="25.5" customHeight="1">
      <c r="A72" s="461">
        <v>9</v>
      </c>
      <c r="B72" s="462"/>
      <c r="C72" s="104"/>
      <c r="D72" s="381"/>
      <c r="E72" s="384"/>
      <c r="F72" s="470"/>
      <c r="G72" s="466"/>
      <c r="H72" s="466"/>
      <c r="I72" s="466"/>
      <c r="J72" s="466"/>
      <c r="K72" s="466"/>
      <c r="L72" s="466"/>
      <c r="M72" s="51"/>
      <c r="N72" s="467"/>
      <c r="O72" s="467"/>
      <c r="P72" s="468"/>
      <c r="Q72" s="468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66"/>
      <c r="AC72" s="466"/>
      <c r="AD72" s="469"/>
      <c r="AF72" s="50"/>
    </row>
    <row r="73" spans="1:32" ht="25.5" customHeight="1">
      <c r="A73" s="461">
        <v>10</v>
      </c>
      <c r="B73" s="462"/>
      <c r="C73" s="104"/>
      <c r="D73" s="381"/>
      <c r="E73" s="384"/>
      <c r="F73" s="470"/>
      <c r="G73" s="466"/>
      <c r="H73" s="466"/>
      <c r="I73" s="466"/>
      <c r="J73" s="466"/>
      <c r="K73" s="466"/>
      <c r="L73" s="466"/>
      <c r="M73" s="51"/>
      <c r="N73" s="467"/>
      <c r="O73" s="467"/>
      <c r="P73" s="468"/>
      <c r="Q73" s="468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66"/>
      <c r="AC73" s="466"/>
      <c r="AD73" s="469"/>
      <c r="AF73" s="50"/>
    </row>
    <row r="74" spans="1:32" ht="26.25" customHeight="1" thickBot="1">
      <c r="A74" s="471" t="s">
        <v>587</v>
      </c>
      <c r="B74" s="471"/>
      <c r="C74" s="471"/>
      <c r="D74" s="471"/>
      <c r="E74" s="471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2" t="s">
        <v>126</v>
      </c>
      <c r="B75" s="473"/>
      <c r="C75" s="383" t="s">
        <v>2</v>
      </c>
      <c r="D75" s="383" t="s">
        <v>37</v>
      </c>
      <c r="E75" s="383" t="s">
        <v>125</v>
      </c>
      <c r="F75" s="473" t="s">
        <v>38</v>
      </c>
      <c r="G75" s="473"/>
      <c r="H75" s="473"/>
      <c r="I75" s="473"/>
      <c r="J75" s="473"/>
      <c r="K75" s="474" t="s">
        <v>58</v>
      </c>
      <c r="L75" s="475"/>
      <c r="M75" s="475"/>
      <c r="N75" s="475"/>
      <c r="O75" s="475"/>
      <c r="P75" s="475"/>
      <c r="Q75" s="475"/>
      <c r="R75" s="475"/>
      <c r="S75" s="476"/>
      <c r="T75" s="473" t="s">
        <v>49</v>
      </c>
      <c r="U75" s="473"/>
      <c r="V75" s="474" t="s">
        <v>50</v>
      </c>
      <c r="W75" s="476"/>
      <c r="X75" s="475" t="s">
        <v>51</v>
      </c>
      <c r="Y75" s="475"/>
      <c r="Z75" s="475"/>
      <c r="AA75" s="475"/>
      <c r="AB75" s="475"/>
      <c r="AC75" s="475"/>
      <c r="AD75" s="477"/>
      <c r="AF75" s="50"/>
    </row>
    <row r="76" spans="1:32" ht="33.75" customHeight="1">
      <c r="A76" s="486">
        <v>1</v>
      </c>
      <c r="B76" s="487"/>
      <c r="C76" s="382" t="s">
        <v>112</v>
      </c>
      <c r="D76" s="382"/>
      <c r="E76" s="65" t="s">
        <v>117</v>
      </c>
      <c r="F76" s="488" t="s">
        <v>116</v>
      </c>
      <c r="G76" s="489"/>
      <c r="H76" s="489"/>
      <c r="I76" s="489"/>
      <c r="J76" s="490"/>
      <c r="K76" s="491" t="s">
        <v>119</v>
      </c>
      <c r="L76" s="492"/>
      <c r="M76" s="492"/>
      <c r="N76" s="492"/>
      <c r="O76" s="492"/>
      <c r="P76" s="492"/>
      <c r="Q76" s="492"/>
      <c r="R76" s="492"/>
      <c r="S76" s="493"/>
      <c r="T76" s="494">
        <v>44118</v>
      </c>
      <c r="U76" s="495"/>
      <c r="V76" s="496"/>
      <c r="W76" s="496"/>
      <c r="X76" s="497"/>
      <c r="Y76" s="497"/>
      <c r="Z76" s="497"/>
      <c r="AA76" s="497"/>
      <c r="AB76" s="497"/>
      <c r="AC76" s="497"/>
      <c r="AD76" s="498"/>
      <c r="AF76" s="50"/>
    </row>
    <row r="77" spans="1:32" ht="30" customHeight="1">
      <c r="A77" s="478">
        <f>A76+1</f>
        <v>2</v>
      </c>
      <c r="B77" s="479"/>
      <c r="C77" s="381"/>
      <c r="D77" s="381"/>
      <c r="E77" s="32"/>
      <c r="F77" s="479"/>
      <c r="G77" s="479"/>
      <c r="H77" s="479"/>
      <c r="I77" s="479"/>
      <c r="J77" s="479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78">
        <f t="shared" ref="A78:A82" si="8">A77+1</f>
        <v>3</v>
      </c>
      <c r="B78" s="479"/>
      <c r="C78" s="381"/>
      <c r="D78" s="381"/>
      <c r="E78" s="32"/>
      <c r="F78" s="479"/>
      <c r="G78" s="479"/>
      <c r="H78" s="479"/>
      <c r="I78" s="479"/>
      <c r="J78" s="479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78">
        <f t="shared" si="8"/>
        <v>4</v>
      </c>
      <c r="B79" s="479"/>
      <c r="C79" s="381"/>
      <c r="D79" s="381"/>
      <c r="E79" s="32"/>
      <c r="F79" s="479"/>
      <c r="G79" s="479"/>
      <c r="H79" s="479"/>
      <c r="I79" s="479"/>
      <c r="J79" s="479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78">
        <f t="shared" si="8"/>
        <v>5</v>
      </c>
      <c r="B80" s="479"/>
      <c r="C80" s="381"/>
      <c r="D80" s="381"/>
      <c r="E80" s="32"/>
      <c r="F80" s="479"/>
      <c r="G80" s="479"/>
      <c r="H80" s="479"/>
      <c r="I80" s="479"/>
      <c r="J80" s="479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78">
        <f t="shared" si="8"/>
        <v>6</v>
      </c>
      <c r="B81" s="479"/>
      <c r="C81" s="381"/>
      <c r="D81" s="381"/>
      <c r="E81" s="32"/>
      <c r="F81" s="479"/>
      <c r="G81" s="479"/>
      <c r="H81" s="479"/>
      <c r="I81" s="479"/>
      <c r="J81" s="479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78">
        <f t="shared" si="8"/>
        <v>7</v>
      </c>
      <c r="B82" s="479"/>
      <c r="C82" s="381"/>
      <c r="D82" s="381"/>
      <c r="E82" s="32"/>
      <c r="F82" s="479"/>
      <c r="G82" s="479"/>
      <c r="H82" s="479"/>
      <c r="I82" s="479"/>
      <c r="J82" s="479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1" t="s">
        <v>588</v>
      </c>
      <c r="B83" s="471"/>
      <c r="C83" s="471"/>
      <c r="D83" s="471"/>
      <c r="E83" s="47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2" t="s">
        <v>111</v>
      </c>
      <c r="B84" s="473"/>
      <c r="C84" s="499" t="s">
        <v>52</v>
      </c>
      <c r="D84" s="499"/>
      <c r="E84" s="499" t="s">
        <v>53</v>
      </c>
      <c r="F84" s="499"/>
      <c r="G84" s="499"/>
      <c r="H84" s="499"/>
      <c r="I84" s="499"/>
      <c r="J84" s="499"/>
      <c r="K84" s="499" t="s">
        <v>54</v>
      </c>
      <c r="L84" s="499"/>
      <c r="M84" s="499"/>
      <c r="N84" s="499"/>
      <c r="O84" s="499"/>
      <c r="P84" s="499"/>
      <c r="Q84" s="499"/>
      <c r="R84" s="499"/>
      <c r="S84" s="499"/>
      <c r="T84" s="499" t="s">
        <v>55</v>
      </c>
      <c r="U84" s="499"/>
      <c r="V84" s="499" t="s">
        <v>56</v>
      </c>
      <c r="W84" s="499"/>
      <c r="X84" s="499"/>
      <c r="Y84" s="499" t="s">
        <v>51</v>
      </c>
      <c r="Z84" s="499"/>
      <c r="AA84" s="499"/>
      <c r="AB84" s="499"/>
      <c r="AC84" s="499"/>
      <c r="AD84" s="500"/>
      <c r="AF84" s="50"/>
    </row>
    <row r="85" spans="1:32" ht="30.75" customHeight="1">
      <c r="A85" s="486">
        <v>1</v>
      </c>
      <c r="B85" s="487"/>
      <c r="C85" s="501">
        <v>9</v>
      </c>
      <c r="D85" s="501"/>
      <c r="E85" s="501" t="s">
        <v>149</v>
      </c>
      <c r="F85" s="501"/>
      <c r="G85" s="501"/>
      <c r="H85" s="501"/>
      <c r="I85" s="501"/>
      <c r="J85" s="501"/>
      <c r="K85" s="501" t="s">
        <v>462</v>
      </c>
      <c r="L85" s="501"/>
      <c r="M85" s="501"/>
      <c r="N85" s="501"/>
      <c r="O85" s="501"/>
      <c r="P85" s="501"/>
      <c r="Q85" s="501"/>
      <c r="R85" s="501"/>
      <c r="S85" s="501"/>
      <c r="T85" s="501" t="s">
        <v>151</v>
      </c>
      <c r="U85" s="501"/>
      <c r="V85" s="502" t="s">
        <v>265</v>
      </c>
      <c r="W85" s="502"/>
      <c r="X85" s="502"/>
      <c r="Y85" s="503"/>
      <c r="Z85" s="503"/>
      <c r="AA85" s="503"/>
      <c r="AB85" s="503"/>
      <c r="AC85" s="503"/>
      <c r="AD85" s="504"/>
      <c r="AF85" s="50"/>
    </row>
    <row r="86" spans="1:32" ht="30.75" customHeight="1">
      <c r="A86" s="478">
        <v>2</v>
      </c>
      <c r="B86" s="479"/>
      <c r="C86" s="512"/>
      <c r="D86" s="512"/>
      <c r="E86" s="512"/>
      <c r="F86" s="512"/>
      <c r="G86" s="512"/>
      <c r="H86" s="512"/>
      <c r="I86" s="512"/>
      <c r="J86" s="512"/>
      <c r="K86" s="512"/>
      <c r="L86" s="512"/>
      <c r="M86" s="512"/>
      <c r="N86" s="512"/>
      <c r="O86" s="512"/>
      <c r="P86" s="512"/>
      <c r="Q86" s="512"/>
      <c r="R86" s="512"/>
      <c r="S86" s="512"/>
      <c r="T86" s="513"/>
      <c r="U86" s="513"/>
      <c r="V86" s="514"/>
      <c r="W86" s="514"/>
      <c r="X86" s="514"/>
      <c r="Y86" s="505"/>
      <c r="Z86" s="505"/>
      <c r="AA86" s="505"/>
      <c r="AB86" s="505"/>
      <c r="AC86" s="505"/>
      <c r="AD86" s="506"/>
      <c r="AF86" s="50"/>
    </row>
    <row r="87" spans="1:32" ht="30.75" customHeight="1" thickBot="1">
      <c r="A87" s="507">
        <v>3</v>
      </c>
      <c r="B87" s="508"/>
      <c r="C87" s="509"/>
      <c r="D87" s="509"/>
      <c r="E87" s="509"/>
      <c r="F87" s="509"/>
      <c r="G87" s="509"/>
      <c r="H87" s="509"/>
      <c r="I87" s="509"/>
      <c r="J87" s="509"/>
      <c r="K87" s="509"/>
      <c r="L87" s="509"/>
      <c r="M87" s="509"/>
      <c r="N87" s="509"/>
      <c r="O87" s="509"/>
      <c r="P87" s="509"/>
      <c r="Q87" s="509"/>
      <c r="R87" s="509"/>
      <c r="S87" s="509"/>
      <c r="T87" s="509"/>
      <c r="U87" s="509"/>
      <c r="V87" s="509"/>
      <c r="W87" s="509"/>
      <c r="X87" s="509"/>
      <c r="Y87" s="510"/>
      <c r="Z87" s="510"/>
      <c r="AA87" s="510"/>
      <c r="AB87" s="510"/>
      <c r="AC87" s="510"/>
      <c r="AD87" s="511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0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D7" sqref="AD7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15" t="s">
        <v>161</v>
      </c>
      <c r="B1" s="515"/>
      <c r="C1" s="515"/>
      <c r="D1" s="515"/>
      <c r="E1" s="515"/>
      <c r="F1" s="515"/>
      <c r="G1" s="515"/>
      <c r="H1" s="515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3" t="s">
        <v>60</v>
      </c>
      <c r="B3" s="114">
        <f>'01'!AD6</f>
        <v>0</v>
      </c>
      <c r="C3" s="114">
        <f>'02'!AD6</f>
        <v>0.75</v>
      </c>
      <c r="D3" s="115">
        <f>'03'!AD6</f>
        <v>1</v>
      </c>
      <c r="E3" s="115">
        <f>'04'!AD6</f>
        <v>0.54166666666666663</v>
      </c>
      <c r="F3" s="115">
        <f>'05'!AD6</f>
        <v>0.79166666666666663</v>
      </c>
      <c r="G3" s="115">
        <f>'06'!AD6</f>
        <v>0</v>
      </c>
      <c r="H3" s="115"/>
      <c r="I3" s="115">
        <f>'08'!AD6</f>
        <v>0</v>
      </c>
      <c r="J3" s="115">
        <f>'09'!AD6</f>
        <v>0.625</v>
      </c>
      <c r="K3" s="115">
        <f>'10'!AD6+'10'!AD7</f>
        <v>0.95833333333333326</v>
      </c>
      <c r="L3" s="115"/>
      <c r="M3" s="115"/>
      <c r="N3" s="116"/>
      <c r="O3" s="115"/>
      <c r="P3" s="115">
        <f>'15'!AD6</f>
        <v>0.83333333333333337</v>
      </c>
      <c r="Q3" s="115">
        <f>'16'!AD6</f>
        <v>0.625</v>
      </c>
      <c r="R3" s="115">
        <f>'17'!AD6+'17'!AD7</f>
        <v>0.75</v>
      </c>
      <c r="S3" s="115">
        <f>'18'!AD6</f>
        <v>0.16666666666666666</v>
      </c>
      <c r="T3" s="115">
        <f>'19'!AD6</f>
        <v>0.375</v>
      </c>
      <c r="U3" s="115">
        <f>'20'!AD6</f>
        <v>0</v>
      </c>
      <c r="V3" s="115"/>
      <c r="W3" s="116">
        <f>'22'!AD6</f>
        <v>0.625</v>
      </c>
      <c r="X3" s="115">
        <f>'23'!AD6+'23'!AD7</f>
        <v>0.75</v>
      </c>
      <c r="Y3" s="115">
        <f>'24'!AD6+'24'!AD7</f>
        <v>0.54166666666666674</v>
      </c>
      <c r="Z3" s="115">
        <f>'25'!AD6</f>
        <v>0.16666666666666666</v>
      </c>
      <c r="AA3" s="115">
        <f>'26'!AD6</f>
        <v>0.95833333333333337</v>
      </c>
      <c r="AB3" s="115">
        <f>'27'!AD6</f>
        <v>0.25</v>
      </c>
      <c r="AC3" s="115"/>
      <c r="AD3" s="115"/>
      <c r="AE3" s="115"/>
      <c r="AF3" s="117"/>
      <c r="AG3" s="118">
        <f>SUM(B3:AF3)/28</f>
        <v>0.38244047619047616</v>
      </c>
    </row>
    <row r="4" spans="1:33" ht="21.75" customHeight="1">
      <c r="A4" s="101" t="s">
        <v>61</v>
      </c>
      <c r="B4" s="98">
        <f>'01'!AD7</f>
        <v>0.75</v>
      </c>
      <c r="C4" s="98">
        <f>'02'!AD7+'02'!AD8+'02'!AD9</f>
        <v>0.875</v>
      </c>
      <c r="D4" s="77">
        <f>'03'!AD7+'03'!AD8</f>
        <v>0.91666666666666663</v>
      </c>
      <c r="E4" s="77">
        <f>'04'!AD7+'04'!AD8</f>
        <v>0.75</v>
      </c>
      <c r="F4" s="77">
        <f>'05'!AD7</f>
        <v>0</v>
      </c>
      <c r="G4" s="119">
        <f>'06'!AD7</f>
        <v>0</v>
      </c>
      <c r="H4" s="77"/>
      <c r="I4" s="77">
        <f>'08'!AD7</f>
        <v>0.91666666666666663</v>
      </c>
      <c r="J4" s="77">
        <f>'09'!AD7</f>
        <v>1</v>
      </c>
      <c r="K4" s="77">
        <f>'10'!AD8</f>
        <v>0</v>
      </c>
      <c r="L4" s="77"/>
      <c r="M4" s="77"/>
      <c r="N4" s="77"/>
      <c r="O4" s="77"/>
      <c r="P4" s="77">
        <f>'15'!AD7</f>
        <v>0</v>
      </c>
      <c r="Q4" s="77">
        <f>'16'!AD7</f>
        <v>0</v>
      </c>
      <c r="R4" s="77">
        <f>'17'!AD8</f>
        <v>1</v>
      </c>
      <c r="S4" s="77">
        <f>'18'!AD7</f>
        <v>1</v>
      </c>
      <c r="T4" s="77">
        <f>'19'!AD7</f>
        <v>0.41666666666666669</v>
      </c>
      <c r="U4" s="77">
        <f>'20'!AD7</f>
        <v>0</v>
      </c>
      <c r="V4" s="77"/>
      <c r="W4" s="77">
        <f>'22'!AD7</f>
        <v>0.66666666666666663</v>
      </c>
      <c r="X4" s="77">
        <f>'23'!AD8</f>
        <v>1</v>
      </c>
      <c r="Y4" s="77">
        <f>'24'!AD8</f>
        <v>0.95833333333333337</v>
      </c>
      <c r="Z4" s="77">
        <f>'25'!AD7</f>
        <v>1</v>
      </c>
      <c r="AA4" s="77">
        <f>'26'!AD7+'26'!AD8</f>
        <v>0.75</v>
      </c>
      <c r="AB4" s="77">
        <f>'27'!AD7</f>
        <v>0</v>
      </c>
      <c r="AC4" s="77"/>
      <c r="AD4" s="77"/>
      <c r="AE4" s="77"/>
      <c r="AF4" s="78"/>
      <c r="AG4" s="79">
        <f t="shared" ref="AG4:AG19" si="0">SUM(B4:AF4)/28</f>
        <v>0.42857142857142855</v>
      </c>
    </row>
    <row r="5" spans="1:33" ht="21.75" customHeight="1">
      <c r="A5" s="101" t="s">
        <v>62</v>
      </c>
      <c r="B5" s="98">
        <f>'01'!AD8</f>
        <v>0.375</v>
      </c>
      <c r="C5" s="98">
        <f>'02'!AD10</f>
        <v>0</v>
      </c>
      <c r="D5" s="77">
        <f>'03'!AD9</f>
        <v>0.41666666666666669</v>
      </c>
      <c r="E5" s="77">
        <f>'04'!AD9</f>
        <v>0.5</v>
      </c>
      <c r="F5" s="77">
        <f>'05'!AD8</f>
        <v>0.79166666666666663</v>
      </c>
      <c r="G5" s="77">
        <f>'06'!AD8</f>
        <v>1</v>
      </c>
      <c r="H5" s="77"/>
      <c r="I5" s="77">
        <f>'08'!AD8</f>
        <v>0.75</v>
      </c>
      <c r="J5" s="77">
        <f>'09'!AD8</f>
        <v>0</v>
      </c>
      <c r="K5" s="77">
        <f>'10'!AD9+'10'!AD10</f>
        <v>0.33333333333333331</v>
      </c>
      <c r="L5" s="77"/>
      <c r="M5" s="77"/>
      <c r="N5" s="77"/>
      <c r="O5" s="77"/>
      <c r="P5" s="77">
        <f>'15'!AD8</f>
        <v>0.16666666666666666</v>
      </c>
      <c r="Q5" s="77">
        <f>'16'!AD8</f>
        <v>0.79166666666666663</v>
      </c>
      <c r="R5" s="77">
        <f>'17'!AD9</f>
        <v>1</v>
      </c>
      <c r="S5" s="77">
        <f>'18'!AD8</f>
        <v>1</v>
      </c>
      <c r="T5" s="77">
        <f>'19'!AD8</f>
        <v>0.54166666666666663</v>
      </c>
      <c r="U5" s="77">
        <f>'20'!AD8</f>
        <v>0.375</v>
      </c>
      <c r="V5" s="77"/>
      <c r="W5" s="119">
        <f>'22'!AD8</f>
        <v>0.125</v>
      </c>
      <c r="X5" s="77">
        <f>'23'!AD9</f>
        <v>0</v>
      </c>
      <c r="Y5" s="77">
        <f>'24'!AD9</f>
        <v>0.5</v>
      </c>
      <c r="Z5" s="77">
        <f>'25'!AD8</f>
        <v>0.41666666666666669</v>
      </c>
      <c r="AA5" s="77">
        <f>'26'!AD9</f>
        <v>0</v>
      </c>
      <c r="AB5" s="77">
        <f>'27'!AD8</f>
        <v>0</v>
      </c>
      <c r="AC5" s="77"/>
      <c r="AD5" s="77"/>
      <c r="AE5" s="77"/>
      <c r="AF5" s="78"/>
      <c r="AG5" s="79">
        <f t="shared" si="0"/>
        <v>0.32440476190476192</v>
      </c>
    </row>
    <row r="6" spans="1:33" ht="21.75" customHeight="1">
      <c r="A6" s="101" t="s">
        <v>63</v>
      </c>
      <c r="B6" s="98">
        <f>'01'!AD9</f>
        <v>0.875</v>
      </c>
      <c r="C6" s="98">
        <f>'02'!AD11</f>
        <v>1</v>
      </c>
      <c r="D6" s="77">
        <f>'03'!AD10</f>
        <v>1</v>
      </c>
      <c r="E6" s="77">
        <f>'04'!AD10</f>
        <v>1</v>
      </c>
      <c r="F6" s="77">
        <f>'05'!AD9</f>
        <v>1</v>
      </c>
      <c r="G6" s="77">
        <f>'06'!AD9</f>
        <v>1</v>
      </c>
      <c r="H6" s="77"/>
      <c r="I6" s="77">
        <f>'08'!AD9</f>
        <v>1</v>
      </c>
      <c r="J6" s="77">
        <f>'09'!AD9</f>
        <v>0.41666666666666669</v>
      </c>
      <c r="K6" s="77">
        <f>'10'!AD11</f>
        <v>0.875</v>
      </c>
      <c r="L6" s="77"/>
      <c r="M6" s="77"/>
      <c r="N6" s="77"/>
      <c r="O6" s="77"/>
      <c r="P6" s="77">
        <f>'15'!AD9</f>
        <v>0.91666666666666663</v>
      </c>
      <c r="Q6" s="77">
        <f>'16'!AD9</f>
        <v>0.79166666666666663</v>
      </c>
      <c r="R6" s="77">
        <f>'17'!AD10</f>
        <v>1</v>
      </c>
      <c r="S6" s="77">
        <f>'18'!AD9</f>
        <v>1</v>
      </c>
      <c r="T6" s="77">
        <f>'19'!AD9</f>
        <v>1</v>
      </c>
      <c r="U6" s="77">
        <f>'20'!AD9</f>
        <v>1</v>
      </c>
      <c r="V6" s="77"/>
      <c r="W6" s="77">
        <f>'22'!AD9</f>
        <v>0.95833333333333337</v>
      </c>
      <c r="X6" s="77">
        <f>'23'!AD10</f>
        <v>1</v>
      </c>
      <c r="Y6" s="77">
        <f>'24'!AD10</f>
        <v>1</v>
      </c>
      <c r="Z6" s="77">
        <f>'25'!AD9</f>
        <v>1</v>
      </c>
      <c r="AA6" s="77">
        <f>'26'!AD10</f>
        <v>0.83333333333333337</v>
      </c>
      <c r="AB6" s="77">
        <f>'27'!AD9</f>
        <v>0.375</v>
      </c>
      <c r="AC6" s="77"/>
      <c r="AD6" s="77"/>
      <c r="AE6" s="77"/>
      <c r="AF6" s="78"/>
      <c r="AG6" s="79">
        <f t="shared" si="0"/>
        <v>0.68005952380952384</v>
      </c>
    </row>
    <row r="7" spans="1:33" ht="21.75" customHeight="1">
      <c r="A7" s="101" t="s">
        <v>64</v>
      </c>
      <c r="B7" s="98">
        <f>'01'!AD10</f>
        <v>0.125</v>
      </c>
      <c r="C7" s="98">
        <f>'02'!AD12+'02'!AD13</f>
        <v>0.54166666666666663</v>
      </c>
      <c r="D7" s="77">
        <f>'03'!AD11+'03'!AD12</f>
        <v>0.83333333333333337</v>
      </c>
      <c r="E7" s="77">
        <f>'04'!AD11</f>
        <v>0</v>
      </c>
      <c r="F7" s="77">
        <f>'05'!AD10</f>
        <v>0</v>
      </c>
      <c r="G7" s="77">
        <f>'06'!AD10</f>
        <v>0</v>
      </c>
      <c r="H7" s="77"/>
      <c r="I7" s="77">
        <f>'08'!AD10</f>
        <v>0</v>
      </c>
      <c r="J7" s="77">
        <f>'09'!AD10</f>
        <v>0.58333333333333337</v>
      </c>
      <c r="K7" s="77">
        <f>'10'!AD12</f>
        <v>1</v>
      </c>
      <c r="L7" s="77"/>
      <c r="M7" s="77"/>
      <c r="N7" s="77"/>
      <c r="O7" s="77"/>
      <c r="P7" s="77">
        <f>'15'!AD10</f>
        <v>1</v>
      </c>
      <c r="Q7" s="77">
        <f>'16'!AD10</f>
        <v>1</v>
      </c>
      <c r="R7" s="77">
        <f>'17'!AD11</f>
        <v>1</v>
      </c>
      <c r="S7" s="77">
        <f>'18'!AD10</f>
        <v>1</v>
      </c>
      <c r="T7" s="77">
        <f>'19'!AD10</f>
        <v>1</v>
      </c>
      <c r="U7" s="77">
        <f>'20'!AD10</f>
        <v>1</v>
      </c>
      <c r="V7" s="77"/>
      <c r="W7" s="77">
        <f>'22'!AD10</f>
        <v>1</v>
      </c>
      <c r="X7" s="77">
        <f>'23'!AD11</f>
        <v>1</v>
      </c>
      <c r="Y7" s="77">
        <f>'24'!AD11</f>
        <v>0.95833333333333337</v>
      </c>
      <c r="Z7" s="77">
        <f>'25'!AD10</f>
        <v>1</v>
      </c>
      <c r="AA7" s="77">
        <f>'26'!AD11</f>
        <v>1</v>
      </c>
      <c r="AB7" s="77">
        <f>'27'!AD10</f>
        <v>0.45833333333333331</v>
      </c>
      <c r="AC7" s="77"/>
      <c r="AD7" s="77"/>
      <c r="AE7" s="77"/>
      <c r="AF7" s="78"/>
      <c r="AG7" s="79">
        <f t="shared" si="0"/>
        <v>0.5178571428571429</v>
      </c>
    </row>
    <row r="8" spans="1:33" ht="21.75" customHeight="1">
      <c r="A8" s="101" t="s">
        <v>65</v>
      </c>
      <c r="B8" s="98">
        <f>'01'!AD11</f>
        <v>0</v>
      </c>
      <c r="C8" s="98">
        <f>'02'!AD14</f>
        <v>0</v>
      </c>
      <c r="D8" s="77">
        <f>'03'!AD13</f>
        <v>0.41666666666666669</v>
      </c>
      <c r="E8" s="77">
        <f>'04'!AD12</f>
        <v>0</v>
      </c>
      <c r="F8" s="77">
        <f>'05'!AD11</f>
        <v>0.29166666666666669</v>
      </c>
      <c r="G8" s="77">
        <f>'06'!AD11</f>
        <v>0.16666666666666666</v>
      </c>
      <c r="H8" s="77"/>
      <c r="I8" s="77">
        <f>'08'!AD11</f>
        <v>0.5</v>
      </c>
      <c r="J8" s="77">
        <f>'09'!AD11</f>
        <v>0.79166666666666663</v>
      </c>
      <c r="K8" s="77">
        <f>'10'!AD13</f>
        <v>0.95833333333333337</v>
      </c>
      <c r="L8" s="77"/>
      <c r="M8" s="77"/>
      <c r="N8" s="77"/>
      <c r="O8" s="77"/>
      <c r="P8" s="77">
        <f>'15'!AD11</f>
        <v>1</v>
      </c>
      <c r="Q8" s="77">
        <f>'16'!AD11</f>
        <v>0.5</v>
      </c>
      <c r="R8" s="77">
        <f>'17'!AD12</f>
        <v>0</v>
      </c>
      <c r="S8" s="77">
        <f>'18'!AD11</f>
        <v>0.20833333333333334</v>
      </c>
      <c r="T8" s="77">
        <f>'19'!AD11</f>
        <v>0.58333333333333337</v>
      </c>
      <c r="U8" s="77">
        <f>'20'!AD11</f>
        <v>0.79166666666666663</v>
      </c>
      <c r="V8" s="77"/>
      <c r="W8" s="77">
        <f>'22'!AD11</f>
        <v>0.875</v>
      </c>
      <c r="X8" s="77">
        <f>'23'!AD12</f>
        <v>0.16666666666666666</v>
      </c>
      <c r="Y8" s="77">
        <f>'24'!AD12</f>
        <v>0</v>
      </c>
      <c r="Z8" s="77">
        <f>'25'!AD11</f>
        <v>0</v>
      </c>
      <c r="AA8" s="77">
        <f>'26'!AD12</f>
        <v>0</v>
      </c>
      <c r="AB8" s="77">
        <f>'27'!AD11</f>
        <v>0</v>
      </c>
      <c r="AC8" s="77"/>
      <c r="AD8" s="77"/>
      <c r="AE8" s="77"/>
      <c r="AF8" s="78"/>
      <c r="AG8" s="79">
        <f t="shared" si="0"/>
        <v>0.25892857142857145</v>
      </c>
    </row>
    <row r="9" spans="1:33" ht="21.75" customHeight="1">
      <c r="A9" s="101" t="s">
        <v>66</v>
      </c>
      <c r="B9" s="98">
        <f>'01'!AD12</f>
        <v>0.58333333333333337</v>
      </c>
      <c r="C9" s="98">
        <f>'02'!AD15</f>
        <v>0.875</v>
      </c>
      <c r="D9" s="77">
        <f>'03'!AD14</f>
        <v>0.875</v>
      </c>
      <c r="E9" s="77">
        <f>'04'!AD13</f>
        <v>0.875</v>
      </c>
      <c r="F9" s="77">
        <f>'05'!AD12</f>
        <v>0.625</v>
      </c>
      <c r="G9" s="77">
        <f>'06'!AD12</f>
        <v>0.625</v>
      </c>
      <c r="H9" s="77"/>
      <c r="I9" s="77">
        <f>'08'!AD12</f>
        <v>0.875</v>
      </c>
      <c r="J9" s="77">
        <f>'09'!AD12</f>
        <v>1</v>
      </c>
      <c r="K9" s="77">
        <f>'10'!AD14</f>
        <v>0.20833333333333334</v>
      </c>
      <c r="L9" s="77"/>
      <c r="M9" s="77"/>
      <c r="N9" s="77"/>
      <c r="O9" s="77"/>
      <c r="P9" s="77">
        <f>'15'!AD12</f>
        <v>0</v>
      </c>
      <c r="Q9" s="77">
        <f>'16'!AD12</f>
        <v>0</v>
      </c>
      <c r="R9" s="77">
        <f>'17'!AD13</f>
        <v>0.70833333333333337</v>
      </c>
      <c r="S9" s="77">
        <f>'18'!AD12</f>
        <v>0.70833333333333337</v>
      </c>
      <c r="T9" s="77">
        <f>'19'!AD12</f>
        <v>0.83333333333333337</v>
      </c>
      <c r="U9" s="77">
        <f>'20'!AD12</f>
        <v>0.875</v>
      </c>
      <c r="V9" s="77"/>
      <c r="W9" s="77">
        <f>'22'!AD12</f>
        <v>0.83333333333333337</v>
      </c>
      <c r="X9" s="77">
        <f>'23'!AD13</f>
        <v>1</v>
      </c>
      <c r="Y9" s="77">
        <f>'24'!AD13</f>
        <v>0.91666666666666663</v>
      </c>
      <c r="Z9" s="77">
        <f>'25'!AD12</f>
        <v>0.83333333333333337</v>
      </c>
      <c r="AA9" s="77">
        <f>'26'!AD13</f>
        <v>0.75</v>
      </c>
      <c r="AB9" s="77">
        <f>'27'!AD12</f>
        <v>0.45833333333333331</v>
      </c>
      <c r="AC9" s="77"/>
      <c r="AD9" s="77"/>
      <c r="AE9" s="77"/>
      <c r="AF9" s="78"/>
      <c r="AG9" s="79">
        <f t="shared" si="0"/>
        <v>0.51636904761904767</v>
      </c>
    </row>
    <row r="10" spans="1:33" ht="21.75" customHeight="1">
      <c r="A10" s="101" t="s">
        <v>67</v>
      </c>
      <c r="B10" s="98">
        <f>'01'!AD13</f>
        <v>0.375</v>
      </c>
      <c r="C10" s="98">
        <f>'02'!AD16</f>
        <v>0.66666666666666663</v>
      </c>
      <c r="D10" s="77">
        <f>'03'!AD15</f>
        <v>0.70833333333333337</v>
      </c>
      <c r="E10" s="77">
        <f>'04'!AD14</f>
        <v>0.41666666666666669</v>
      </c>
      <c r="F10" s="77">
        <f>'05'!AD13</f>
        <v>0.83333333333333337</v>
      </c>
      <c r="G10" s="77">
        <f>'06'!AD13</f>
        <v>0.70833333333333337</v>
      </c>
      <c r="H10" s="77"/>
      <c r="I10" s="77">
        <f>'08'!AD13</f>
        <v>0.875</v>
      </c>
      <c r="J10" s="77">
        <f>'09'!AD13</f>
        <v>0.5</v>
      </c>
      <c r="K10" s="77">
        <f>'10'!AD15</f>
        <v>0.75</v>
      </c>
      <c r="L10" s="77"/>
      <c r="M10" s="77"/>
      <c r="N10" s="77"/>
      <c r="O10" s="77"/>
      <c r="P10" s="77">
        <f>'15'!AD13</f>
        <v>0.70833333333333337</v>
      </c>
      <c r="Q10" s="77">
        <f>'16'!AD13</f>
        <v>0</v>
      </c>
      <c r="R10" s="77">
        <f>'17'!AD14</f>
        <v>0.70833333333333337</v>
      </c>
      <c r="S10" s="77">
        <f>'18'!AD14+'18'!AD13</f>
        <v>0.625</v>
      </c>
      <c r="T10" s="77">
        <f>'19'!AD13</f>
        <v>0.91666666666666663</v>
      </c>
      <c r="U10" s="77">
        <f>'20'!AD13</f>
        <v>0.58333333333333337</v>
      </c>
      <c r="V10" s="77"/>
      <c r="W10" s="77">
        <f>'22'!AD13</f>
        <v>0.29166666666666669</v>
      </c>
      <c r="X10" s="77">
        <f>'23'!AD14</f>
        <v>0</v>
      </c>
      <c r="Y10" s="77">
        <f>'24'!AD14</f>
        <v>0</v>
      </c>
      <c r="Z10" s="77">
        <f>'25'!AD13</f>
        <v>0.70833333333333337</v>
      </c>
      <c r="AA10" s="77">
        <f>'26'!AD14</f>
        <v>1</v>
      </c>
      <c r="AB10" s="77">
        <f>'27'!AD13</f>
        <v>0.25</v>
      </c>
      <c r="AC10" s="77"/>
      <c r="AD10" s="77"/>
      <c r="AE10" s="77"/>
      <c r="AF10" s="78"/>
      <c r="AG10" s="79">
        <f t="shared" si="0"/>
        <v>0.41517857142857145</v>
      </c>
    </row>
    <row r="11" spans="1:33" ht="21.75" customHeight="1">
      <c r="A11" s="106" t="s">
        <v>68</v>
      </c>
      <c r="B11" s="107">
        <f>'01'!AD14</f>
        <v>0</v>
      </c>
      <c r="C11" s="107">
        <f>'02'!AD17</f>
        <v>0.375</v>
      </c>
      <c r="D11" s="108">
        <f>'03'!AD16</f>
        <v>0</v>
      </c>
      <c r="E11" s="108">
        <f>'04'!AD15</f>
        <v>0</v>
      </c>
      <c r="F11" s="108">
        <f>'05'!AD14</f>
        <v>0</v>
      </c>
      <c r="G11" s="108">
        <f>'06'!AD14</f>
        <v>0</v>
      </c>
      <c r="H11" s="108"/>
      <c r="I11" s="108">
        <f>'08'!AD14</f>
        <v>0</v>
      </c>
      <c r="J11" s="108">
        <f>'09'!AD14</f>
        <v>0</v>
      </c>
      <c r="K11" s="108">
        <f>'10'!AD16</f>
        <v>0</v>
      </c>
      <c r="L11" s="108"/>
      <c r="M11" s="108"/>
      <c r="N11" s="108"/>
      <c r="O11" s="108"/>
      <c r="P11" s="108">
        <f>'15'!AD14</f>
        <v>0</v>
      </c>
      <c r="Q11" s="108">
        <f>'16'!AD14</f>
        <v>0.45833333333333331</v>
      </c>
      <c r="R11" s="108">
        <f>'17'!AD15</f>
        <v>0</v>
      </c>
      <c r="S11" s="108">
        <f>'18'!AD15</f>
        <v>0</v>
      </c>
      <c r="T11" s="108">
        <f>'19'!AD14</f>
        <v>0</v>
      </c>
      <c r="U11" s="108">
        <f>'20'!AD14</f>
        <v>0</v>
      </c>
      <c r="V11" s="108"/>
      <c r="W11" s="108">
        <f>'22'!AD14</f>
        <v>0.25</v>
      </c>
      <c r="X11" s="108">
        <f>'23'!AD15</f>
        <v>0.25</v>
      </c>
      <c r="Y11" s="108">
        <f>'24'!AD15</f>
        <v>0</v>
      </c>
      <c r="Z11" s="108">
        <f>'25'!AD14</f>
        <v>0</v>
      </c>
      <c r="AA11" s="108">
        <f>'26'!AD15</f>
        <v>0</v>
      </c>
      <c r="AB11" s="108">
        <f>'27'!AD14</f>
        <v>0</v>
      </c>
      <c r="AC11" s="108"/>
      <c r="AD11" s="108"/>
      <c r="AE11" s="108"/>
      <c r="AF11" s="109"/>
      <c r="AG11" s="110">
        <f t="shared" si="0"/>
        <v>4.7619047619047616E-2</v>
      </c>
    </row>
    <row r="12" spans="1:33" ht="21.75" customHeight="1">
      <c r="A12" s="100" t="s">
        <v>69</v>
      </c>
      <c r="B12" s="97">
        <f>'01'!AD15</f>
        <v>0</v>
      </c>
      <c r="C12" s="97">
        <f>'02'!AD18</f>
        <v>0</v>
      </c>
      <c r="D12" s="74">
        <f>'03'!AD17</f>
        <v>0</v>
      </c>
      <c r="E12" s="74">
        <f>'04'!AD16</f>
        <v>0</v>
      </c>
      <c r="F12" s="74">
        <f>'05'!AD15</f>
        <v>0</v>
      </c>
      <c r="G12" s="74">
        <f>'06'!AD15</f>
        <v>0</v>
      </c>
      <c r="H12" s="74"/>
      <c r="I12" s="74">
        <f>'08'!AD15</f>
        <v>0</v>
      </c>
      <c r="J12" s="74">
        <f>'09'!AD15</f>
        <v>0.625</v>
      </c>
      <c r="K12" s="74">
        <f>'10'!AD17</f>
        <v>0</v>
      </c>
      <c r="L12" s="74"/>
      <c r="M12" s="74"/>
      <c r="N12" s="74"/>
      <c r="O12" s="74"/>
      <c r="P12" s="74">
        <f>'15'!AD15</f>
        <v>0</v>
      </c>
      <c r="Q12" s="74">
        <f>'16'!AD15</f>
        <v>0</v>
      </c>
      <c r="R12" s="74">
        <f>'17'!AD16</f>
        <v>0</v>
      </c>
      <c r="S12" s="74">
        <f>'18'!AD16</f>
        <v>0</v>
      </c>
      <c r="T12" s="74">
        <f>'19'!AD15</f>
        <v>0</v>
      </c>
      <c r="U12" s="74">
        <f>'20'!AD15</f>
        <v>0</v>
      </c>
      <c r="V12" s="74"/>
      <c r="W12" s="74">
        <f>'22'!AD15</f>
        <v>0</v>
      </c>
      <c r="X12" s="74">
        <f>'23'!AD16</f>
        <v>0.79166666666666663</v>
      </c>
      <c r="Y12" s="74">
        <f>'24'!AD16</f>
        <v>1</v>
      </c>
      <c r="Z12" s="74">
        <f>'25'!AD15</f>
        <v>1</v>
      </c>
      <c r="AA12" s="74">
        <f>'26'!AD16</f>
        <v>1</v>
      </c>
      <c r="AB12" s="74">
        <f>'27'!AD15</f>
        <v>0.33333333333333331</v>
      </c>
      <c r="AC12" s="74"/>
      <c r="AD12" s="74"/>
      <c r="AE12" s="74"/>
      <c r="AF12" s="75"/>
      <c r="AG12" s="76">
        <f t="shared" si="0"/>
        <v>0.16964285714285712</v>
      </c>
    </row>
    <row r="13" spans="1:33" ht="21.75" customHeight="1">
      <c r="A13" s="101" t="s">
        <v>70</v>
      </c>
      <c r="B13" s="98">
        <f>'01'!AD16</f>
        <v>0.20833333333333334</v>
      </c>
      <c r="C13" s="98">
        <f>'02'!AD19</f>
        <v>0</v>
      </c>
      <c r="D13" s="77">
        <f>'03'!AD18</f>
        <v>0.41666666666666669</v>
      </c>
      <c r="E13" s="77">
        <f>'04'!AD17</f>
        <v>0</v>
      </c>
      <c r="F13" s="77">
        <f>'05'!AD16</f>
        <v>0.41666666666666669</v>
      </c>
      <c r="G13" s="77">
        <f>'06'!AD16+'06'!AD17</f>
        <v>0.5</v>
      </c>
      <c r="H13" s="77"/>
      <c r="I13" s="77">
        <f>'08'!AD16</f>
        <v>0</v>
      </c>
      <c r="J13" s="77">
        <f>'09'!AD16</f>
        <v>0</v>
      </c>
      <c r="K13" s="77">
        <f>'10'!AD18+'10'!AD19+'10'!AD20</f>
        <v>0.5</v>
      </c>
      <c r="L13" s="77"/>
      <c r="M13" s="77"/>
      <c r="N13" s="77"/>
      <c r="O13" s="77"/>
      <c r="P13" s="77">
        <f>'15'!AD16+'15'!AD17</f>
        <v>0.95833333333333337</v>
      </c>
      <c r="Q13" s="77">
        <f>'16'!AD16</f>
        <v>0.20833333333333334</v>
      </c>
      <c r="R13" s="77">
        <f>'17'!AD17+'17'!AD18</f>
        <v>0.25</v>
      </c>
      <c r="S13" s="77">
        <f>'18'!AD17</f>
        <v>0</v>
      </c>
      <c r="T13" s="77">
        <f>'19'!AD16</f>
        <v>0</v>
      </c>
      <c r="U13" s="77">
        <f>'20'!AD16</f>
        <v>0</v>
      </c>
      <c r="V13" s="77"/>
      <c r="W13" s="77">
        <f>'22'!AD16+'22'!AD17</f>
        <v>0.66666666666666663</v>
      </c>
      <c r="X13" s="77">
        <f>'23'!AD17</f>
        <v>0.29166666666666669</v>
      </c>
      <c r="Y13" s="77">
        <f>'24'!AD17+'24'!AD18</f>
        <v>0.625</v>
      </c>
      <c r="Z13" s="77">
        <f>'25'!AD16</f>
        <v>0.5</v>
      </c>
      <c r="AA13" s="77">
        <f>'26'!AD17</f>
        <v>0</v>
      </c>
      <c r="AB13" s="77">
        <f>'27'!AD16</f>
        <v>0.45833333333333331</v>
      </c>
      <c r="AC13" s="77"/>
      <c r="AD13" s="77"/>
      <c r="AE13" s="77"/>
      <c r="AF13" s="78"/>
      <c r="AG13" s="79">
        <f t="shared" si="0"/>
        <v>0.21428571428571433</v>
      </c>
    </row>
    <row r="14" spans="1:33" ht="21.75" customHeight="1">
      <c r="A14" s="100" t="s">
        <v>71</v>
      </c>
      <c r="B14" s="97">
        <f>'01'!AD17</f>
        <v>0.875</v>
      </c>
      <c r="C14" s="97">
        <f>'02'!AD20</f>
        <v>0.875</v>
      </c>
      <c r="D14" s="74">
        <f>'03'!AD19</f>
        <v>0.875</v>
      </c>
      <c r="E14" s="74">
        <f>'04'!AD18</f>
        <v>1</v>
      </c>
      <c r="F14" s="74">
        <f>'05'!AD17</f>
        <v>1</v>
      </c>
      <c r="G14" s="74">
        <f>'06'!AD18</f>
        <v>1</v>
      </c>
      <c r="H14" s="74"/>
      <c r="I14" s="74">
        <f>'08'!AD17</f>
        <v>1</v>
      </c>
      <c r="J14" s="74">
        <f>'09'!AD17</f>
        <v>1</v>
      </c>
      <c r="K14" s="74">
        <f>'10'!AD21</f>
        <v>0.625</v>
      </c>
      <c r="L14" s="74"/>
      <c r="M14" s="74"/>
      <c r="N14" s="74"/>
      <c r="O14" s="74"/>
      <c r="P14" s="74">
        <f>'15'!AD18</f>
        <v>0.66666666666666663</v>
      </c>
      <c r="Q14" s="74">
        <f>'16'!AD17</f>
        <v>0.66666666666666663</v>
      </c>
      <c r="R14" s="74">
        <f>'17'!AD19</f>
        <v>0</v>
      </c>
      <c r="S14" s="74">
        <f>'18'!AD18</f>
        <v>0</v>
      </c>
      <c r="T14" s="74">
        <f>'19'!AD17</f>
        <v>0</v>
      </c>
      <c r="U14" s="74">
        <f>'20'!AD17</f>
        <v>0</v>
      </c>
      <c r="V14" s="74"/>
      <c r="W14" s="74">
        <f>'22'!AD18</f>
        <v>0</v>
      </c>
      <c r="X14" s="74">
        <f>'23'!AD18</f>
        <v>0</v>
      </c>
      <c r="Y14" s="74">
        <f>'24'!AD19</f>
        <v>0.625</v>
      </c>
      <c r="Z14" s="74">
        <f>'25'!AD17</f>
        <v>0.95833333333333337</v>
      </c>
      <c r="AA14" s="74">
        <f>'26'!AD18</f>
        <v>1</v>
      </c>
      <c r="AB14" s="74">
        <f>'27'!AD17</f>
        <v>0</v>
      </c>
      <c r="AC14" s="74"/>
      <c r="AD14" s="74"/>
      <c r="AE14" s="74"/>
      <c r="AF14" s="75"/>
      <c r="AG14" s="76">
        <f t="shared" si="0"/>
        <v>0.43452380952380948</v>
      </c>
    </row>
    <row r="15" spans="1:33" ht="21.75" customHeight="1">
      <c r="A15" s="101" t="s">
        <v>72</v>
      </c>
      <c r="B15" s="98">
        <f>'01'!AD18</f>
        <v>0.125</v>
      </c>
      <c r="C15" s="98">
        <f>'02'!AD21+'02'!AD22</f>
        <v>0.58333333333333337</v>
      </c>
      <c r="D15" s="77">
        <f>'03'!AD20</f>
        <v>1</v>
      </c>
      <c r="E15" s="77">
        <f>'04'!AD19</f>
        <v>0.41666666666666669</v>
      </c>
      <c r="F15" s="77">
        <f>'05'!AD18</f>
        <v>0.25</v>
      </c>
      <c r="G15" s="77">
        <f>'06'!AD19</f>
        <v>1</v>
      </c>
      <c r="H15" s="77"/>
      <c r="I15" s="77">
        <f>'08'!AD18</f>
        <v>0.83333333333333337</v>
      </c>
      <c r="J15" s="77">
        <f>'09'!AD18</f>
        <v>0.41666666666666669</v>
      </c>
      <c r="K15" s="77">
        <f>'10'!AD22</f>
        <v>0.41666666666666669</v>
      </c>
      <c r="L15" s="77"/>
      <c r="M15" s="77"/>
      <c r="N15" s="77"/>
      <c r="O15" s="77"/>
      <c r="P15" s="77">
        <f>'15'!AD19</f>
        <v>0.29166666666666669</v>
      </c>
      <c r="Q15" s="77">
        <f>'16'!AD18</f>
        <v>0</v>
      </c>
      <c r="R15" s="77">
        <f>'17'!AD20</f>
        <v>0.20833333333333334</v>
      </c>
      <c r="S15" s="77">
        <f>'18'!AD19</f>
        <v>0.75</v>
      </c>
      <c r="T15" s="77">
        <f>'19'!AD18+'19'!AD19</f>
        <v>0.375</v>
      </c>
      <c r="U15" s="77">
        <f>'20'!AD18</f>
        <v>0.79166666666666663</v>
      </c>
      <c r="V15" s="77"/>
      <c r="W15" s="77">
        <f>'22'!AD19</f>
        <v>1</v>
      </c>
      <c r="X15" s="77">
        <f>'23'!AD19</f>
        <v>1</v>
      </c>
      <c r="Y15" s="77">
        <f>'24'!AD20</f>
        <v>1</v>
      </c>
      <c r="Z15" s="77">
        <f>'25'!AD18</f>
        <v>1</v>
      </c>
      <c r="AA15" s="77">
        <f>'26'!AD19</f>
        <v>1</v>
      </c>
      <c r="AB15" s="77">
        <f>'27'!AD18</f>
        <v>0.20833333333333334</v>
      </c>
      <c r="AC15" s="77"/>
      <c r="AD15" s="77"/>
      <c r="AE15" s="77"/>
      <c r="AF15" s="78"/>
      <c r="AG15" s="79">
        <f t="shared" si="0"/>
        <v>0.45238095238095244</v>
      </c>
    </row>
    <row r="16" spans="1:33" ht="21.75" customHeight="1">
      <c r="A16" s="101" t="s">
        <v>121</v>
      </c>
      <c r="B16" s="98">
        <f>'01'!AD19</f>
        <v>0.95833333333333337</v>
      </c>
      <c r="C16" s="98">
        <f>'02'!AD23</f>
        <v>1</v>
      </c>
      <c r="D16" s="77">
        <f>'03'!AD21</f>
        <v>0.625</v>
      </c>
      <c r="E16" s="77">
        <f>'04'!AD20</f>
        <v>0.875</v>
      </c>
      <c r="F16" s="77">
        <f>'05'!AD19</f>
        <v>0.75</v>
      </c>
      <c r="G16" s="77">
        <f>'06'!AD20</f>
        <v>0.83333333333333337</v>
      </c>
      <c r="H16" s="77"/>
      <c r="I16" s="77">
        <f>'08'!AD19</f>
        <v>1</v>
      </c>
      <c r="J16" s="77">
        <f>'09'!AD19</f>
        <v>1</v>
      </c>
      <c r="K16" s="77">
        <f>'10'!AD23</f>
        <v>0</v>
      </c>
      <c r="L16" s="77"/>
      <c r="M16" s="77"/>
      <c r="N16" s="77"/>
      <c r="O16" s="77"/>
      <c r="P16" s="77">
        <f>'15'!AD20</f>
        <v>0.45833333333333331</v>
      </c>
      <c r="Q16" s="77">
        <f>'16'!AD19</f>
        <v>0.54166666666666663</v>
      </c>
      <c r="R16" s="77">
        <f>'17'!AD21</f>
        <v>0.75</v>
      </c>
      <c r="S16" s="77">
        <f>'18'!AD20</f>
        <v>0.5</v>
      </c>
      <c r="T16" s="77">
        <f>'19'!AD20</f>
        <v>0</v>
      </c>
      <c r="U16" s="77">
        <f>'20'!AD19</f>
        <v>0.375</v>
      </c>
      <c r="V16" s="77"/>
      <c r="W16" s="77">
        <f>'22'!AD20</f>
        <v>0.29166666666666669</v>
      </c>
      <c r="X16" s="77">
        <f>'23'!AD20</f>
        <v>0</v>
      </c>
      <c r="Y16" s="77">
        <f>'24'!AD21</f>
        <v>0.20833333333333334</v>
      </c>
      <c r="Z16" s="77">
        <f>'25'!AD19+'25'!AD20</f>
        <v>0.375</v>
      </c>
      <c r="AA16" s="77">
        <f>'26'!AD20</f>
        <v>0.95833333333333337</v>
      </c>
      <c r="AB16" s="77">
        <f>'27'!AD19</f>
        <v>0.45833333333333331</v>
      </c>
      <c r="AC16" s="77"/>
      <c r="AD16" s="77"/>
      <c r="AE16" s="77"/>
      <c r="AF16" s="78"/>
      <c r="AG16" s="79">
        <f t="shared" si="0"/>
        <v>0.42708333333333337</v>
      </c>
    </row>
    <row r="17" spans="1:33" ht="21.75" customHeight="1">
      <c r="A17" s="101" t="s">
        <v>122</v>
      </c>
      <c r="B17" s="98">
        <f>'01'!AD20+'01'!AD21+'01'!AD22</f>
        <v>0.86747685185185186</v>
      </c>
      <c r="C17" s="98">
        <f>'02'!AD24</f>
        <v>0.16666666666666666</v>
      </c>
      <c r="D17" s="77">
        <f>'03'!AD22</f>
        <v>0</v>
      </c>
      <c r="E17" s="77">
        <f>'04'!AD21</f>
        <v>0</v>
      </c>
      <c r="F17" s="77">
        <f>'05'!AD20</f>
        <v>0.70833333333333337</v>
      </c>
      <c r="G17" s="77">
        <f>'06'!AD21</f>
        <v>1</v>
      </c>
      <c r="H17" s="77"/>
      <c r="I17" s="77">
        <f>'08'!AD20</f>
        <v>0.66666666666666663</v>
      </c>
      <c r="J17" s="77">
        <f>'09'!AD20</f>
        <v>1</v>
      </c>
      <c r="K17" s="77">
        <f>'10'!AD24</f>
        <v>0</v>
      </c>
      <c r="L17" s="77"/>
      <c r="M17" s="77"/>
      <c r="N17" s="77"/>
      <c r="O17" s="77"/>
      <c r="P17" s="77">
        <f>'15'!AD21</f>
        <v>0.83333333333333337</v>
      </c>
      <c r="Q17" s="77">
        <f>'16'!AD20+'16'!AD21</f>
        <v>0.91666666666666663</v>
      </c>
      <c r="R17" s="77">
        <f>'17'!AD22</f>
        <v>1</v>
      </c>
      <c r="S17" s="77">
        <f>'18'!AD21</f>
        <v>1</v>
      </c>
      <c r="T17" s="77">
        <f>'19'!AD21</f>
        <v>0.91666666666666663</v>
      </c>
      <c r="U17" s="77">
        <f>'20'!AD20</f>
        <v>1</v>
      </c>
      <c r="V17" s="77"/>
      <c r="W17" s="77">
        <f>'22'!AD21+'22'!AD22</f>
        <v>0.41666666666666669</v>
      </c>
      <c r="X17" s="77">
        <f>'23'!AD21</f>
        <v>0</v>
      </c>
      <c r="Y17" s="77">
        <f>'24'!AD22</f>
        <v>0.70833333333333337</v>
      </c>
      <c r="Z17" s="77">
        <f>'25'!AD21+'25'!AD22</f>
        <v>0.39833531510107018</v>
      </c>
      <c r="AA17" s="77">
        <f>'26'!AD21</f>
        <v>0.75</v>
      </c>
      <c r="AB17" s="77">
        <f>'27'!AD20</f>
        <v>0.45833333333333331</v>
      </c>
      <c r="AC17" s="77"/>
      <c r="AD17" s="77"/>
      <c r="AE17" s="77"/>
      <c r="AF17" s="78"/>
      <c r="AG17" s="79">
        <f t="shared" si="0"/>
        <v>0.45740995834355674</v>
      </c>
    </row>
    <row r="18" spans="1:33" ht="21.75" customHeight="1" thickBot="1">
      <c r="A18" s="102" t="s">
        <v>123</v>
      </c>
      <c r="B18" s="99">
        <f>'01'!AD23</f>
        <v>0.83333333333333337</v>
      </c>
      <c r="C18" s="99">
        <f>'02'!AD25</f>
        <v>1</v>
      </c>
      <c r="D18" s="80">
        <f>'03'!AD23</f>
        <v>1</v>
      </c>
      <c r="E18" s="80">
        <f>'04'!AD22</f>
        <v>1</v>
      </c>
      <c r="F18" s="80">
        <f>'05'!AD21</f>
        <v>1</v>
      </c>
      <c r="G18" s="80">
        <f>'06'!AD22</f>
        <v>0</v>
      </c>
      <c r="H18" s="80"/>
      <c r="I18" s="80">
        <f>'08'!AD21</f>
        <v>0.58333333333333337</v>
      </c>
      <c r="J18" s="80">
        <f>'09'!AD21</f>
        <v>1</v>
      </c>
      <c r="K18" s="80">
        <f>'10'!AD25</f>
        <v>1</v>
      </c>
      <c r="L18" s="80"/>
      <c r="M18" s="80"/>
      <c r="N18" s="80"/>
      <c r="O18" s="80"/>
      <c r="P18" s="80">
        <f>'15'!AD22</f>
        <v>1</v>
      </c>
      <c r="Q18" s="80">
        <f>'16'!AD22</f>
        <v>1</v>
      </c>
      <c r="R18" s="80">
        <f>'17'!AD23</f>
        <v>1</v>
      </c>
      <c r="S18" s="80">
        <f>'18'!AD22</f>
        <v>1</v>
      </c>
      <c r="T18" s="80">
        <f>'19'!AD22</f>
        <v>1</v>
      </c>
      <c r="U18" s="80">
        <f>'20'!AD21</f>
        <v>1</v>
      </c>
      <c r="V18" s="80"/>
      <c r="W18" s="80">
        <f>'22'!AD23</f>
        <v>1</v>
      </c>
      <c r="X18" s="80">
        <f>'23'!AD22</f>
        <v>1</v>
      </c>
      <c r="Y18" s="80">
        <f>'24'!AD23</f>
        <v>1</v>
      </c>
      <c r="Z18" s="80">
        <f>'25'!AD23</f>
        <v>1</v>
      </c>
      <c r="AA18" s="80">
        <f>'26'!AD22</f>
        <v>1</v>
      </c>
      <c r="AB18" s="80">
        <f>'27'!AD21</f>
        <v>0</v>
      </c>
      <c r="AC18" s="80"/>
      <c r="AD18" s="80"/>
      <c r="AE18" s="80"/>
      <c r="AF18" s="81"/>
      <c r="AG18" s="82">
        <f t="shared" si="0"/>
        <v>0.65773809523809523</v>
      </c>
    </row>
    <row r="19" spans="1:33" s="83" customFormat="1" ht="21.75" customHeight="1">
      <c r="A19" s="87" t="s">
        <v>104</v>
      </c>
      <c r="B19" s="91">
        <f>'01'!AD24</f>
        <v>0.38615612139917693</v>
      </c>
      <c r="C19" s="91">
        <f>'02'!AD26</f>
        <v>0.43541666666666679</v>
      </c>
      <c r="D19" s="92">
        <f>'03'!AD24</f>
        <v>0.56018518518518512</v>
      </c>
      <c r="E19" s="92">
        <f>'04'!AD23</f>
        <v>0.43382352941176472</v>
      </c>
      <c r="F19" s="92">
        <f>'05'!AD22</f>
        <v>0.52864583333333326</v>
      </c>
      <c r="G19" s="92">
        <f>'06'!AD23</f>
        <v>0.46078431372549017</v>
      </c>
      <c r="H19" s="92"/>
      <c r="I19" s="92">
        <f>'08'!AD22</f>
        <v>0.5625</v>
      </c>
      <c r="J19" s="92">
        <f>'09'!AD22</f>
        <v>0.62239583333333326</v>
      </c>
      <c r="K19" s="92">
        <f>'10'!AD26</f>
        <v>0.38125000000000003</v>
      </c>
      <c r="L19" s="92"/>
      <c r="M19" s="92"/>
      <c r="N19" s="92"/>
      <c r="O19" s="92"/>
      <c r="P19" s="92">
        <f>'15'!AD23</f>
        <v>0.51960784313725483</v>
      </c>
      <c r="Q19" s="92">
        <f>'16'!AD23</f>
        <v>0.44117647058823528</v>
      </c>
      <c r="R19" s="92">
        <f>'17'!AD24</f>
        <v>0.52083333333333337</v>
      </c>
      <c r="S19" s="92">
        <f>'18'!AD23</f>
        <v>0.52696078431372539</v>
      </c>
      <c r="T19" s="92">
        <f>'19'!AD23</f>
        <v>0.46813725490196084</v>
      </c>
      <c r="U19" s="92">
        <f>'20'!AD22</f>
        <v>0.48697916666666663</v>
      </c>
      <c r="V19" s="92"/>
      <c r="W19" s="92">
        <f>'22'!AD24</f>
        <v>0.5</v>
      </c>
      <c r="X19" s="92">
        <f>'23'!AD23</f>
        <v>0.48529411764705882</v>
      </c>
      <c r="Y19" s="92">
        <f>'24'!AD24</f>
        <v>0.55787037037037046</v>
      </c>
      <c r="Z19" s="92">
        <f>'25'!AD24</f>
        <v>0.57537048046857786</v>
      </c>
      <c r="AA19" s="92">
        <f>'26'!AD23</f>
        <v>0.6470588235294118</v>
      </c>
      <c r="AB19" s="92">
        <f>'27'!AD22</f>
        <v>0.23177083333333337</v>
      </c>
      <c r="AC19" s="92"/>
      <c r="AD19" s="92"/>
      <c r="AE19" s="92"/>
      <c r="AF19" s="93"/>
      <c r="AG19" s="94">
        <f t="shared" si="0"/>
        <v>0.36900774861945995</v>
      </c>
    </row>
    <row r="20" spans="1:33" ht="21.75" customHeight="1" thickBot="1">
      <c r="A20" s="69" t="s">
        <v>108</v>
      </c>
      <c r="B20" s="70">
        <v>0.62</v>
      </c>
      <c r="C20" s="71">
        <v>0.62</v>
      </c>
      <c r="D20" s="71">
        <v>0.62</v>
      </c>
      <c r="E20" s="71">
        <v>0.62</v>
      </c>
      <c r="F20" s="71">
        <v>0.62</v>
      </c>
      <c r="G20" s="71">
        <v>0.62</v>
      </c>
      <c r="H20" s="71">
        <v>0.62</v>
      </c>
      <c r="I20" s="71">
        <v>0.62</v>
      </c>
      <c r="J20" s="71">
        <v>0.62</v>
      </c>
      <c r="K20" s="71">
        <v>0.62</v>
      </c>
      <c r="L20" s="71">
        <v>0.62</v>
      </c>
      <c r="M20" s="71">
        <v>0.62</v>
      </c>
      <c r="N20" s="71">
        <v>0.62</v>
      </c>
      <c r="O20" s="71">
        <v>0.62</v>
      </c>
      <c r="P20" s="71">
        <v>0.62</v>
      </c>
      <c r="Q20" s="71">
        <v>0.62</v>
      </c>
      <c r="R20" s="71">
        <v>0.62</v>
      </c>
      <c r="S20" s="71">
        <v>0.62</v>
      </c>
      <c r="T20" s="71">
        <v>0.62</v>
      </c>
      <c r="U20" s="71">
        <v>0.62</v>
      </c>
      <c r="V20" s="71">
        <v>0.62</v>
      </c>
      <c r="W20" s="71">
        <v>0.62</v>
      </c>
      <c r="X20" s="71">
        <v>0.62</v>
      </c>
      <c r="Y20" s="71">
        <v>0.62</v>
      </c>
      <c r="Z20" s="71">
        <v>0.62</v>
      </c>
      <c r="AA20" s="71">
        <v>0.62</v>
      </c>
      <c r="AB20" s="71">
        <v>0.62</v>
      </c>
      <c r="AC20" s="71">
        <v>0.62</v>
      </c>
      <c r="AD20" s="71">
        <v>0.62</v>
      </c>
      <c r="AE20" s="71">
        <v>0.62</v>
      </c>
      <c r="AF20" s="72">
        <v>0.62</v>
      </c>
      <c r="AG20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22</vt:i4>
      </vt:variant>
      <vt:variant>
        <vt:lpstr>이름 지정된 범위</vt:lpstr>
      </vt:variant>
      <vt:variant>
        <vt:i4>42</vt:i4>
      </vt:variant>
    </vt:vector>
  </HeadingPairs>
  <TitlesOfParts>
    <vt:vector size="64" baseType="lpstr">
      <vt:lpstr>01</vt:lpstr>
      <vt:lpstr>02</vt:lpstr>
      <vt:lpstr>03</vt:lpstr>
      <vt:lpstr>04</vt:lpstr>
      <vt:lpstr>05</vt:lpstr>
      <vt:lpstr>06</vt:lpstr>
      <vt:lpstr>08</vt:lpstr>
      <vt:lpstr>09</vt:lpstr>
      <vt:lpstr>10</vt:lpstr>
      <vt:lpstr>15</vt:lpstr>
      <vt:lpstr>16</vt:lpstr>
      <vt:lpstr>17</vt:lpstr>
      <vt:lpstr>18</vt:lpstr>
      <vt:lpstr>19</vt:lpstr>
      <vt:lpstr>20</vt:lpstr>
      <vt:lpstr>22</vt:lpstr>
      <vt:lpstr>23</vt:lpstr>
      <vt:lpstr>24</vt:lpstr>
      <vt:lpstr>25</vt:lpstr>
      <vt:lpstr>26</vt:lpstr>
      <vt:lpstr>27</vt:lpstr>
      <vt:lpstr>총괄</vt:lpstr>
      <vt:lpstr>'01'!Print_Area</vt:lpstr>
      <vt:lpstr>'02'!Print_Area</vt:lpstr>
      <vt:lpstr>'03'!Print_Area</vt:lpstr>
      <vt:lpstr>'04'!Print_Area</vt:lpstr>
      <vt:lpstr>'05'!Print_Area</vt:lpstr>
      <vt:lpstr>'06'!Print_Area</vt:lpstr>
      <vt:lpstr>'08'!Print_Area</vt:lpstr>
      <vt:lpstr>'09'!Print_Area</vt:lpstr>
      <vt:lpstr>'10'!Print_Area</vt:lpstr>
      <vt:lpstr>'15'!Print_Area</vt:lpstr>
      <vt:lpstr>'16'!Print_Area</vt:lpstr>
      <vt:lpstr>'17'!Print_Area</vt:lpstr>
      <vt:lpstr>'18'!Print_Area</vt:lpstr>
      <vt:lpstr>'19'!Print_Area</vt:lpstr>
      <vt:lpstr>'20'!Print_Area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'01'!ㅁ1</vt:lpstr>
      <vt:lpstr>'02'!ㅁ1</vt:lpstr>
      <vt:lpstr>'03'!ㅁ1</vt:lpstr>
      <vt:lpstr>'04'!ㅁ1</vt:lpstr>
      <vt:lpstr>'05'!ㅁ1</vt:lpstr>
      <vt:lpstr>'06'!ㅁ1</vt:lpstr>
      <vt:lpstr>'08'!ㅁ1</vt:lpstr>
      <vt:lpstr>'09'!ㅁ1</vt:lpstr>
      <vt:lpstr>'10'!ㅁ1</vt:lpstr>
      <vt:lpstr>'15'!ㅁ1</vt:lpstr>
      <vt:lpstr>'16'!ㅁ1</vt:lpstr>
      <vt:lpstr>'17'!ㅁ1</vt:lpstr>
      <vt:lpstr>'18'!ㅁ1</vt:lpstr>
      <vt:lpstr>'19'!ㅁ1</vt:lpstr>
      <vt:lpstr>'20'!ㅁ1</vt:lpstr>
      <vt:lpstr>'22'!ㅁ1</vt:lpstr>
      <vt:lpstr>'23'!ㅁ1</vt:lpstr>
      <vt:lpstr>'24'!ㅁ1</vt:lpstr>
      <vt:lpstr>'25'!ㅁ1</vt:lpstr>
      <vt:lpstr>'26'!ㅁ1</vt:lpstr>
      <vt:lpstr>'27'!ㅁ1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2020-03-30T05:00:42Z</cp:lastPrinted>
  <dcterms:created xsi:type="dcterms:W3CDTF">2014-05-16T00:06:55Z</dcterms:created>
  <dcterms:modified xsi:type="dcterms:W3CDTF">2021-03-01T05:33:37Z</dcterms:modified>
</cp:coreProperties>
</file>