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1년도\일일업무\생산일보\"/>
    </mc:Choice>
  </mc:AlternateContent>
  <xr:revisionPtr revIDLastSave="0" documentId="13_ncr:1_{9440008F-694A-4E2A-B1B4-488C0F320D8B}" xr6:coauthVersionLast="46" xr6:coauthVersionMax="46" xr10:uidLastSave="{00000000-0000-0000-0000-000000000000}"/>
  <bookViews>
    <workbookView xWindow="-120" yWindow="-120" windowWidth="29040" windowHeight="15840" firstSheet="2" activeTab="24" xr2:uid="{00000000-000D-0000-FFFF-FFFF00000000}"/>
  </bookViews>
  <sheets>
    <sheet name="02" sheetId="1951" r:id="rId1"/>
    <sheet name="03" sheetId="1952" r:id="rId2"/>
    <sheet name="04" sheetId="1953" r:id="rId3"/>
    <sheet name="05" sheetId="1954" r:id="rId4"/>
    <sheet name="08" sheetId="1955" r:id="rId5"/>
    <sheet name="09" sheetId="1956" r:id="rId6"/>
    <sheet name="10" sheetId="1957" r:id="rId7"/>
    <sheet name="11" sheetId="1958" r:id="rId8"/>
    <sheet name="12" sheetId="1959" r:id="rId9"/>
    <sheet name="13" sheetId="1960" r:id="rId10"/>
    <sheet name="15" sheetId="1961" r:id="rId11"/>
    <sheet name="16" sheetId="1962" r:id="rId12"/>
    <sheet name="17" sheetId="1963" r:id="rId13"/>
    <sheet name="18" sheetId="1964" r:id="rId14"/>
    <sheet name="19" sheetId="1965" r:id="rId15"/>
    <sheet name="20" sheetId="1966" r:id="rId16"/>
    <sheet name="22" sheetId="1967" r:id="rId17"/>
    <sheet name="23" sheetId="1968" r:id="rId18"/>
    <sheet name="24" sheetId="1969" r:id="rId19"/>
    <sheet name="25" sheetId="1970" r:id="rId20"/>
    <sheet name="26" sheetId="1971" r:id="rId21"/>
    <sheet name="27" sheetId="1972" r:id="rId22"/>
    <sheet name="29" sheetId="1973" r:id="rId23"/>
    <sheet name="30" sheetId="1974" r:id="rId24"/>
    <sheet name="31" sheetId="1975" r:id="rId25"/>
    <sheet name="총괄" sheetId="16" r:id="rId26"/>
  </sheets>
  <definedNames>
    <definedName name="_xlnm.Print_Area" localSheetId="0">'02'!$A$1:$AD$88</definedName>
    <definedName name="_xlnm.Print_Area" localSheetId="1">'03'!$A$1:$AD$88</definedName>
    <definedName name="_xlnm.Print_Area" localSheetId="2">'04'!$A$1:$AD$90</definedName>
    <definedName name="_xlnm.Print_Area" localSheetId="3">'05'!$A$1:$AD$87</definedName>
    <definedName name="_xlnm.Print_Area" localSheetId="4">'08'!$A$1:$AD$87</definedName>
    <definedName name="_xlnm.Print_Area" localSheetId="5">'09'!$A$1:$AD$87</definedName>
    <definedName name="_xlnm.Print_Area" localSheetId="6">'10'!$A$1:$AD$88</definedName>
    <definedName name="_xlnm.Print_Area" localSheetId="7">'11'!$A$1:$AD$87</definedName>
    <definedName name="_xlnm.Print_Area" localSheetId="8">'12'!$A$1:$AD$87</definedName>
    <definedName name="_xlnm.Print_Area" localSheetId="9">'13'!$A$1:$AD$87</definedName>
    <definedName name="_xlnm.Print_Area" localSheetId="10">'15'!$A$1:$AD$88</definedName>
    <definedName name="_xlnm.Print_Area" localSheetId="11">'16'!$A$1:$AD$87</definedName>
    <definedName name="_xlnm.Print_Area" localSheetId="12">'17'!$A$1:$AD$87</definedName>
    <definedName name="_xlnm.Print_Area" localSheetId="13">'18'!$A$1:$AD$87</definedName>
    <definedName name="_xlnm.Print_Area" localSheetId="14">'19'!$A$1:$AD$87</definedName>
    <definedName name="_xlnm.Print_Area" localSheetId="15">'20'!$A$1:$AD$87</definedName>
    <definedName name="_xlnm.Print_Area" localSheetId="16">'22'!$A$1:$AD$88</definedName>
    <definedName name="_xlnm.Print_Area" localSheetId="17">'23'!$A$1:$AD$88</definedName>
    <definedName name="_xlnm.Print_Area" localSheetId="18">'24'!$A$1:$AD$87</definedName>
    <definedName name="_xlnm.Print_Area" localSheetId="19">'25'!$A$1:$AD$87</definedName>
    <definedName name="_xlnm.Print_Area" localSheetId="20">'26'!$A$1:$AD$89</definedName>
    <definedName name="_xlnm.Print_Area" localSheetId="21">'27'!$A$1:$AD$87</definedName>
    <definedName name="_xlnm.Print_Area" localSheetId="22">'29'!$A$1:$AD$93</definedName>
    <definedName name="_xlnm.Print_Area" localSheetId="23">'30'!$A$1:$AD$93</definedName>
    <definedName name="_xlnm.Print_Area" localSheetId="24">'31'!$A$1:$AD$93</definedName>
    <definedName name="ㅁ1" localSheetId="0">'02'!$M$1048523:$M$1048576</definedName>
    <definedName name="ㅁ1" localSheetId="1">'03'!$M$1048523:$M$1048576</definedName>
    <definedName name="ㅁ1" localSheetId="2">'04'!$M$1048525:$M$1048576</definedName>
    <definedName name="ㅁ1" localSheetId="3">'05'!$M$1048522:$M$1048576</definedName>
    <definedName name="ㅁ1" localSheetId="4">'08'!$M$1048522:$M$1048576</definedName>
    <definedName name="ㅁ1" localSheetId="5">'09'!$M$1048522:$M$1048576</definedName>
    <definedName name="ㅁ1" localSheetId="6">'10'!$M$1048523:$M$1048576</definedName>
    <definedName name="ㅁ1" localSheetId="7">'11'!$M$1048522:$M$1048576</definedName>
    <definedName name="ㅁ1" localSheetId="8">'12'!$M$1048522:$M$1048576</definedName>
    <definedName name="ㅁ1" localSheetId="9">'13'!$M$1048522:$M$1048576</definedName>
    <definedName name="ㅁ1" localSheetId="10">'15'!$M$1048523:$M$1048576</definedName>
    <definedName name="ㅁ1" localSheetId="11">'16'!$M$1048522:$M$1048576</definedName>
    <definedName name="ㅁ1" localSheetId="12">'17'!$M$1048522:$M$1048576</definedName>
    <definedName name="ㅁ1" localSheetId="13">'18'!$M$1048522:$M$1048576</definedName>
    <definedName name="ㅁ1" localSheetId="14">'19'!$M$1048522:$M$1048576</definedName>
    <definedName name="ㅁ1" localSheetId="15">'20'!$M$1048522:$M$1048576</definedName>
    <definedName name="ㅁ1" localSheetId="16">'22'!$M$1048523:$M$1048576</definedName>
    <definedName name="ㅁ1" localSheetId="17">'23'!$M$1048523:$M$1048576</definedName>
    <definedName name="ㅁ1" localSheetId="18">'24'!$M$1048522:$M$1048576</definedName>
    <definedName name="ㅁ1" localSheetId="19">'25'!$M$1048522:$M$1048576</definedName>
    <definedName name="ㅁ1" localSheetId="20">'26'!$M$1048524:$M$1048576</definedName>
    <definedName name="ㅁ1" localSheetId="21">'27'!$M$1048522:$M$1048576</definedName>
    <definedName name="ㅁ1" localSheetId="22">'29'!$M$1048528:$M$1048576</definedName>
    <definedName name="ㅁ1" localSheetId="23">'30'!$M$1048528:$M$1048576</definedName>
    <definedName name="ㅁ1" localSheetId="24">'31'!$M$1048528:$M$1048576</definedName>
    <definedName name="ㅁ1">#REF!</definedName>
  </definedNames>
  <calcPr calcId="181029"/>
</workbook>
</file>

<file path=xl/calcChain.xml><?xml version="1.0" encoding="utf-8"?>
<calcChain xmlns="http://schemas.openxmlformats.org/spreadsheetml/2006/main">
  <c r="AF19" i="16" l="1"/>
  <c r="AF18" i="16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L20" i="1975"/>
  <c r="L19" i="1975"/>
  <c r="O19" i="1975" s="1"/>
  <c r="L18" i="1975"/>
  <c r="M18" i="1975" s="1"/>
  <c r="L17" i="1975"/>
  <c r="P17" i="1975" s="1"/>
  <c r="AC17" i="1975" s="1"/>
  <c r="L16" i="1975"/>
  <c r="O16" i="1975" s="1"/>
  <c r="K13" i="1975"/>
  <c r="L12" i="1975"/>
  <c r="L10" i="1975"/>
  <c r="O10" i="1975" s="1"/>
  <c r="L9" i="1975"/>
  <c r="P9" i="1975" s="1"/>
  <c r="AC9" i="1975" s="1"/>
  <c r="L8" i="1975"/>
  <c r="L7" i="1975"/>
  <c r="O7" i="1975" s="1"/>
  <c r="L6" i="1975"/>
  <c r="L27" i="1975"/>
  <c r="L26" i="1975"/>
  <c r="L25" i="1975"/>
  <c r="L24" i="1975"/>
  <c r="AB24" i="1975" s="1"/>
  <c r="K27" i="1975"/>
  <c r="K26" i="1975"/>
  <c r="K25" i="1975"/>
  <c r="K24" i="1975"/>
  <c r="K20" i="1975"/>
  <c r="K19" i="1975"/>
  <c r="K18" i="1975"/>
  <c r="K17" i="1975"/>
  <c r="K16" i="1975"/>
  <c r="K14" i="1975"/>
  <c r="K12" i="1975"/>
  <c r="K10" i="1975"/>
  <c r="K9" i="1975"/>
  <c r="K8" i="1975"/>
  <c r="K6" i="1975"/>
  <c r="A83" i="1975"/>
  <c r="A84" i="1975" s="1"/>
  <c r="A85" i="1975" s="1"/>
  <c r="A86" i="1975" s="1"/>
  <c r="A87" i="1975" s="1"/>
  <c r="A88" i="1975" s="1"/>
  <c r="AF67" i="1975"/>
  <c r="AF66" i="1975"/>
  <c r="AF69" i="1975" s="1"/>
  <c r="AA28" i="1975"/>
  <c r="Z28" i="1975"/>
  <c r="Y28" i="1975"/>
  <c r="X28" i="1975"/>
  <c r="W28" i="1975"/>
  <c r="V28" i="1975"/>
  <c r="U28" i="1975"/>
  <c r="T28" i="1975"/>
  <c r="S28" i="1975"/>
  <c r="R28" i="1975"/>
  <c r="N28" i="1975"/>
  <c r="J28" i="1975"/>
  <c r="I28" i="1975"/>
  <c r="AF27" i="1975"/>
  <c r="AB27" i="1975"/>
  <c r="Q27" i="1975"/>
  <c r="M27" i="1975"/>
  <c r="P27" i="1975"/>
  <c r="AC27" i="1975" s="1"/>
  <c r="AF26" i="1975"/>
  <c r="Q26" i="1975"/>
  <c r="P26" i="1975"/>
  <c r="AC26" i="1975" s="1"/>
  <c r="AF25" i="1975"/>
  <c r="Q25" i="1975"/>
  <c r="P25" i="1975"/>
  <c r="AC25" i="1975" s="1"/>
  <c r="O25" i="1975"/>
  <c r="AF24" i="1975"/>
  <c r="Q24" i="1975"/>
  <c r="O24" i="1975"/>
  <c r="AF23" i="1975"/>
  <c r="AB23" i="1975"/>
  <c r="Q23" i="1975"/>
  <c r="P23" i="1975"/>
  <c r="AC23" i="1975" s="1"/>
  <c r="AD23" i="1975" s="1"/>
  <c r="O23" i="1975"/>
  <c r="M23" i="1975"/>
  <c r="K23" i="1975"/>
  <c r="AF22" i="1975"/>
  <c r="AB22" i="1975"/>
  <c r="Q22" i="1975"/>
  <c r="P22" i="1975"/>
  <c r="AC22" i="1975" s="1"/>
  <c r="AD22" i="1975" s="1"/>
  <c r="O22" i="1975"/>
  <c r="M22" i="1975"/>
  <c r="K22" i="1975"/>
  <c r="AF21" i="1975"/>
  <c r="AB21" i="1975"/>
  <c r="Q21" i="1975"/>
  <c r="P21" i="1975"/>
  <c r="AC21" i="1975" s="1"/>
  <c r="O21" i="1975"/>
  <c r="M21" i="1975"/>
  <c r="K21" i="1975"/>
  <c r="AF20" i="1975"/>
  <c r="AB20" i="1975"/>
  <c r="Q20" i="1975"/>
  <c r="M20" i="1975"/>
  <c r="O20" i="1975"/>
  <c r="AF19" i="1975"/>
  <c r="Q19" i="1975"/>
  <c r="AF18" i="1975"/>
  <c r="AB18" i="1975"/>
  <c r="Q18" i="1975"/>
  <c r="P18" i="1975"/>
  <c r="AC18" i="1975" s="1"/>
  <c r="O18" i="1975"/>
  <c r="AF17" i="1975"/>
  <c r="Q17" i="1975"/>
  <c r="O17" i="1975"/>
  <c r="AF16" i="1975"/>
  <c r="AB16" i="1975"/>
  <c r="Q16" i="1975"/>
  <c r="P16" i="1975"/>
  <c r="AC16" i="1975" s="1"/>
  <c r="M16" i="1975"/>
  <c r="AF15" i="1975"/>
  <c r="AB15" i="1975"/>
  <c r="Q15" i="1975"/>
  <c r="P15" i="1975"/>
  <c r="AC15" i="1975" s="1"/>
  <c r="AD15" i="1975" s="1"/>
  <c r="O15" i="1975"/>
  <c r="M15" i="1975"/>
  <c r="K15" i="1975"/>
  <c r="AF14" i="1975"/>
  <c r="AB14" i="1975"/>
  <c r="Q14" i="1975"/>
  <c r="P14" i="1975" s="1"/>
  <c r="AC14" i="1975" s="1"/>
  <c r="O14" i="1975"/>
  <c r="M14" i="1975"/>
  <c r="AF13" i="1975"/>
  <c r="Q13" i="1975"/>
  <c r="O13" i="1975"/>
  <c r="AB13" i="1975"/>
  <c r="AF12" i="1975"/>
  <c r="AB12" i="1975"/>
  <c r="Q12" i="1975"/>
  <c r="M12" i="1975"/>
  <c r="O12" i="1975"/>
  <c r="AF11" i="1975"/>
  <c r="AC11" i="1975"/>
  <c r="AB11" i="1975"/>
  <c r="Q11" i="1975"/>
  <c r="P11" i="1975"/>
  <c r="O11" i="1975"/>
  <c r="M11" i="1975"/>
  <c r="K11" i="1975"/>
  <c r="AF10" i="1975"/>
  <c r="Q10" i="1975"/>
  <c r="AB10" i="1975"/>
  <c r="AF9" i="1975"/>
  <c r="AB9" i="1975"/>
  <c r="Q9" i="1975"/>
  <c r="M9" i="1975"/>
  <c r="O9" i="1975"/>
  <c r="AF8" i="1975"/>
  <c r="Q8" i="1975"/>
  <c r="AF7" i="1975"/>
  <c r="AB7" i="1975"/>
  <c r="Q7" i="1975"/>
  <c r="P7" i="1975"/>
  <c r="AC7" i="1975" s="1"/>
  <c r="M7" i="1975"/>
  <c r="K7" i="1975"/>
  <c r="AF6" i="1975"/>
  <c r="AB6" i="1975"/>
  <c r="Q6" i="1975"/>
  <c r="P6" i="1975"/>
  <c r="M6" i="1975"/>
  <c r="P70" i="1974"/>
  <c r="AE19" i="16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AD19" i="16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0" i="1974"/>
  <c r="L19" i="1974"/>
  <c r="K19" i="1974" s="1"/>
  <c r="L18" i="1974"/>
  <c r="L17" i="1974"/>
  <c r="O17" i="1974" s="1"/>
  <c r="L16" i="1974"/>
  <c r="L13" i="1974"/>
  <c r="L12" i="1974"/>
  <c r="K12" i="1974" s="1"/>
  <c r="L10" i="1974"/>
  <c r="L9" i="1974"/>
  <c r="K9" i="1974" s="1"/>
  <c r="L8" i="1974"/>
  <c r="K8" i="1974" s="1"/>
  <c r="L6" i="1974"/>
  <c r="K6" i="1974" s="1"/>
  <c r="L27" i="1974"/>
  <c r="L26" i="1974"/>
  <c r="L25" i="1974"/>
  <c r="O25" i="1974" s="1"/>
  <c r="L24" i="1974"/>
  <c r="K27" i="1974"/>
  <c r="K26" i="1974"/>
  <c r="K24" i="1974"/>
  <c r="K20" i="1974"/>
  <c r="K18" i="1974"/>
  <c r="K17" i="1974"/>
  <c r="K16" i="1974"/>
  <c r="K13" i="1974"/>
  <c r="K10" i="1974"/>
  <c r="K7" i="1974"/>
  <c r="A84" i="1974"/>
  <c r="A85" i="1974" s="1"/>
  <c r="A86" i="1974" s="1"/>
  <c r="A87" i="1974" s="1"/>
  <c r="A88" i="1974" s="1"/>
  <c r="A83" i="1974"/>
  <c r="AF69" i="1974"/>
  <c r="AF67" i="1974"/>
  <c r="AF66" i="1974"/>
  <c r="AA28" i="1974"/>
  <c r="Z28" i="1974"/>
  <c r="Y28" i="1974"/>
  <c r="X28" i="1974"/>
  <c r="W28" i="1974"/>
  <c r="V28" i="1974"/>
  <c r="U28" i="1974"/>
  <c r="T28" i="1974"/>
  <c r="S28" i="1974"/>
  <c r="R28" i="1974"/>
  <c r="N28" i="1974"/>
  <c r="J28" i="1974"/>
  <c r="I28" i="1974"/>
  <c r="AF27" i="1974"/>
  <c r="Q27" i="1974"/>
  <c r="O27" i="1974"/>
  <c r="P27" i="1974"/>
  <c r="AC27" i="1974" s="1"/>
  <c r="AF26" i="1974"/>
  <c r="AB26" i="1974"/>
  <c r="Q26" i="1974"/>
  <c r="P26" i="1974"/>
  <c r="AC26" i="1974" s="1"/>
  <c r="M26" i="1974"/>
  <c r="O26" i="1974"/>
  <c r="AF25" i="1974"/>
  <c r="Q25" i="1974"/>
  <c r="AF24" i="1974"/>
  <c r="AB24" i="1974"/>
  <c r="Q24" i="1974"/>
  <c r="P24" i="1974"/>
  <c r="AC24" i="1974" s="1"/>
  <c r="M24" i="1974"/>
  <c r="O24" i="1974"/>
  <c r="AF23" i="1974"/>
  <c r="AB23" i="1974"/>
  <c r="Q23" i="1974"/>
  <c r="P23" i="1974"/>
  <c r="AC23" i="1974" s="1"/>
  <c r="AD23" i="1974" s="1"/>
  <c r="O23" i="1974"/>
  <c r="M23" i="1974"/>
  <c r="K23" i="1974"/>
  <c r="AF22" i="1974"/>
  <c r="AB22" i="1974"/>
  <c r="Q22" i="1974"/>
  <c r="P22" i="1974"/>
  <c r="AC22" i="1974" s="1"/>
  <c r="O22" i="1974"/>
  <c r="M22" i="1974"/>
  <c r="K22" i="1974"/>
  <c r="AF21" i="1974"/>
  <c r="AB21" i="1974"/>
  <c r="Q21" i="1974"/>
  <c r="P21" i="1974"/>
  <c r="AC21" i="1974" s="1"/>
  <c r="AD21" i="1974" s="1"/>
  <c r="O21" i="1974"/>
  <c r="M21" i="1974"/>
  <c r="K21" i="1974"/>
  <c r="AF20" i="1974"/>
  <c r="Q20" i="1974"/>
  <c r="O20" i="1974"/>
  <c r="AF19" i="1974"/>
  <c r="Q19" i="1974"/>
  <c r="AB19" i="1974"/>
  <c r="AF18" i="1974"/>
  <c r="Q18" i="1974"/>
  <c r="P18" i="1974" s="1"/>
  <c r="AC18" i="1974" s="1"/>
  <c r="O18" i="1974"/>
  <c r="AB18" i="1974"/>
  <c r="AF17" i="1974"/>
  <c r="AB17" i="1974"/>
  <c r="Q17" i="1974"/>
  <c r="P17" i="1974"/>
  <c r="AC17" i="1974" s="1"/>
  <c r="M17" i="1974"/>
  <c r="AF16" i="1974"/>
  <c r="Q16" i="1974"/>
  <c r="O16" i="1974"/>
  <c r="AF15" i="1974"/>
  <c r="AB15" i="1974"/>
  <c r="Q15" i="1974"/>
  <c r="P15" i="1974"/>
  <c r="AC15" i="1974" s="1"/>
  <c r="O15" i="1974"/>
  <c r="M15" i="1974"/>
  <c r="K15" i="1974"/>
  <c r="AF14" i="1974"/>
  <c r="AB14" i="1974"/>
  <c r="Q14" i="1974"/>
  <c r="P14" i="1974" s="1"/>
  <c r="AC14" i="1974" s="1"/>
  <c r="O14" i="1974"/>
  <c r="M14" i="1974"/>
  <c r="K14" i="1974"/>
  <c r="AF13" i="1974"/>
  <c r="Q13" i="1974"/>
  <c r="P13" i="1974"/>
  <c r="AC13" i="1974" s="1"/>
  <c r="AB13" i="1974"/>
  <c r="AF12" i="1974"/>
  <c r="AB12" i="1974"/>
  <c r="Q12" i="1974"/>
  <c r="P12" i="1974" s="1"/>
  <c r="AC12" i="1974" s="1"/>
  <c r="AD12" i="1974" s="1"/>
  <c r="O12" i="1974"/>
  <c r="M12" i="1974"/>
  <c r="AF11" i="1974"/>
  <c r="AB11" i="1974"/>
  <c r="Q11" i="1974"/>
  <c r="P11" i="1974"/>
  <c r="AC11" i="1974" s="1"/>
  <c r="AD11" i="1974" s="1"/>
  <c r="O11" i="1974"/>
  <c r="M11" i="1974"/>
  <c r="K11" i="1974"/>
  <c r="AF10" i="1974"/>
  <c r="Q10" i="1974"/>
  <c r="P10" i="1974"/>
  <c r="AC10" i="1974" s="1"/>
  <c r="O10" i="1974"/>
  <c r="AB10" i="1974"/>
  <c r="AF9" i="1974"/>
  <c r="AB9" i="1974"/>
  <c r="Q9" i="1974"/>
  <c r="P9" i="1974"/>
  <c r="AC9" i="1974" s="1"/>
  <c r="AD9" i="1974" s="1"/>
  <c r="O9" i="1974"/>
  <c r="M9" i="1974"/>
  <c r="AF8" i="1974"/>
  <c r="Q8" i="1974"/>
  <c r="O8" i="1974"/>
  <c r="AF7" i="1974"/>
  <c r="Q7" i="1974"/>
  <c r="P7" i="1974"/>
  <c r="AC7" i="1974" s="1"/>
  <c r="AB7" i="1974"/>
  <c r="AF6" i="1974"/>
  <c r="AB6" i="1974"/>
  <c r="Q6" i="1974"/>
  <c r="P6" i="1974"/>
  <c r="AC6" i="1974" s="1"/>
  <c r="O6" i="1974"/>
  <c r="M6" i="1974"/>
  <c r="AB28" i="1973"/>
  <c r="AC28" i="1973"/>
  <c r="AD28" i="1973"/>
  <c r="L27" i="1973"/>
  <c r="L26" i="1973"/>
  <c r="L25" i="1973"/>
  <c r="P25" i="1973" s="1"/>
  <c r="AC25" i="1973" s="1"/>
  <c r="L24" i="1973"/>
  <c r="K24" i="1973" s="1"/>
  <c r="K27" i="1973"/>
  <c r="K26" i="1973"/>
  <c r="K25" i="1973"/>
  <c r="K23" i="1973"/>
  <c r="K22" i="1973"/>
  <c r="AF26" i="1973"/>
  <c r="AB26" i="1973"/>
  <c r="Q26" i="1973"/>
  <c r="P26" i="1973" s="1"/>
  <c r="AC26" i="1973" s="1"/>
  <c r="O26" i="1973"/>
  <c r="M26" i="1973"/>
  <c r="AF25" i="1973"/>
  <c r="Q25" i="1973"/>
  <c r="M25" i="1973"/>
  <c r="AF24" i="1973"/>
  <c r="AB24" i="1973"/>
  <c r="Q24" i="1973"/>
  <c r="P24" i="1973" s="1"/>
  <c r="AC24" i="1973" s="1"/>
  <c r="O24" i="1973"/>
  <c r="M24" i="1973"/>
  <c r="AF23" i="1973"/>
  <c r="AB23" i="1973"/>
  <c r="Q23" i="1973"/>
  <c r="P23" i="1973"/>
  <c r="AC23" i="1973" s="1"/>
  <c r="AD23" i="1973" s="1"/>
  <c r="O23" i="1973"/>
  <c r="M23" i="1973"/>
  <c r="AF22" i="1973"/>
  <c r="AC22" i="1973"/>
  <c r="AD22" i="1973" s="1"/>
  <c r="AB22" i="1973"/>
  <c r="Q22" i="1973"/>
  <c r="P22" i="1973"/>
  <c r="O22" i="1973"/>
  <c r="M22" i="1973"/>
  <c r="AF21" i="1973"/>
  <c r="AB21" i="1973"/>
  <c r="Q21" i="1973"/>
  <c r="P21" i="1973"/>
  <c r="AC21" i="1973" s="1"/>
  <c r="AD21" i="1973" s="1"/>
  <c r="O21" i="1973"/>
  <c r="M21" i="1973"/>
  <c r="K21" i="1973"/>
  <c r="L20" i="1973"/>
  <c r="M20" i="1973" s="1"/>
  <c r="L19" i="1973"/>
  <c r="AB19" i="1973" s="1"/>
  <c r="L18" i="1973"/>
  <c r="L17" i="1973"/>
  <c r="K17" i="1973" s="1"/>
  <c r="L16" i="1973"/>
  <c r="K16" i="1973" s="1"/>
  <c r="L13" i="1973"/>
  <c r="K13" i="1973" s="1"/>
  <c r="L10" i="1973"/>
  <c r="K10" i="1973" s="1"/>
  <c r="L9" i="1973"/>
  <c r="K9" i="1973" s="1"/>
  <c r="L8" i="1973"/>
  <c r="K8" i="1973" s="1"/>
  <c r="L7" i="1973"/>
  <c r="K6" i="1973"/>
  <c r="K11" i="1973"/>
  <c r="K7" i="1973"/>
  <c r="A83" i="1973"/>
  <c r="A84" i="1973" s="1"/>
  <c r="A85" i="1973" s="1"/>
  <c r="A86" i="1973" s="1"/>
  <c r="A87" i="1973" s="1"/>
  <c r="A88" i="1973" s="1"/>
  <c r="AF69" i="1973"/>
  <c r="AF67" i="1973"/>
  <c r="AF66" i="1973"/>
  <c r="AA28" i="1973"/>
  <c r="Z28" i="1973"/>
  <c r="Y28" i="1973"/>
  <c r="X28" i="1973"/>
  <c r="W28" i="1973"/>
  <c r="V28" i="1973"/>
  <c r="U28" i="1973"/>
  <c r="T28" i="1973"/>
  <c r="S28" i="1973"/>
  <c r="R28" i="1973"/>
  <c r="N28" i="1973"/>
  <c r="J28" i="1973"/>
  <c r="I28" i="1973"/>
  <c r="AF27" i="1973"/>
  <c r="AB27" i="1973"/>
  <c r="Q27" i="1973"/>
  <c r="P27" i="1973" s="1"/>
  <c r="AC27" i="1973" s="1"/>
  <c r="O27" i="1973"/>
  <c r="M27" i="1973"/>
  <c r="AF20" i="1973"/>
  <c r="AB20" i="1973"/>
  <c r="Q20" i="1973"/>
  <c r="AF19" i="1973"/>
  <c r="Q19" i="1973"/>
  <c r="AF18" i="1973"/>
  <c r="Q18" i="1973"/>
  <c r="O18" i="1973"/>
  <c r="AB18" i="1973"/>
  <c r="AF17" i="1973"/>
  <c r="Q17" i="1973"/>
  <c r="O17" i="1973"/>
  <c r="AF16" i="1973"/>
  <c r="Q16" i="1973"/>
  <c r="AF15" i="1973"/>
  <c r="AB15" i="1973"/>
  <c r="Q15" i="1973"/>
  <c r="P15" i="1973"/>
  <c r="AC15" i="1973" s="1"/>
  <c r="O15" i="1973"/>
  <c r="M15" i="1973"/>
  <c r="K15" i="1973"/>
  <c r="AF14" i="1973"/>
  <c r="AC14" i="1973"/>
  <c r="AB14" i="1973"/>
  <c r="Q14" i="1973"/>
  <c r="P14" i="1973"/>
  <c r="O14" i="1973"/>
  <c r="M14" i="1973"/>
  <c r="K14" i="1973"/>
  <c r="AF13" i="1973"/>
  <c r="Q13" i="1973"/>
  <c r="AB13" i="1973"/>
  <c r="AF12" i="1973"/>
  <c r="AB12" i="1973"/>
  <c r="Q12" i="1973"/>
  <c r="P12" i="1973"/>
  <c r="AC12" i="1973" s="1"/>
  <c r="O12" i="1973"/>
  <c r="M12" i="1973"/>
  <c r="K12" i="1973"/>
  <c r="AF11" i="1973"/>
  <c r="AB11" i="1973"/>
  <c r="Q11" i="1973"/>
  <c r="P11" i="1973"/>
  <c r="AC11" i="1973" s="1"/>
  <c r="O11" i="1973"/>
  <c r="M11" i="1973"/>
  <c r="AF10" i="1973"/>
  <c r="Q10" i="1973"/>
  <c r="AF9" i="1973"/>
  <c r="Q9" i="1973"/>
  <c r="P9" i="1973"/>
  <c r="AC9" i="1973" s="1"/>
  <c r="AF8" i="1973"/>
  <c r="AB8" i="1973"/>
  <c r="Q8" i="1973"/>
  <c r="P8" i="1973" s="1"/>
  <c r="AC8" i="1973" s="1"/>
  <c r="M8" i="1973"/>
  <c r="O8" i="1973"/>
  <c r="AF7" i="1973"/>
  <c r="Q7" i="1973"/>
  <c r="AB7" i="1973"/>
  <c r="AF6" i="1973"/>
  <c r="AB6" i="1973"/>
  <c r="Q6" i="1973"/>
  <c r="O6" i="1973"/>
  <c r="M6" i="1973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0" i="1972"/>
  <c r="L19" i="1972"/>
  <c r="L18" i="1972"/>
  <c r="K18" i="1972"/>
  <c r="L17" i="1972"/>
  <c r="L16" i="1972"/>
  <c r="K16" i="1972" s="1"/>
  <c r="L13" i="1972"/>
  <c r="L10" i="1972"/>
  <c r="L9" i="1972"/>
  <c r="L8" i="1972"/>
  <c r="K8" i="1972" s="1"/>
  <c r="L7" i="1972"/>
  <c r="K7" i="1972"/>
  <c r="L6" i="1972"/>
  <c r="P20" i="1975" l="1"/>
  <c r="AC20" i="1975" s="1"/>
  <c r="AD20" i="1975" s="1"/>
  <c r="AD16" i="1975"/>
  <c r="P12" i="1975"/>
  <c r="AC12" i="1975" s="1"/>
  <c r="AD12" i="1975" s="1"/>
  <c r="P8" i="1975"/>
  <c r="AC8" i="1975" s="1"/>
  <c r="Q28" i="1975"/>
  <c r="L28" i="1975"/>
  <c r="O28" i="1975" s="1"/>
  <c r="AD11" i="1975"/>
  <c r="AD7" i="1975"/>
  <c r="AD21" i="1975"/>
  <c r="AD14" i="1975"/>
  <c r="AD9" i="1975"/>
  <c r="AD18" i="1975"/>
  <c r="O6" i="1975"/>
  <c r="AC6" i="1975"/>
  <c r="M8" i="1975"/>
  <c r="AB8" i="1975"/>
  <c r="P10" i="1975"/>
  <c r="AC10" i="1975" s="1"/>
  <c r="AD10" i="1975" s="1"/>
  <c r="P13" i="1975"/>
  <c r="AC13" i="1975" s="1"/>
  <c r="AD13" i="1975" s="1"/>
  <c r="M17" i="1975"/>
  <c r="AB17" i="1975"/>
  <c r="AD17" i="1975" s="1"/>
  <c r="P19" i="1975"/>
  <c r="AC19" i="1975" s="1"/>
  <c r="P24" i="1975"/>
  <c r="AC24" i="1975" s="1"/>
  <c r="AD24" i="1975" s="1"/>
  <c r="M26" i="1975"/>
  <c r="AB26" i="1975"/>
  <c r="O27" i="1975"/>
  <c r="AD27" i="1975" s="1"/>
  <c r="O8" i="1975"/>
  <c r="M25" i="1975"/>
  <c r="AB25" i="1975"/>
  <c r="AD25" i="1975" s="1"/>
  <c r="O26" i="1975"/>
  <c r="K28" i="1975"/>
  <c r="M10" i="1975"/>
  <c r="M13" i="1975"/>
  <c r="M19" i="1975"/>
  <c r="AB19" i="1975"/>
  <c r="M24" i="1975"/>
  <c r="P19" i="1974"/>
  <c r="AC19" i="1974" s="1"/>
  <c r="AD17" i="1974"/>
  <c r="AD14" i="1974"/>
  <c r="AD6" i="1974"/>
  <c r="Q28" i="1974"/>
  <c r="AD22" i="1974"/>
  <c r="K25" i="1974"/>
  <c r="AD15" i="1974"/>
  <c r="AD24" i="1974"/>
  <c r="AD18" i="1974"/>
  <c r="AD7" i="1974"/>
  <c r="AD10" i="1974"/>
  <c r="AD26" i="1974"/>
  <c r="O7" i="1974"/>
  <c r="K28" i="1974"/>
  <c r="P8" i="1974"/>
  <c r="AC8" i="1974" s="1"/>
  <c r="M10" i="1974"/>
  <c r="O13" i="1974"/>
  <c r="AD13" i="1974" s="1"/>
  <c r="P16" i="1974"/>
  <c r="AC16" i="1974" s="1"/>
  <c r="M18" i="1974"/>
  <c r="O19" i="1974"/>
  <c r="AD19" i="1974" s="1"/>
  <c r="P20" i="1974"/>
  <c r="AC20" i="1974" s="1"/>
  <c r="P25" i="1974"/>
  <c r="AC25" i="1974" s="1"/>
  <c r="M27" i="1974"/>
  <c r="AB27" i="1974"/>
  <c r="AD27" i="1974" s="1"/>
  <c r="L28" i="1974"/>
  <c r="O28" i="1974" s="1"/>
  <c r="M8" i="1974"/>
  <c r="AB8" i="1974"/>
  <c r="M16" i="1974"/>
  <c r="AB16" i="1974"/>
  <c r="M20" i="1974"/>
  <c r="AB20" i="1974"/>
  <c r="M25" i="1974"/>
  <c r="AB25" i="1974"/>
  <c r="M7" i="1974"/>
  <c r="M13" i="1974"/>
  <c r="M19" i="1974"/>
  <c r="AD26" i="1973"/>
  <c r="AD24" i="1973"/>
  <c r="AB25" i="1973"/>
  <c r="AD25" i="1973" s="1"/>
  <c r="O25" i="1973"/>
  <c r="O9" i="1973"/>
  <c r="P17" i="1973"/>
  <c r="AC17" i="1973" s="1"/>
  <c r="AD27" i="1973"/>
  <c r="M17" i="1973"/>
  <c r="AB17" i="1973"/>
  <c r="O20" i="1973"/>
  <c r="K20" i="1973"/>
  <c r="K19" i="1973"/>
  <c r="K28" i="1973" s="1"/>
  <c r="P18" i="1973"/>
  <c r="AC18" i="1973" s="1"/>
  <c r="K18" i="1973"/>
  <c r="AD17" i="1973"/>
  <c r="AB16" i="1973"/>
  <c r="O16" i="1973"/>
  <c r="M16" i="1973"/>
  <c r="M10" i="1973"/>
  <c r="AB10" i="1973"/>
  <c r="O10" i="1973"/>
  <c r="L28" i="1973"/>
  <c r="O28" i="1973" s="1"/>
  <c r="P10" i="1973"/>
  <c r="AC10" i="1973" s="1"/>
  <c r="Q28" i="1973"/>
  <c r="P6" i="1973"/>
  <c r="AC6" i="1973" s="1"/>
  <c r="AD6" i="1973" s="1"/>
  <c r="AD12" i="1973"/>
  <c r="AD11" i="1973"/>
  <c r="AD14" i="1973"/>
  <c r="AD15" i="1973"/>
  <c r="AD8" i="1973"/>
  <c r="AD18" i="1973"/>
  <c r="P16" i="1973"/>
  <c r="AC16" i="1973" s="1"/>
  <c r="AD16" i="1973" s="1"/>
  <c r="M18" i="1973"/>
  <c r="O19" i="1973"/>
  <c r="P20" i="1973"/>
  <c r="AC20" i="1973" s="1"/>
  <c r="O7" i="1973"/>
  <c r="O13" i="1973"/>
  <c r="P7" i="1973"/>
  <c r="AC7" i="1973" s="1"/>
  <c r="M9" i="1973"/>
  <c r="AB9" i="1973"/>
  <c r="AD9" i="1973" s="1"/>
  <c r="P13" i="1973"/>
  <c r="AC13" i="1973" s="1"/>
  <c r="P19" i="1973"/>
  <c r="AC19" i="1973" s="1"/>
  <c r="AD19" i="1973" s="1"/>
  <c r="M7" i="1973"/>
  <c r="M13" i="1973"/>
  <c r="M19" i="1973"/>
  <c r="K20" i="1972"/>
  <c r="K19" i="1972"/>
  <c r="K17" i="1972"/>
  <c r="K13" i="1972"/>
  <c r="K12" i="1972"/>
  <c r="K11" i="1972"/>
  <c r="K10" i="1972"/>
  <c r="K9" i="1972"/>
  <c r="K6" i="1972"/>
  <c r="A77" i="1972"/>
  <c r="A78" i="1972" s="1"/>
  <c r="A79" i="1972" s="1"/>
  <c r="A80" i="1972" s="1"/>
  <c r="A81" i="1972" s="1"/>
  <c r="A82" i="1972" s="1"/>
  <c r="AF61" i="1972"/>
  <c r="AF60" i="1972"/>
  <c r="AA22" i="1972"/>
  <c r="Z22" i="1972"/>
  <c r="Y22" i="1972"/>
  <c r="X22" i="1972"/>
  <c r="W22" i="1972"/>
  <c r="V22" i="1972"/>
  <c r="U22" i="1972"/>
  <c r="T22" i="1972"/>
  <c r="S22" i="1972"/>
  <c r="R22" i="1972"/>
  <c r="N22" i="1972"/>
  <c r="J22" i="1972"/>
  <c r="I22" i="1972"/>
  <c r="AF21" i="1972"/>
  <c r="AB21" i="1972"/>
  <c r="Q21" i="1972"/>
  <c r="P21" i="1972"/>
  <c r="AC21" i="1972" s="1"/>
  <c r="AD21" i="1972" s="1"/>
  <c r="O21" i="1972"/>
  <c r="M21" i="1972"/>
  <c r="K21" i="1972"/>
  <c r="AF20" i="1972"/>
  <c r="Q20" i="1972"/>
  <c r="O20" i="1972"/>
  <c r="AF19" i="1972"/>
  <c r="Q19" i="1972"/>
  <c r="P19" i="1972" s="1"/>
  <c r="AC19" i="1972" s="1"/>
  <c r="AB19" i="1972"/>
  <c r="AF18" i="1972"/>
  <c r="AB18" i="1972"/>
  <c r="Q18" i="1972"/>
  <c r="P18" i="1972" s="1"/>
  <c r="AC18" i="1972" s="1"/>
  <c r="O18" i="1972"/>
  <c r="M18" i="1972"/>
  <c r="AF17" i="1972"/>
  <c r="AB17" i="1972"/>
  <c r="Q17" i="1972"/>
  <c r="O17" i="1972"/>
  <c r="M17" i="1972"/>
  <c r="P17" i="1972"/>
  <c r="AC17" i="1972" s="1"/>
  <c r="AF16" i="1972"/>
  <c r="AB16" i="1972"/>
  <c r="Q16" i="1972"/>
  <c r="P16" i="1972" s="1"/>
  <c r="AC16" i="1972" s="1"/>
  <c r="O16" i="1972"/>
  <c r="M16" i="1972"/>
  <c r="AF15" i="1972"/>
  <c r="AB15" i="1972"/>
  <c r="Q15" i="1972"/>
  <c r="P15" i="1972"/>
  <c r="AC15" i="1972" s="1"/>
  <c r="O15" i="1972"/>
  <c r="M15" i="1972"/>
  <c r="K15" i="1972"/>
  <c r="AF14" i="1972"/>
  <c r="AB14" i="1972"/>
  <c r="Q14" i="1972"/>
  <c r="P14" i="1972"/>
  <c r="AC14" i="1972" s="1"/>
  <c r="O14" i="1972"/>
  <c r="M14" i="1972"/>
  <c r="K14" i="1972"/>
  <c r="AF13" i="1972"/>
  <c r="AB13" i="1972"/>
  <c r="Q13" i="1972"/>
  <c r="P13" i="1972" s="1"/>
  <c r="AC13" i="1972" s="1"/>
  <c r="O13" i="1972"/>
  <c r="M13" i="1972"/>
  <c r="AF12" i="1972"/>
  <c r="Q12" i="1972"/>
  <c r="O12" i="1972"/>
  <c r="AF11" i="1972"/>
  <c r="Q11" i="1972"/>
  <c r="P11" i="1972" s="1"/>
  <c r="AC11" i="1972" s="1"/>
  <c r="AB11" i="1972"/>
  <c r="AF10" i="1972"/>
  <c r="Q10" i="1972"/>
  <c r="P10" i="1972"/>
  <c r="AC10" i="1972" s="1"/>
  <c r="O10" i="1972"/>
  <c r="AB10" i="1972"/>
  <c r="AF9" i="1972"/>
  <c r="AB9" i="1972"/>
  <c r="Q9" i="1972"/>
  <c r="P9" i="1972" s="1"/>
  <c r="AC9" i="1972" s="1"/>
  <c r="O9" i="1972"/>
  <c r="M9" i="1972"/>
  <c r="AF8" i="1972"/>
  <c r="Q8" i="1972"/>
  <c r="O8" i="1972"/>
  <c r="AF7" i="1972"/>
  <c r="Q7" i="1972"/>
  <c r="P7" i="1972" s="1"/>
  <c r="AC7" i="1972" s="1"/>
  <c r="O7" i="1972"/>
  <c r="AB7" i="1972"/>
  <c r="AF6" i="1972"/>
  <c r="AB6" i="1972"/>
  <c r="Q6" i="1972"/>
  <c r="P6" i="1972" s="1"/>
  <c r="AC6" i="1972" s="1"/>
  <c r="O6" i="1972"/>
  <c r="M6" i="1972"/>
  <c r="L22" i="1972"/>
  <c r="O22" i="1972" s="1"/>
  <c r="AA19" i="16"/>
  <c r="AA18" i="16"/>
  <c r="AA17" i="16"/>
  <c r="AA16" i="16"/>
  <c r="AA15" i="16"/>
  <c r="AA14" i="16"/>
  <c r="AA13" i="16"/>
  <c r="AD26" i="1975" l="1"/>
  <c r="AB28" i="1975"/>
  <c r="M28" i="1975"/>
  <c r="AD8" i="1975"/>
  <c r="AD6" i="1975"/>
  <c r="AC28" i="1975"/>
  <c r="AD19" i="1975"/>
  <c r="P28" i="1975"/>
  <c r="AD16" i="1974"/>
  <c r="AB28" i="1974"/>
  <c r="M28" i="1974"/>
  <c r="P28" i="1974"/>
  <c r="AD20" i="1974"/>
  <c r="AD8" i="1974"/>
  <c r="AC28" i="1974"/>
  <c r="AD25" i="1974"/>
  <c r="AD20" i="1973"/>
  <c r="AD10" i="1973"/>
  <c r="M28" i="1973"/>
  <c r="AD13" i="1973"/>
  <c r="AD7" i="1973"/>
  <c r="P28" i="1973"/>
  <c r="AF63" i="1972"/>
  <c r="AD15" i="1972"/>
  <c r="AD17" i="1972"/>
  <c r="AD18" i="1972"/>
  <c r="Q22" i="1972"/>
  <c r="AD9" i="1972"/>
  <c r="AD13" i="1972"/>
  <c r="AD14" i="1972"/>
  <c r="AD16" i="1972"/>
  <c r="AD7" i="1972"/>
  <c r="AD10" i="1972"/>
  <c r="M20" i="1972"/>
  <c r="AD6" i="1972"/>
  <c r="M7" i="1972"/>
  <c r="K22" i="1972"/>
  <c r="P8" i="1972"/>
  <c r="AC8" i="1972" s="1"/>
  <c r="M10" i="1972"/>
  <c r="O11" i="1972"/>
  <c r="AD11" i="1972" s="1"/>
  <c r="P12" i="1972"/>
  <c r="AC12" i="1972" s="1"/>
  <c r="O19" i="1972"/>
  <c r="AD19" i="1972" s="1"/>
  <c r="P20" i="1972"/>
  <c r="AC20" i="1972" s="1"/>
  <c r="M8" i="1972"/>
  <c r="AB8" i="1972"/>
  <c r="AB22" i="1972" s="1"/>
  <c r="M12" i="1972"/>
  <c r="AB12" i="1972"/>
  <c r="AB20" i="1972"/>
  <c r="M11" i="1972"/>
  <c r="M19" i="1972"/>
  <c r="AA12" i="16"/>
  <c r="AA11" i="16"/>
  <c r="AA10" i="16"/>
  <c r="AA9" i="16"/>
  <c r="AA8" i="16"/>
  <c r="AA7" i="16"/>
  <c r="AA6" i="16"/>
  <c r="AA5" i="16"/>
  <c r="AA4" i="16"/>
  <c r="AA3" i="16"/>
  <c r="L22" i="1971"/>
  <c r="L21" i="1971"/>
  <c r="L20" i="1971"/>
  <c r="K20" i="1971" s="1"/>
  <c r="L19" i="1971"/>
  <c r="L18" i="1971"/>
  <c r="K18" i="1971" s="1"/>
  <c r="AF18" i="1971"/>
  <c r="Q18" i="1971"/>
  <c r="L14" i="1971"/>
  <c r="K14" i="1971" s="1"/>
  <c r="L13" i="1971"/>
  <c r="L12" i="1971"/>
  <c r="L11" i="1971"/>
  <c r="L10" i="1971"/>
  <c r="L9" i="1971"/>
  <c r="K9" i="1971" s="1"/>
  <c r="AF9" i="1971"/>
  <c r="Q9" i="1971"/>
  <c r="P9" i="1971" s="1"/>
  <c r="AC9" i="1971" s="1"/>
  <c r="L8" i="1971"/>
  <c r="L7" i="1971"/>
  <c r="K7" i="1971" s="1"/>
  <c r="L6" i="1971"/>
  <c r="K6" i="1971" s="1"/>
  <c r="AD28" i="1975" l="1"/>
  <c r="AE26" i="1975" s="1"/>
  <c r="AD28" i="1974"/>
  <c r="AD20" i="1972"/>
  <c r="M22" i="1972"/>
  <c r="AD12" i="1972"/>
  <c r="AD8" i="1972"/>
  <c r="AC22" i="1972"/>
  <c r="P22" i="1972"/>
  <c r="AB18" i="1971"/>
  <c r="P18" i="1971"/>
  <c r="AC18" i="1971" s="1"/>
  <c r="M18" i="1971"/>
  <c r="O18" i="1971"/>
  <c r="AB9" i="1971"/>
  <c r="M9" i="1971"/>
  <c r="O9" i="1971"/>
  <c r="AD9" i="1971" s="1"/>
  <c r="AE6" i="1975" l="1"/>
  <c r="AE19" i="1975"/>
  <c r="AE14" i="1975"/>
  <c r="AE22" i="1975"/>
  <c r="AE21" i="1975"/>
  <c r="AE25" i="1975"/>
  <c r="AE23" i="1975"/>
  <c r="AE7" i="1975"/>
  <c r="AE13" i="1975"/>
  <c r="AE9" i="1975"/>
  <c r="AE27" i="1975"/>
  <c r="AE20" i="1975"/>
  <c r="AE15" i="1975"/>
  <c r="AE12" i="1975"/>
  <c r="AE11" i="1975"/>
  <c r="AE17" i="1975"/>
  <c r="AE16" i="1975"/>
  <c r="AE10" i="1975"/>
  <c r="AE24" i="1975"/>
  <c r="AE18" i="1975"/>
  <c r="AE8" i="1975"/>
  <c r="AE27" i="1974"/>
  <c r="AE23" i="1974"/>
  <c r="AE21" i="1974"/>
  <c r="AE18" i="1974"/>
  <c r="AE12" i="1974"/>
  <c r="AE10" i="1974"/>
  <c r="AE6" i="1974"/>
  <c r="AE11" i="1974"/>
  <c r="AE24" i="1974"/>
  <c r="AE19" i="1974"/>
  <c r="AE15" i="1974"/>
  <c r="AE13" i="1974"/>
  <c r="AE7" i="1974"/>
  <c r="AE8" i="1974"/>
  <c r="AE25" i="1974"/>
  <c r="AE22" i="1974"/>
  <c r="AE20" i="1974"/>
  <c r="AE16" i="1974"/>
  <c r="AE26" i="1974"/>
  <c r="AE17" i="1974"/>
  <c r="AE14" i="1974"/>
  <c r="AE9" i="1974"/>
  <c r="AE18" i="1973"/>
  <c r="AE21" i="1973"/>
  <c r="AE26" i="1973"/>
  <c r="AE24" i="1973"/>
  <c r="AE22" i="1973"/>
  <c r="AE25" i="1973"/>
  <c r="AE23" i="1973"/>
  <c r="AE11" i="1973"/>
  <c r="AE10" i="1973"/>
  <c r="AE9" i="1973"/>
  <c r="AE16" i="1973"/>
  <c r="AE15" i="1973"/>
  <c r="AE12" i="1973"/>
  <c r="AE8" i="1973"/>
  <c r="AE7" i="1973"/>
  <c r="AE6" i="1973"/>
  <c r="AE17" i="1973"/>
  <c r="AE13" i="1973"/>
  <c r="AE14" i="1973"/>
  <c r="AE20" i="1973"/>
  <c r="AE19" i="1973"/>
  <c r="AE27" i="1973"/>
  <c r="AD22" i="1972"/>
  <c r="AE18" i="1972" s="1"/>
  <c r="AD18" i="1971"/>
  <c r="AE8" i="1972" l="1"/>
  <c r="AE20" i="1972"/>
  <c r="AE17" i="1972"/>
  <c r="AE6" i="1972"/>
  <c r="AE9" i="1972"/>
  <c r="AE16" i="1972"/>
  <c r="AE19" i="1972"/>
  <c r="AE21" i="1972"/>
  <c r="AE13" i="1972"/>
  <c r="AE12" i="1972"/>
  <c r="AE11" i="1972"/>
  <c r="AE10" i="1972"/>
  <c r="AE7" i="1972"/>
  <c r="AE15" i="1972"/>
  <c r="AE14" i="1972"/>
  <c r="K22" i="1971"/>
  <c r="K21" i="1971"/>
  <c r="K19" i="1971"/>
  <c r="K17" i="1971"/>
  <c r="K13" i="1971"/>
  <c r="K12" i="1971"/>
  <c r="K11" i="1971"/>
  <c r="K10" i="1971"/>
  <c r="K8" i="1971"/>
  <c r="A79" i="1971"/>
  <c r="A80" i="1971" s="1"/>
  <c r="A81" i="1971" s="1"/>
  <c r="A82" i="1971" s="1"/>
  <c r="A83" i="1971" s="1"/>
  <c r="A84" i="1971" s="1"/>
  <c r="AF63" i="1971"/>
  <c r="AF62" i="1971"/>
  <c r="AF65" i="1971" s="1"/>
  <c r="AA24" i="1971"/>
  <c r="Z24" i="1971"/>
  <c r="Y24" i="1971"/>
  <c r="X24" i="1971"/>
  <c r="W24" i="1971"/>
  <c r="V24" i="1971"/>
  <c r="U24" i="1971"/>
  <c r="T24" i="1971"/>
  <c r="S24" i="1971"/>
  <c r="R24" i="1971"/>
  <c r="N24" i="1971"/>
  <c r="J24" i="1971"/>
  <c r="I24" i="1971"/>
  <c r="AF23" i="1971"/>
  <c r="AB23" i="1971"/>
  <c r="Q23" i="1971"/>
  <c r="P23" i="1971"/>
  <c r="AC23" i="1971" s="1"/>
  <c r="O23" i="1971"/>
  <c r="M23" i="1971"/>
  <c r="K23" i="1971"/>
  <c r="AF22" i="1971"/>
  <c r="AB22" i="1971"/>
  <c r="Q22" i="1971"/>
  <c r="P22" i="1971" s="1"/>
  <c r="AC22" i="1971" s="1"/>
  <c r="O22" i="1971"/>
  <c r="M22" i="1971"/>
  <c r="AF21" i="1971"/>
  <c r="Q21" i="1971"/>
  <c r="M21" i="1971"/>
  <c r="AF20" i="1971"/>
  <c r="AB20" i="1971"/>
  <c r="Q20" i="1971"/>
  <c r="P20" i="1971" s="1"/>
  <c r="AC20" i="1971" s="1"/>
  <c r="O20" i="1971"/>
  <c r="M20" i="1971"/>
  <c r="AF19" i="1971"/>
  <c r="AB19" i="1971"/>
  <c r="Q19" i="1971"/>
  <c r="O19" i="1971"/>
  <c r="M19" i="1971"/>
  <c r="P19" i="1971"/>
  <c r="AC19" i="1971" s="1"/>
  <c r="AD19" i="1971" s="1"/>
  <c r="AF17" i="1971"/>
  <c r="Q17" i="1971"/>
  <c r="P17" i="1971" s="1"/>
  <c r="AC17" i="1971" s="1"/>
  <c r="AF16" i="1971"/>
  <c r="AB16" i="1971"/>
  <c r="Q16" i="1971"/>
  <c r="P16" i="1971"/>
  <c r="AC16" i="1971" s="1"/>
  <c r="O16" i="1971"/>
  <c r="M16" i="1971"/>
  <c r="K16" i="1971"/>
  <c r="AF15" i="1971"/>
  <c r="AB15" i="1971"/>
  <c r="Q15" i="1971"/>
  <c r="P15" i="1971"/>
  <c r="AC15" i="1971" s="1"/>
  <c r="AD15" i="1971" s="1"/>
  <c r="O15" i="1971"/>
  <c r="M15" i="1971"/>
  <c r="K15" i="1971"/>
  <c r="AF14" i="1971"/>
  <c r="AB14" i="1971"/>
  <c r="Q14" i="1971"/>
  <c r="P14" i="1971" s="1"/>
  <c r="AC14" i="1971" s="1"/>
  <c r="O14" i="1971"/>
  <c r="M14" i="1971"/>
  <c r="AF13" i="1971"/>
  <c r="AB13" i="1971"/>
  <c r="Q13" i="1971"/>
  <c r="P13" i="1971" s="1"/>
  <c r="AC13" i="1971" s="1"/>
  <c r="O13" i="1971"/>
  <c r="M13" i="1971"/>
  <c r="AF12" i="1971"/>
  <c r="AB12" i="1971"/>
  <c r="Q12" i="1971"/>
  <c r="P12" i="1971" s="1"/>
  <c r="AC12" i="1971" s="1"/>
  <c r="O12" i="1971"/>
  <c r="M12" i="1971"/>
  <c r="AF11" i="1971"/>
  <c r="AB11" i="1971"/>
  <c r="Q11" i="1971"/>
  <c r="P11" i="1971"/>
  <c r="AC11" i="1971" s="1"/>
  <c r="O11" i="1971"/>
  <c r="M11" i="1971"/>
  <c r="AF10" i="1971"/>
  <c r="AB10" i="1971"/>
  <c r="Q10" i="1971"/>
  <c r="P10" i="1971" s="1"/>
  <c r="AC10" i="1971" s="1"/>
  <c r="O10" i="1971"/>
  <c r="M10" i="1971"/>
  <c r="AF8" i="1971"/>
  <c r="Q8" i="1971"/>
  <c r="M8" i="1971"/>
  <c r="AF7" i="1971"/>
  <c r="Q7" i="1971"/>
  <c r="P7" i="1971" s="1"/>
  <c r="AC7" i="1971" s="1"/>
  <c r="O7" i="1971"/>
  <c r="AF6" i="1971"/>
  <c r="AB6" i="1971"/>
  <c r="Q6" i="1971"/>
  <c r="O6" i="1971"/>
  <c r="M6" i="1971"/>
  <c r="L24" i="1971"/>
  <c r="O24" i="1971" s="1"/>
  <c r="AD22" i="1971" l="1"/>
  <c r="AD23" i="1971"/>
  <c r="AD20" i="1971"/>
  <c r="AD11" i="1971"/>
  <c r="AD10" i="1971"/>
  <c r="Q24" i="1971"/>
  <c r="P6" i="1971"/>
  <c r="AC6" i="1971" s="1"/>
  <c r="AD6" i="1971" s="1"/>
  <c r="AD13" i="1971"/>
  <c r="AD16" i="1971"/>
  <c r="AD12" i="1971"/>
  <c r="AD14" i="1971"/>
  <c r="AB8" i="1971"/>
  <c r="M17" i="1971"/>
  <c r="M7" i="1971"/>
  <c r="AB7" i="1971"/>
  <c r="AD7" i="1971" s="1"/>
  <c r="O8" i="1971"/>
  <c r="O17" i="1971"/>
  <c r="O21" i="1971"/>
  <c r="AB17" i="1971"/>
  <c r="AB21" i="1971"/>
  <c r="P8" i="1971"/>
  <c r="AC8" i="1971" s="1"/>
  <c r="AC24" i="1971" s="1"/>
  <c r="K24" i="1971"/>
  <c r="P21" i="1971"/>
  <c r="AC21" i="1971" s="1"/>
  <c r="M24" i="1971" l="1"/>
  <c r="P24" i="1971"/>
  <c r="AD17" i="1971"/>
  <c r="AD8" i="1971"/>
  <c r="AB24" i="1971"/>
  <c r="AD21" i="1971"/>
  <c r="AD24" i="1971" l="1"/>
  <c r="AE20" i="1971" s="1"/>
  <c r="AE9" i="1971" l="1"/>
  <c r="AE18" i="1971"/>
  <c r="AE19" i="1971"/>
  <c r="AE10" i="1971"/>
  <c r="AE23" i="1971"/>
  <c r="AE15" i="1971"/>
  <c r="AE11" i="1971"/>
  <c r="AE16" i="1971"/>
  <c r="AE8" i="1971"/>
  <c r="AE17" i="1971"/>
  <c r="AE21" i="1971"/>
  <c r="AE22" i="1971"/>
  <c r="AE7" i="1971"/>
  <c r="AE6" i="1971"/>
  <c r="AE13" i="1971"/>
  <c r="AE12" i="1971"/>
  <c r="AE14" i="1971"/>
  <c r="Z19" i="16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0" i="1970"/>
  <c r="L19" i="1970"/>
  <c r="L17" i="1970"/>
  <c r="L16" i="1970"/>
  <c r="L12" i="1970"/>
  <c r="L10" i="1970"/>
  <c r="L9" i="1970"/>
  <c r="L8" i="1970"/>
  <c r="K8" i="1970"/>
  <c r="L7" i="1970"/>
  <c r="K7" i="1970" s="1"/>
  <c r="L6" i="1970"/>
  <c r="K20" i="1970" l="1"/>
  <c r="K19" i="1970"/>
  <c r="K18" i="1970"/>
  <c r="K17" i="1970"/>
  <c r="K16" i="1970"/>
  <c r="K14" i="1970"/>
  <c r="K13" i="1970"/>
  <c r="K12" i="1970"/>
  <c r="K11" i="1970"/>
  <c r="K10" i="1970"/>
  <c r="K9" i="1970"/>
  <c r="K6" i="1970"/>
  <c r="A79" i="1970"/>
  <c r="A80" i="1970" s="1"/>
  <c r="A81" i="1970" s="1"/>
  <c r="A82" i="1970" s="1"/>
  <c r="A78" i="1970"/>
  <c r="A77" i="1970"/>
  <c r="AF61" i="1970"/>
  <c r="AF60" i="1970"/>
  <c r="AF63" i="1970" s="1"/>
  <c r="AA22" i="1970"/>
  <c r="Z22" i="1970"/>
  <c r="Y22" i="1970"/>
  <c r="X22" i="1970"/>
  <c r="W22" i="1970"/>
  <c r="V22" i="1970"/>
  <c r="U22" i="1970"/>
  <c r="T22" i="1970"/>
  <c r="S22" i="1970"/>
  <c r="R22" i="1970"/>
  <c r="N22" i="1970"/>
  <c r="J22" i="1970"/>
  <c r="I22" i="1970"/>
  <c r="AF21" i="1970"/>
  <c r="AB21" i="1970"/>
  <c r="Q21" i="1970"/>
  <c r="P21" i="1970"/>
  <c r="AC21" i="1970" s="1"/>
  <c r="AD21" i="1970" s="1"/>
  <c r="O21" i="1970"/>
  <c r="M21" i="1970"/>
  <c r="K21" i="1970"/>
  <c r="AF20" i="1970"/>
  <c r="Q20" i="1970"/>
  <c r="O20" i="1970"/>
  <c r="AF19" i="1970"/>
  <c r="Q19" i="1970"/>
  <c r="P19" i="1970" s="1"/>
  <c r="AC19" i="1970" s="1"/>
  <c r="AB19" i="1970"/>
  <c r="AF18" i="1970"/>
  <c r="AB18" i="1970"/>
  <c r="Q18" i="1970"/>
  <c r="P18" i="1970" s="1"/>
  <c r="AC18" i="1970" s="1"/>
  <c r="O18" i="1970"/>
  <c r="M18" i="1970"/>
  <c r="AF17" i="1970"/>
  <c r="AB17" i="1970"/>
  <c r="Q17" i="1970"/>
  <c r="P17" i="1970" s="1"/>
  <c r="AC17" i="1970" s="1"/>
  <c r="O17" i="1970"/>
  <c r="M17" i="1970"/>
  <c r="AF16" i="1970"/>
  <c r="Q16" i="1970"/>
  <c r="O16" i="1970"/>
  <c r="AF15" i="1970"/>
  <c r="AB15" i="1970"/>
  <c r="Q15" i="1970"/>
  <c r="P15" i="1970"/>
  <c r="AC15" i="1970" s="1"/>
  <c r="O15" i="1970"/>
  <c r="M15" i="1970"/>
  <c r="K15" i="1970"/>
  <c r="AF14" i="1970"/>
  <c r="AB14" i="1970"/>
  <c r="Q14" i="1970"/>
  <c r="P14" i="1970" s="1"/>
  <c r="AC14" i="1970" s="1"/>
  <c r="AD14" i="1970" s="1"/>
  <c r="O14" i="1970"/>
  <c r="M14" i="1970"/>
  <c r="AF13" i="1970"/>
  <c r="AB13" i="1970"/>
  <c r="Q13" i="1970"/>
  <c r="P13" i="1970"/>
  <c r="AC13" i="1970" s="1"/>
  <c r="O13" i="1970"/>
  <c r="M13" i="1970"/>
  <c r="AF12" i="1970"/>
  <c r="AB12" i="1970"/>
  <c r="Q12" i="1970"/>
  <c r="P12" i="1970" s="1"/>
  <c r="AC12" i="1970" s="1"/>
  <c r="M12" i="1970"/>
  <c r="AF11" i="1970"/>
  <c r="Q11" i="1970"/>
  <c r="O11" i="1970"/>
  <c r="AF10" i="1970"/>
  <c r="Q10" i="1970"/>
  <c r="P10" i="1970"/>
  <c r="AC10" i="1970" s="1"/>
  <c r="O10" i="1970"/>
  <c r="AB10" i="1970"/>
  <c r="AF9" i="1970"/>
  <c r="AB9" i="1970"/>
  <c r="Q9" i="1970"/>
  <c r="P9" i="1970"/>
  <c r="AC9" i="1970" s="1"/>
  <c r="O9" i="1970"/>
  <c r="M9" i="1970"/>
  <c r="AF8" i="1970"/>
  <c r="AB8" i="1970"/>
  <c r="Q8" i="1970"/>
  <c r="M8" i="1970"/>
  <c r="P8" i="1970"/>
  <c r="AC8" i="1970" s="1"/>
  <c r="AF7" i="1970"/>
  <c r="Q7" i="1970"/>
  <c r="O7" i="1970"/>
  <c r="AF6" i="1970"/>
  <c r="Q6" i="1970"/>
  <c r="O6" i="1970"/>
  <c r="AB6" i="1970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0" i="1969"/>
  <c r="K20" i="1969" s="1"/>
  <c r="L19" i="1969"/>
  <c r="K19" i="1969" s="1"/>
  <c r="L18" i="1969"/>
  <c r="K18" i="1969" s="1"/>
  <c r="L17" i="1969"/>
  <c r="K17" i="1969"/>
  <c r="L16" i="1969"/>
  <c r="M16" i="1969" s="1"/>
  <c r="L12" i="1969"/>
  <c r="K12" i="1969" s="1"/>
  <c r="L11" i="1969"/>
  <c r="K11" i="1969"/>
  <c r="L10" i="1969"/>
  <c r="L9" i="1969"/>
  <c r="K9" i="1969" s="1"/>
  <c r="L8" i="1969"/>
  <c r="O8" i="1969" s="1"/>
  <c r="K8" i="1969"/>
  <c r="L7" i="1969"/>
  <c r="L6" i="1969"/>
  <c r="K6" i="1969" s="1"/>
  <c r="K21" i="1969"/>
  <c r="K16" i="1969"/>
  <c r="K14" i="1969"/>
  <c r="K13" i="1969"/>
  <c r="K10" i="1969"/>
  <c r="K7" i="1969"/>
  <c r="A78" i="1969"/>
  <c r="A79" i="1969" s="1"/>
  <c r="A80" i="1969" s="1"/>
  <c r="A81" i="1969" s="1"/>
  <c r="A82" i="1969" s="1"/>
  <c r="A77" i="1969"/>
  <c r="AF61" i="1969"/>
  <c r="AF60" i="1969"/>
  <c r="AF63" i="1969" s="1"/>
  <c r="AA22" i="1969"/>
  <c r="Z22" i="1969"/>
  <c r="Y22" i="1969"/>
  <c r="X22" i="1969"/>
  <c r="W22" i="1969"/>
  <c r="V22" i="1969"/>
  <c r="U22" i="1969"/>
  <c r="T22" i="1969"/>
  <c r="S22" i="1969"/>
  <c r="R22" i="1969"/>
  <c r="N22" i="1969"/>
  <c r="J22" i="1969"/>
  <c r="I22" i="1969"/>
  <c r="AF21" i="1969"/>
  <c r="AB21" i="1969"/>
  <c r="Q21" i="1969"/>
  <c r="M21" i="1969"/>
  <c r="P21" i="1969"/>
  <c r="AC21" i="1969" s="1"/>
  <c r="AF20" i="1969"/>
  <c r="Q20" i="1969"/>
  <c r="AF19" i="1969"/>
  <c r="Q19" i="1969"/>
  <c r="P19" i="1969"/>
  <c r="AC19" i="1969" s="1"/>
  <c r="AF18" i="1969"/>
  <c r="Q18" i="1969"/>
  <c r="AF17" i="1969"/>
  <c r="AB17" i="1969"/>
  <c r="Q17" i="1969"/>
  <c r="O17" i="1969"/>
  <c r="M17" i="1969"/>
  <c r="AF16" i="1969"/>
  <c r="Q16" i="1969"/>
  <c r="AF15" i="1969"/>
  <c r="AB15" i="1969"/>
  <c r="Q15" i="1969"/>
  <c r="P15" i="1969"/>
  <c r="AC15" i="1969" s="1"/>
  <c r="O15" i="1969"/>
  <c r="M15" i="1969"/>
  <c r="K15" i="1969"/>
  <c r="AF14" i="1969"/>
  <c r="AB14" i="1969"/>
  <c r="Q14" i="1969"/>
  <c r="P14" i="1969" s="1"/>
  <c r="AC14" i="1969" s="1"/>
  <c r="M14" i="1969"/>
  <c r="AF13" i="1969"/>
  <c r="Q13" i="1969"/>
  <c r="P13" i="1969"/>
  <c r="AC13" i="1969" s="1"/>
  <c r="AF12" i="1969"/>
  <c r="Q12" i="1969"/>
  <c r="P12" i="1969" s="1"/>
  <c r="AC12" i="1969" s="1"/>
  <c r="O12" i="1969"/>
  <c r="AB12" i="1969"/>
  <c r="AF11" i="1969"/>
  <c r="AB11" i="1969"/>
  <c r="Q11" i="1969"/>
  <c r="O11" i="1969"/>
  <c r="M11" i="1969"/>
  <c r="AF10" i="1969"/>
  <c r="AB10" i="1969"/>
  <c r="Q10" i="1969"/>
  <c r="M10" i="1969"/>
  <c r="P10" i="1969"/>
  <c r="AC10" i="1969" s="1"/>
  <c r="AF9" i="1969"/>
  <c r="Q9" i="1969"/>
  <c r="AF8" i="1969"/>
  <c r="Q8" i="1969"/>
  <c r="P8" i="1969"/>
  <c r="AC8" i="1969" s="1"/>
  <c r="AB8" i="1969"/>
  <c r="AF7" i="1969"/>
  <c r="AB7" i="1969"/>
  <c r="Q7" i="1969"/>
  <c r="P7" i="1969" s="1"/>
  <c r="AC7" i="1969" s="1"/>
  <c r="O7" i="1969"/>
  <c r="M7" i="1969"/>
  <c r="AF6" i="1969"/>
  <c r="AB6" i="1969"/>
  <c r="Q6" i="1969"/>
  <c r="O6" i="1969"/>
  <c r="M6" i="1969"/>
  <c r="AD18" i="1970" l="1"/>
  <c r="AD9" i="1970"/>
  <c r="Q22" i="1970"/>
  <c r="P6" i="1970"/>
  <c r="AD17" i="1970"/>
  <c r="AD13" i="1970"/>
  <c r="AD15" i="1970"/>
  <c r="AD10" i="1970"/>
  <c r="AC6" i="1970"/>
  <c r="K22" i="1970"/>
  <c r="P7" i="1970"/>
  <c r="AC7" i="1970" s="1"/>
  <c r="P11" i="1970"/>
  <c r="AC11" i="1970" s="1"/>
  <c r="P16" i="1970"/>
  <c r="AC16" i="1970" s="1"/>
  <c r="O19" i="1970"/>
  <c r="AD19" i="1970" s="1"/>
  <c r="P20" i="1970"/>
  <c r="AC20" i="1970" s="1"/>
  <c r="L22" i="1970"/>
  <c r="O22" i="1970" s="1"/>
  <c r="M7" i="1970"/>
  <c r="AB7" i="1970"/>
  <c r="O8" i="1970"/>
  <c r="AD8" i="1970" s="1"/>
  <c r="M11" i="1970"/>
  <c r="AB11" i="1970"/>
  <c r="O12" i="1970"/>
  <c r="AD12" i="1970" s="1"/>
  <c r="M16" i="1970"/>
  <c r="AB16" i="1970"/>
  <c r="M20" i="1970"/>
  <c r="AB20" i="1970"/>
  <c r="M6" i="1970"/>
  <c r="M10" i="1970"/>
  <c r="M19" i="1970"/>
  <c r="M20" i="1969"/>
  <c r="AB20" i="1969"/>
  <c r="O20" i="1969"/>
  <c r="P20" i="1969"/>
  <c r="AC20" i="1969" s="1"/>
  <c r="O18" i="1969"/>
  <c r="P18" i="1969"/>
  <c r="AC18" i="1969" s="1"/>
  <c r="P17" i="1969"/>
  <c r="AC17" i="1969" s="1"/>
  <c r="AD17" i="1969" s="1"/>
  <c r="P11" i="1969"/>
  <c r="AC11" i="1969" s="1"/>
  <c r="AD11" i="1969" s="1"/>
  <c r="M9" i="1969"/>
  <c r="L22" i="1969"/>
  <c r="O22" i="1969" s="1"/>
  <c r="Q22" i="1969"/>
  <c r="P6" i="1969"/>
  <c r="AC6" i="1969" s="1"/>
  <c r="AD7" i="1969"/>
  <c r="AD15" i="1969"/>
  <c r="AD12" i="1969"/>
  <c r="AD8" i="1969"/>
  <c r="AD14" i="1969"/>
  <c r="AD6" i="1969"/>
  <c r="AB9" i="1969"/>
  <c r="O10" i="1969"/>
  <c r="AD10" i="1969" s="1"/>
  <c r="M13" i="1969"/>
  <c r="AB13" i="1969"/>
  <c r="O14" i="1969"/>
  <c r="AB16" i="1969"/>
  <c r="M19" i="1969"/>
  <c r="AB19" i="1969"/>
  <c r="M8" i="1969"/>
  <c r="O9" i="1969"/>
  <c r="M12" i="1969"/>
  <c r="O13" i="1969"/>
  <c r="O16" i="1969"/>
  <c r="M18" i="1969"/>
  <c r="AB18" i="1969"/>
  <c r="O19" i="1969"/>
  <c r="K22" i="1969"/>
  <c r="P9" i="1969"/>
  <c r="AC9" i="1969" s="1"/>
  <c r="P16" i="1969"/>
  <c r="AC16" i="1969" s="1"/>
  <c r="O21" i="1969"/>
  <c r="AD21" i="1969" s="1"/>
  <c r="AD20" i="1970" l="1"/>
  <c r="AB22" i="1970"/>
  <c r="M22" i="1970"/>
  <c r="AD7" i="1970"/>
  <c r="AD11" i="1970"/>
  <c r="AC22" i="1970"/>
  <c r="AD6" i="1970"/>
  <c r="P22" i="1970"/>
  <c r="AD16" i="1970"/>
  <c r="AD20" i="1969"/>
  <c r="AD18" i="1969"/>
  <c r="M22" i="1969"/>
  <c r="AC22" i="1969"/>
  <c r="AB22" i="1969"/>
  <c r="AD19" i="1969"/>
  <c r="AD13" i="1969"/>
  <c r="AD9" i="1969"/>
  <c r="AD16" i="1969"/>
  <c r="P22" i="1969"/>
  <c r="AD22" i="1970" l="1"/>
  <c r="AE21" i="1970" s="1"/>
  <c r="AD22" i="1969"/>
  <c r="AE20" i="1969" s="1"/>
  <c r="AE12" i="1970" l="1"/>
  <c r="AE16" i="1970"/>
  <c r="AE13" i="1970"/>
  <c r="AE8" i="1970"/>
  <c r="AE10" i="1970"/>
  <c r="AE14" i="1970"/>
  <c r="AE20" i="1970"/>
  <c r="AE15" i="1970"/>
  <c r="AE11" i="1970"/>
  <c r="AE7" i="1970"/>
  <c r="AE17" i="1970"/>
  <c r="AE6" i="1970"/>
  <c r="AE19" i="1970"/>
  <c r="AE9" i="1970"/>
  <c r="AE18" i="1970"/>
  <c r="AE8" i="1969"/>
  <c r="AE6" i="1969"/>
  <c r="AE13" i="1969"/>
  <c r="AE7" i="1969"/>
  <c r="AE16" i="1969"/>
  <c r="AE11" i="1969"/>
  <c r="AE19" i="1969"/>
  <c r="AE12" i="1969"/>
  <c r="AE10" i="1969"/>
  <c r="AE15" i="1969"/>
  <c r="AE14" i="1969"/>
  <c r="AE9" i="1969"/>
  <c r="AE18" i="1969"/>
  <c r="AE17" i="1969"/>
  <c r="AE21" i="1969"/>
  <c r="X19" i="16" l="1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2" i="1968"/>
  <c r="K22" i="1968" s="1"/>
  <c r="L20" i="1968"/>
  <c r="K20" i="1968"/>
  <c r="L19" i="1968"/>
  <c r="L17" i="1968"/>
  <c r="K17" i="1968" s="1"/>
  <c r="L15" i="1968"/>
  <c r="L14" i="1968"/>
  <c r="M14" i="1968" s="1"/>
  <c r="L13" i="1968"/>
  <c r="M13" i="1968" s="1"/>
  <c r="K13" i="1968"/>
  <c r="L12" i="1968"/>
  <c r="AB12" i="1968" s="1"/>
  <c r="K12" i="1968"/>
  <c r="L11" i="1968"/>
  <c r="L10" i="1968"/>
  <c r="K10" i="1968" s="1"/>
  <c r="L9" i="1968"/>
  <c r="K9" i="1968" s="1"/>
  <c r="K8" i="1968"/>
  <c r="AF8" i="1968"/>
  <c r="AB8" i="1968"/>
  <c r="Q8" i="1968"/>
  <c r="P8" i="1968" s="1"/>
  <c r="AC8" i="1968" s="1"/>
  <c r="O8" i="1968"/>
  <c r="M8" i="1968"/>
  <c r="L6" i="1968"/>
  <c r="K6" i="1968" s="1"/>
  <c r="K19" i="1968"/>
  <c r="K15" i="1968"/>
  <c r="K11" i="1968"/>
  <c r="K7" i="1968"/>
  <c r="A78" i="1968"/>
  <c r="A79" i="1968" s="1"/>
  <c r="A80" i="1968" s="1"/>
  <c r="A81" i="1968" s="1"/>
  <c r="A82" i="1968" s="1"/>
  <c r="A83" i="1968" s="1"/>
  <c r="AF62" i="1968"/>
  <c r="AF61" i="1968"/>
  <c r="AA23" i="1968"/>
  <c r="Z23" i="1968"/>
  <c r="Y23" i="1968"/>
  <c r="X23" i="1968"/>
  <c r="W23" i="1968"/>
  <c r="V23" i="1968"/>
  <c r="U23" i="1968"/>
  <c r="T23" i="1968"/>
  <c r="S23" i="1968"/>
  <c r="R23" i="1968"/>
  <c r="N23" i="1968"/>
  <c r="J23" i="1968"/>
  <c r="I23" i="1968"/>
  <c r="AF22" i="1968"/>
  <c r="AB22" i="1968"/>
  <c r="Q22" i="1968"/>
  <c r="M22" i="1968"/>
  <c r="P22" i="1968"/>
  <c r="AC22" i="1968" s="1"/>
  <c r="AF21" i="1968"/>
  <c r="AB21" i="1968"/>
  <c r="Q21" i="1968"/>
  <c r="P21" i="1968"/>
  <c r="AC21" i="1968" s="1"/>
  <c r="O21" i="1968"/>
  <c r="M21" i="1968"/>
  <c r="K21" i="1968"/>
  <c r="AF20" i="1968"/>
  <c r="Q20" i="1968"/>
  <c r="O20" i="1968"/>
  <c r="M20" i="1968"/>
  <c r="AB20" i="1968"/>
  <c r="AF19" i="1968"/>
  <c r="AB19" i="1968"/>
  <c r="Q19" i="1968"/>
  <c r="P19" i="1968" s="1"/>
  <c r="AC19" i="1968" s="1"/>
  <c r="M19" i="1968"/>
  <c r="AF18" i="1968"/>
  <c r="AB18" i="1968"/>
  <c r="Q18" i="1968"/>
  <c r="P18" i="1968"/>
  <c r="AC18" i="1968" s="1"/>
  <c r="O18" i="1968"/>
  <c r="M18" i="1968"/>
  <c r="K18" i="1968"/>
  <c r="AF17" i="1968"/>
  <c r="AB17" i="1968"/>
  <c r="Q17" i="1968"/>
  <c r="P17" i="1968" s="1"/>
  <c r="AC17" i="1968" s="1"/>
  <c r="O17" i="1968"/>
  <c r="M17" i="1968"/>
  <c r="AF16" i="1968"/>
  <c r="AB16" i="1968"/>
  <c r="Q16" i="1968"/>
  <c r="P16" i="1968"/>
  <c r="AC16" i="1968" s="1"/>
  <c r="O16" i="1968"/>
  <c r="M16" i="1968"/>
  <c r="K16" i="1968"/>
  <c r="AF15" i="1968"/>
  <c r="Q15" i="1968"/>
  <c r="P15" i="1968" s="1"/>
  <c r="AC15" i="1968" s="1"/>
  <c r="O15" i="1968"/>
  <c r="AF14" i="1968"/>
  <c r="Q14" i="1968"/>
  <c r="O14" i="1968"/>
  <c r="AF13" i="1968"/>
  <c r="Q13" i="1968"/>
  <c r="O13" i="1968"/>
  <c r="AF12" i="1968"/>
  <c r="Q12" i="1968"/>
  <c r="P12" i="1968"/>
  <c r="AC12" i="1968" s="1"/>
  <c r="O12" i="1968"/>
  <c r="AF11" i="1968"/>
  <c r="AB11" i="1968"/>
  <c r="Q11" i="1968"/>
  <c r="O11" i="1968"/>
  <c r="M11" i="1968"/>
  <c r="P11" i="1968"/>
  <c r="AC11" i="1968" s="1"/>
  <c r="AF10" i="1968"/>
  <c r="AB10" i="1968"/>
  <c r="Q10" i="1968"/>
  <c r="P10" i="1968" s="1"/>
  <c r="AC10" i="1968" s="1"/>
  <c r="O10" i="1968"/>
  <c r="M10" i="1968"/>
  <c r="AF9" i="1968"/>
  <c r="Q9" i="1968"/>
  <c r="AF7" i="1968"/>
  <c r="Q7" i="1968"/>
  <c r="P7" i="1968" s="1"/>
  <c r="AC7" i="1968" s="1"/>
  <c r="O7" i="1968"/>
  <c r="AF6" i="1968"/>
  <c r="Q6" i="1968"/>
  <c r="M6" i="1968"/>
  <c r="W19" i="16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2" i="1967"/>
  <c r="L20" i="1967"/>
  <c r="K20" i="1967"/>
  <c r="L19" i="1967"/>
  <c r="K19" i="1967"/>
  <c r="L17" i="1967"/>
  <c r="K17" i="1967" s="1"/>
  <c r="L15" i="1967"/>
  <c r="K15" i="1967"/>
  <c r="L14" i="1967"/>
  <c r="K13" i="1967"/>
  <c r="L11" i="1967"/>
  <c r="K11" i="1967"/>
  <c r="K10" i="1967"/>
  <c r="L9" i="1967"/>
  <c r="O9" i="1967" s="1"/>
  <c r="K9" i="1967"/>
  <c r="AF9" i="1967"/>
  <c r="AB9" i="1967"/>
  <c r="Q9" i="1967"/>
  <c r="P9" i="1967" s="1"/>
  <c r="AC9" i="1967" s="1"/>
  <c r="AD9" i="1967" s="1"/>
  <c r="M9" i="1967"/>
  <c r="L7" i="1967"/>
  <c r="P14" i="1968" l="1"/>
  <c r="AC14" i="1968" s="1"/>
  <c r="AB14" i="1968"/>
  <c r="K14" i="1968"/>
  <c r="AB13" i="1968"/>
  <c r="P13" i="1968"/>
  <c r="AC13" i="1968" s="1"/>
  <c r="AD13" i="1968" s="1"/>
  <c r="M12" i="1968"/>
  <c r="O6" i="1968"/>
  <c r="AD16" i="1968"/>
  <c r="AD17" i="1968"/>
  <c r="AF64" i="1968"/>
  <c r="AB6" i="1968"/>
  <c r="AD11" i="1968"/>
  <c r="AD8" i="1968"/>
  <c r="O9" i="1968"/>
  <c r="L23" i="1968"/>
  <c r="O23" i="1968" s="1"/>
  <c r="AB9" i="1968"/>
  <c r="Q23" i="1968"/>
  <c r="P6" i="1968"/>
  <c r="AC6" i="1968" s="1"/>
  <c r="AD6" i="1968" s="1"/>
  <c r="AD10" i="1968"/>
  <c r="AD12" i="1968"/>
  <c r="AD18" i="1968"/>
  <c r="AD21" i="1968"/>
  <c r="P9" i="1968"/>
  <c r="AC9" i="1968" s="1"/>
  <c r="O19" i="1968"/>
  <c r="AD19" i="1968" s="1"/>
  <c r="P20" i="1968"/>
  <c r="AC20" i="1968" s="1"/>
  <c r="AD20" i="1968" s="1"/>
  <c r="O22" i="1968"/>
  <c r="AD22" i="1968" s="1"/>
  <c r="M7" i="1968"/>
  <c r="AB7" i="1968"/>
  <c r="AD7" i="1968" s="1"/>
  <c r="M15" i="1968"/>
  <c r="AB15" i="1968"/>
  <c r="AD15" i="1968" s="1"/>
  <c r="K23" i="1968"/>
  <c r="M9" i="1968"/>
  <c r="AD14" i="1968" l="1"/>
  <c r="AD9" i="1968"/>
  <c r="P23" i="1968"/>
  <c r="M23" i="1968"/>
  <c r="AB23" i="1968"/>
  <c r="AD23" i="1968"/>
  <c r="AE8" i="1968" s="1"/>
  <c r="AC23" i="1968"/>
  <c r="AE22" i="1968" l="1"/>
  <c r="AE19" i="1968"/>
  <c r="AE16" i="1968"/>
  <c r="AE13" i="1968"/>
  <c r="AE11" i="1968"/>
  <c r="AE20" i="1968"/>
  <c r="AE17" i="1968"/>
  <c r="AE14" i="1968"/>
  <c r="AE9" i="1968"/>
  <c r="AE6" i="1968"/>
  <c r="AE15" i="1968"/>
  <c r="AE12" i="1968"/>
  <c r="AE7" i="1968"/>
  <c r="AE21" i="1968"/>
  <c r="AE18" i="1968"/>
  <c r="AE10" i="1968"/>
  <c r="K21" i="1967" l="1"/>
  <c r="K14" i="1967"/>
  <c r="K8" i="1967"/>
  <c r="K7" i="1967"/>
  <c r="K6" i="1967"/>
  <c r="A78" i="1967"/>
  <c r="A79" i="1967" s="1"/>
  <c r="A80" i="1967" s="1"/>
  <c r="A81" i="1967" s="1"/>
  <c r="A82" i="1967" s="1"/>
  <c r="A83" i="1967" s="1"/>
  <c r="AF62" i="1967"/>
  <c r="AF61" i="1967"/>
  <c r="AF64" i="1967" s="1"/>
  <c r="AA23" i="1967"/>
  <c r="Z23" i="1967"/>
  <c r="Y23" i="1967"/>
  <c r="X23" i="1967"/>
  <c r="W23" i="1967"/>
  <c r="V23" i="1967"/>
  <c r="U23" i="1967"/>
  <c r="T23" i="1967"/>
  <c r="S23" i="1967"/>
  <c r="R23" i="1967"/>
  <c r="N23" i="1967"/>
  <c r="J23" i="1967"/>
  <c r="I23" i="1967"/>
  <c r="AF22" i="1967"/>
  <c r="AB22" i="1967"/>
  <c r="Q22" i="1967"/>
  <c r="P22" i="1967" s="1"/>
  <c r="AC22" i="1967" s="1"/>
  <c r="O22" i="1967"/>
  <c r="M22" i="1967"/>
  <c r="K22" i="1967"/>
  <c r="AF21" i="1967"/>
  <c r="AB21" i="1967"/>
  <c r="Q21" i="1967"/>
  <c r="M21" i="1967"/>
  <c r="O21" i="1967"/>
  <c r="AF20" i="1967"/>
  <c r="Q20" i="1967"/>
  <c r="AB20" i="1967"/>
  <c r="AF19" i="1967"/>
  <c r="AB19" i="1967"/>
  <c r="Q19" i="1967"/>
  <c r="P19" i="1967" s="1"/>
  <c r="AC19" i="1967" s="1"/>
  <c r="O19" i="1967"/>
  <c r="M19" i="1967"/>
  <c r="AF18" i="1967"/>
  <c r="AB18" i="1967"/>
  <c r="Q18" i="1967"/>
  <c r="P18" i="1967"/>
  <c r="AC18" i="1967" s="1"/>
  <c r="O18" i="1967"/>
  <c r="M18" i="1967"/>
  <c r="K18" i="1967"/>
  <c r="AF17" i="1967"/>
  <c r="Q17" i="1967"/>
  <c r="AB17" i="1967"/>
  <c r="AF16" i="1967"/>
  <c r="AB16" i="1967"/>
  <c r="Q16" i="1967"/>
  <c r="P16" i="1967"/>
  <c r="AC16" i="1967" s="1"/>
  <c r="O16" i="1967"/>
  <c r="M16" i="1967"/>
  <c r="K16" i="1967"/>
  <c r="AF15" i="1967"/>
  <c r="AB15" i="1967"/>
  <c r="Q15" i="1967"/>
  <c r="P15" i="1967" s="1"/>
  <c r="AC15" i="1967" s="1"/>
  <c r="O15" i="1967"/>
  <c r="M15" i="1967"/>
  <c r="AF14" i="1967"/>
  <c r="Q14" i="1967"/>
  <c r="P14" i="1967"/>
  <c r="AC14" i="1967" s="1"/>
  <c r="O14" i="1967"/>
  <c r="AB14" i="1967"/>
  <c r="AF13" i="1967"/>
  <c r="AB13" i="1967"/>
  <c r="Q13" i="1967"/>
  <c r="P13" i="1967"/>
  <c r="AC13" i="1967" s="1"/>
  <c r="O13" i="1967"/>
  <c r="M13" i="1967"/>
  <c r="AF12" i="1967"/>
  <c r="AB12" i="1967"/>
  <c r="Q12" i="1967"/>
  <c r="P12" i="1967"/>
  <c r="AC12" i="1967" s="1"/>
  <c r="O12" i="1967"/>
  <c r="M12" i="1967"/>
  <c r="K12" i="1967"/>
  <c r="AF11" i="1967"/>
  <c r="AB11" i="1967"/>
  <c r="Q11" i="1967"/>
  <c r="P11" i="1967"/>
  <c r="AC11" i="1967" s="1"/>
  <c r="O11" i="1967"/>
  <c r="M11" i="1967"/>
  <c r="AF10" i="1967"/>
  <c r="AB10" i="1967"/>
  <c r="Q10" i="1967"/>
  <c r="P10" i="1967" s="1"/>
  <c r="AC10" i="1967" s="1"/>
  <c r="O10" i="1967"/>
  <c r="M10" i="1967"/>
  <c r="AF8" i="1967"/>
  <c r="Q8" i="1967"/>
  <c r="AB8" i="1967"/>
  <c r="AF7" i="1967"/>
  <c r="Q7" i="1967"/>
  <c r="P7" i="1967"/>
  <c r="AC7" i="1967" s="1"/>
  <c r="O7" i="1967"/>
  <c r="AF6" i="1967"/>
  <c r="AB6" i="1967"/>
  <c r="Q6" i="1967"/>
  <c r="P6" i="1967"/>
  <c r="AC6" i="1967" s="1"/>
  <c r="AD6" i="1967" s="1"/>
  <c r="O6" i="1967"/>
  <c r="M6" i="1967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0" i="1966"/>
  <c r="K20" i="1966" s="1"/>
  <c r="L19" i="1966"/>
  <c r="L18" i="1966"/>
  <c r="K18" i="1966" s="1"/>
  <c r="L16" i="1966"/>
  <c r="O16" i="1966" s="1"/>
  <c r="K14" i="1966"/>
  <c r="L13" i="1966"/>
  <c r="K13" i="1966" s="1"/>
  <c r="L12" i="1966"/>
  <c r="K12" i="1966" s="1"/>
  <c r="L9" i="1966"/>
  <c r="L8" i="1966"/>
  <c r="O8" i="1966" s="1"/>
  <c r="L7" i="1966"/>
  <c r="K6" i="1966"/>
  <c r="K21" i="1966"/>
  <c r="K19" i="1966"/>
  <c r="K16" i="1966"/>
  <c r="K11" i="1966"/>
  <c r="K9" i="1966"/>
  <c r="K8" i="1966"/>
  <c r="K7" i="1966"/>
  <c r="A79" i="1966"/>
  <c r="A80" i="1966" s="1"/>
  <c r="A81" i="1966" s="1"/>
  <c r="A82" i="1966" s="1"/>
  <c r="A78" i="1966"/>
  <c r="A77" i="1966"/>
  <c r="AF61" i="1966"/>
  <c r="AF63" i="1966" s="1"/>
  <c r="AF60" i="1966"/>
  <c r="AA22" i="1966"/>
  <c r="Z22" i="1966"/>
  <c r="Y22" i="1966"/>
  <c r="X22" i="1966"/>
  <c r="W22" i="1966"/>
  <c r="V22" i="1966"/>
  <c r="U22" i="1966"/>
  <c r="T22" i="1966"/>
  <c r="S22" i="1966"/>
  <c r="R22" i="1966"/>
  <c r="N22" i="1966"/>
  <c r="J22" i="1966"/>
  <c r="I22" i="1966"/>
  <c r="AF21" i="1966"/>
  <c r="AB21" i="1966"/>
  <c r="Q21" i="1966"/>
  <c r="O21" i="1966"/>
  <c r="M21" i="1966"/>
  <c r="P21" i="1966"/>
  <c r="AC21" i="1966" s="1"/>
  <c r="AD21" i="1966" s="1"/>
  <c r="AF20" i="1966"/>
  <c r="Q20" i="1966"/>
  <c r="P20" i="1966" s="1"/>
  <c r="AC20" i="1966" s="1"/>
  <c r="AF19" i="1966"/>
  <c r="Q19" i="1966"/>
  <c r="P19" i="1966"/>
  <c r="AC19" i="1966" s="1"/>
  <c r="O19" i="1966"/>
  <c r="AF18" i="1966"/>
  <c r="Q18" i="1966"/>
  <c r="O18" i="1966"/>
  <c r="AB18" i="1966"/>
  <c r="AF17" i="1966"/>
  <c r="AB17" i="1966"/>
  <c r="Q17" i="1966"/>
  <c r="P17" i="1966"/>
  <c r="AC17" i="1966" s="1"/>
  <c r="O17" i="1966"/>
  <c r="M17" i="1966"/>
  <c r="K17" i="1966"/>
  <c r="AF16" i="1966"/>
  <c r="Q16" i="1966"/>
  <c r="AF15" i="1966"/>
  <c r="AB15" i="1966"/>
  <c r="Q15" i="1966"/>
  <c r="P15" i="1966"/>
  <c r="AC15" i="1966" s="1"/>
  <c r="O15" i="1966"/>
  <c r="M15" i="1966"/>
  <c r="K15" i="1966"/>
  <c r="AF14" i="1966"/>
  <c r="AB14" i="1966"/>
  <c r="Q14" i="1966"/>
  <c r="P14" i="1966"/>
  <c r="AC14" i="1966" s="1"/>
  <c r="O14" i="1966"/>
  <c r="M14" i="1966"/>
  <c r="AF13" i="1966"/>
  <c r="Q13" i="1966"/>
  <c r="AB13" i="1966"/>
  <c r="AF12" i="1966"/>
  <c r="Q12" i="1966"/>
  <c r="P12" i="1966"/>
  <c r="AC12" i="1966" s="1"/>
  <c r="O12" i="1966"/>
  <c r="M12" i="1966"/>
  <c r="AB12" i="1966"/>
  <c r="AF11" i="1966"/>
  <c r="AB11" i="1966"/>
  <c r="Q11" i="1966"/>
  <c r="O11" i="1966"/>
  <c r="M11" i="1966"/>
  <c r="P11" i="1966"/>
  <c r="AC11" i="1966" s="1"/>
  <c r="AF10" i="1966"/>
  <c r="AB10" i="1966"/>
  <c r="Q10" i="1966"/>
  <c r="P10" i="1966"/>
  <c r="AC10" i="1966" s="1"/>
  <c r="O10" i="1966"/>
  <c r="M10" i="1966"/>
  <c r="K10" i="1966"/>
  <c r="AF9" i="1966"/>
  <c r="AB9" i="1966"/>
  <c r="Q9" i="1966"/>
  <c r="P9" i="1966"/>
  <c r="AC9" i="1966" s="1"/>
  <c r="O9" i="1966"/>
  <c r="M9" i="1966"/>
  <c r="AF8" i="1966"/>
  <c r="AB8" i="1966"/>
  <c r="Q8" i="1966"/>
  <c r="P8" i="1966" s="1"/>
  <c r="AC8" i="1966" s="1"/>
  <c r="AF7" i="1966"/>
  <c r="AB7" i="1966"/>
  <c r="Q7" i="1966"/>
  <c r="M7" i="1966"/>
  <c r="O7" i="1966"/>
  <c r="AF6" i="1966"/>
  <c r="Q6" i="1966"/>
  <c r="AB6" i="1966"/>
  <c r="T19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1" i="1965"/>
  <c r="K21" i="1965" s="1"/>
  <c r="L20" i="1965"/>
  <c r="L19" i="1965"/>
  <c r="L18" i="1965"/>
  <c r="K18" i="1965"/>
  <c r="L16" i="1965"/>
  <c r="L13" i="1965"/>
  <c r="L12" i="1965"/>
  <c r="K12" i="1965" s="1"/>
  <c r="L11" i="1965"/>
  <c r="L9" i="1965"/>
  <c r="K9" i="1965" s="1"/>
  <c r="L8" i="1965"/>
  <c r="L7" i="1965"/>
  <c r="L6" i="1965"/>
  <c r="K20" i="1965"/>
  <c r="K19" i="1965"/>
  <c r="K17" i="1965"/>
  <c r="K16" i="1965"/>
  <c r="K13" i="1965"/>
  <c r="K11" i="1965"/>
  <c r="K8" i="1965"/>
  <c r="K7" i="1965"/>
  <c r="K6" i="1965"/>
  <c r="A77" i="1965"/>
  <c r="A78" i="1965" s="1"/>
  <c r="A79" i="1965" s="1"/>
  <c r="A80" i="1965" s="1"/>
  <c r="A81" i="1965" s="1"/>
  <c r="A82" i="1965" s="1"/>
  <c r="AF61" i="1965"/>
  <c r="AF63" i="1965" s="1"/>
  <c r="AF60" i="1965"/>
  <c r="AA22" i="1965"/>
  <c r="Z22" i="1965"/>
  <c r="Y22" i="1965"/>
  <c r="X22" i="1965"/>
  <c r="W22" i="1965"/>
  <c r="V22" i="1965"/>
  <c r="U22" i="1965"/>
  <c r="T22" i="1965"/>
  <c r="S22" i="1965"/>
  <c r="R22" i="1965"/>
  <c r="N22" i="1965"/>
  <c r="J22" i="1965"/>
  <c r="I22" i="1965"/>
  <c r="AF21" i="1965"/>
  <c r="AB21" i="1965"/>
  <c r="Q21" i="1965"/>
  <c r="M21" i="1965"/>
  <c r="AF20" i="1965"/>
  <c r="Q20" i="1965"/>
  <c r="P20" i="1965"/>
  <c r="AC20" i="1965" s="1"/>
  <c r="AF19" i="1965"/>
  <c r="Q19" i="1965"/>
  <c r="P19" i="1965"/>
  <c r="AC19" i="1965" s="1"/>
  <c r="O19" i="1965"/>
  <c r="AF18" i="1965"/>
  <c r="AB18" i="1965"/>
  <c r="Q18" i="1965"/>
  <c r="P18" i="1965" s="1"/>
  <c r="AC18" i="1965" s="1"/>
  <c r="O18" i="1965"/>
  <c r="M18" i="1965"/>
  <c r="AF17" i="1965"/>
  <c r="Q17" i="1965"/>
  <c r="P17" i="1965"/>
  <c r="AC17" i="1965" s="1"/>
  <c r="AF16" i="1965"/>
  <c r="Q16" i="1965"/>
  <c r="P16" i="1965"/>
  <c r="AC16" i="1965" s="1"/>
  <c r="O16" i="1965"/>
  <c r="AF15" i="1965"/>
  <c r="AB15" i="1965"/>
  <c r="Q15" i="1965"/>
  <c r="P15" i="1965"/>
  <c r="AC15" i="1965" s="1"/>
  <c r="O15" i="1965"/>
  <c r="M15" i="1965"/>
  <c r="K15" i="1965"/>
  <c r="AF14" i="1965"/>
  <c r="AB14" i="1965"/>
  <c r="Q14" i="1965"/>
  <c r="P14" i="1965"/>
  <c r="AC14" i="1965" s="1"/>
  <c r="AD14" i="1965" s="1"/>
  <c r="O14" i="1965"/>
  <c r="M14" i="1965"/>
  <c r="K14" i="1965"/>
  <c r="AF13" i="1965"/>
  <c r="Q13" i="1965"/>
  <c r="P13" i="1965"/>
  <c r="AC13" i="1965" s="1"/>
  <c r="O13" i="1965"/>
  <c r="M13" i="1965"/>
  <c r="AB13" i="1965"/>
  <c r="AF12" i="1965"/>
  <c r="Q12" i="1965"/>
  <c r="AF11" i="1965"/>
  <c r="Q11" i="1965"/>
  <c r="AF10" i="1965"/>
  <c r="AB10" i="1965"/>
  <c r="Q10" i="1965"/>
  <c r="P10" i="1965"/>
  <c r="AC10" i="1965" s="1"/>
  <c r="AD10" i="1965" s="1"/>
  <c r="O10" i="1965"/>
  <c r="M10" i="1965"/>
  <c r="K10" i="1965"/>
  <c r="AF9" i="1965"/>
  <c r="AB9" i="1965"/>
  <c r="Q9" i="1965"/>
  <c r="O9" i="1965"/>
  <c r="M9" i="1965"/>
  <c r="P9" i="1965"/>
  <c r="AC9" i="1965" s="1"/>
  <c r="AD9" i="1965" s="1"/>
  <c r="AF8" i="1965"/>
  <c r="Q8" i="1965"/>
  <c r="P8" i="1965"/>
  <c r="AC8" i="1965" s="1"/>
  <c r="AF7" i="1965"/>
  <c r="Q7" i="1965"/>
  <c r="P7" i="1965"/>
  <c r="AC7" i="1965" s="1"/>
  <c r="O7" i="1965"/>
  <c r="AF6" i="1965"/>
  <c r="AB6" i="1965"/>
  <c r="Q6" i="1965"/>
  <c r="M6" i="1965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21" i="1964"/>
  <c r="L20" i="1964"/>
  <c r="L19" i="1964"/>
  <c r="K19" i="1964" s="1"/>
  <c r="K18" i="1964"/>
  <c r="L17" i="1964"/>
  <c r="K17" i="1964" s="1"/>
  <c r="L16" i="1964"/>
  <c r="L13" i="1964"/>
  <c r="L12" i="1964"/>
  <c r="L11" i="1964"/>
  <c r="K11" i="1964"/>
  <c r="L9" i="1964"/>
  <c r="K9" i="1964" s="1"/>
  <c r="L8" i="1964"/>
  <c r="K8" i="1964" s="1"/>
  <c r="L7" i="1964"/>
  <c r="L6" i="1964"/>
  <c r="K6" i="1964" s="1"/>
  <c r="K21" i="1964"/>
  <c r="K16" i="1964"/>
  <c r="K13" i="1964"/>
  <c r="K12" i="1964"/>
  <c r="A77" i="1964"/>
  <c r="A78" i="1964" s="1"/>
  <c r="A79" i="1964" s="1"/>
  <c r="A80" i="1964" s="1"/>
  <c r="A81" i="1964" s="1"/>
  <c r="A82" i="1964" s="1"/>
  <c r="AF61" i="1964"/>
  <c r="AF60" i="1964"/>
  <c r="AF63" i="1964" s="1"/>
  <c r="AA22" i="1964"/>
  <c r="Z22" i="1964"/>
  <c r="Y22" i="1964"/>
  <c r="X22" i="1964"/>
  <c r="W22" i="1964"/>
  <c r="V22" i="1964"/>
  <c r="U22" i="1964"/>
  <c r="T22" i="1964"/>
  <c r="S22" i="1964"/>
  <c r="R22" i="1964"/>
  <c r="N22" i="1964"/>
  <c r="J22" i="1964"/>
  <c r="I22" i="1964"/>
  <c r="AF21" i="1964"/>
  <c r="Q21" i="1964"/>
  <c r="P21" i="1964"/>
  <c r="AC21" i="1964" s="1"/>
  <c r="O21" i="1964"/>
  <c r="AB21" i="1964"/>
  <c r="AF20" i="1964"/>
  <c r="AB20" i="1964"/>
  <c r="Q20" i="1964"/>
  <c r="P20" i="1964" s="1"/>
  <c r="AC20" i="1964" s="1"/>
  <c r="O20" i="1964"/>
  <c r="M20" i="1964"/>
  <c r="K20" i="1964"/>
  <c r="AF19" i="1964"/>
  <c r="Q19" i="1964"/>
  <c r="AF18" i="1964"/>
  <c r="AB18" i="1964"/>
  <c r="Q18" i="1964"/>
  <c r="P18" i="1964"/>
  <c r="AC18" i="1964" s="1"/>
  <c r="O18" i="1964"/>
  <c r="M18" i="1964"/>
  <c r="AF17" i="1964"/>
  <c r="AB17" i="1964"/>
  <c r="Q17" i="1964"/>
  <c r="M17" i="1964"/>
  <c r="O17" i="1964"/>
  <c r="AF16" i="1964"/>
  <c r="Q16" i="1964"/>
  <c r="AB16" i="1964"/>
  <c r="AF15" i="1964"/>
  <c r="AB15" i="1964"/>
  <c r="Q15" i="1964"/>
  <c r="P15" i="1964"/>
  <c r="AC15" i="1964" s="1"/>
  <c r="AD15" i="1964" s="1"/>
  <c r="O15" i="1964"/>
  <c r="M15" i="1964"/>
  <c r="K15" i="1964"/>
  <c r="AF14" i="1964"/>
  <c r="AB14" i="1964"/>
  <c r="Q14" i="1964"/>
  <c r="P14" i="1964"/>
  <c r="AC14" i="1964" s="1"/>
  <c r="AD14" i="1964" s="1"/>
  <c r="O14" i="1964"/>
  <c r="M14" i="1964"/>
  <c r="K14" i="1964"/>
  <c r="AF13" i="1964"/>
  <c r="Q13" i="1964"/>
  <c r="P13" i="1964"/>
  <c r="AC13" i="1964" s="1"/>
  <c r="O13" i="1964"/>
  <c r="AB13" i="1964"/>
  <c r="AF12" i="1964"/>
  <c r="AB12" i="1964"/>
  <c r="Q12" i="1964"/>
  <c r="P12" i="1964"/>
  <c r="AC12" i="1964" s="1"/>
  <c r="O12" i="1964"/>
  <c r="M12" i="1964"/>
  <c r="AF11" i="1964"/>
  <c r="AB11" i="1964"/>
  <c r="Q11" i="1964"/>
  <c r="P11" i="1964" s="1"/>
  <c r="AC11" i="1964" s="1"/>
  <c r="O11" i="1964"/>
  <c r="M11" i="1964"/>
  <c r="AF10" i="1964"/>
  <c r="AB10" i="1964"/>
  <c r="Q10" i="1964"/>
  <c r="P10" i="1964"/>
  <c r="AC10" i="1964" s="1"/>
  <c r="O10" i="1964"/>
  <c r="M10" i="1964"/>
  <c r="K10" i="1964"/>
  <c r="AF9" i="1964"/>
  <c r="AB9" i="1964"/>
  <c r="Q9" i="1964"/>
  <c r="M9" i="1964"/>
  <c r="O9" i="1964"/>
  <c r="AF8" i="1964"/>
  <c r="Q8" i="1964"/>
  <c r="AB8" i="1964"/>
  <c r="AF7" i="1964"/>
  <c r="Q7" i="1964"/>
  <c r="AF6" i="1964"/>
  <c r="Q6" i="1964"/>
  <c r="M6" i="1964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1" i="1963"/>
  <c r="L19" i="1963"/>
  <c r="K18" i="1963"/>
  <c r="L17" i="1963"/>
  <c r="K17" i="1963" s="1"/>
  <c r="L16" i="1963"/>
  <c r="K7" i="1963"/>
  <c r="L13" i="1963"/>
  <c r="K13" i="1963" s="1"/>
  <c r="L12" i="1963"/>
  <c r="L9" i="1963"/>
  <c r="L8" i="1963"/>
  <c r="L7" i="1963"/>
  <c r="AD22" i="1967" l="1"/>
  <c r="AD13" i="1967"/>
  <c r="AD10" i="1967"/>
  <c r="AD12" i="1967"/>
  <c r="AD18" i="1967"/>
  <c r="Q23" i="1967"/>
  <c r="AD11" i="1967"/>
  <c r="AD16" i="1967"/>
  <c r="AD19" i="1967"/>
  <c r="AD15" i="1967"/>
  <c r="AD14" i="1967"/>
  <c r="M7" i="1967"/>
  <c r="AB7" i="1967"/>
  <c r="AB23" i="1967" s="1"/>
  <c r="O8" i="1967"/>
  <c r="M14" i="1967"/>
  <c r="O17" i="1967"/>
  <c r="O20" i="1967"/>
  <c r="P21" i="1967"/>
  <c r="AC21" i="1967" s="1"/>
  <c r="AD21" i="1967" s="1"/>
  <c r="L23" i="1967"/>
  <c r="O23" i="1967" s="1"/>
  <c r="K23" i="1967"/>
  <c r="P8" i="1967"/>
  <c r="AC8" i="1967" s="1"/>
  <c r="AD8" i="1967" s="1"/>
  <c r="P17" i="1967"/>
  <c r="AC17" i="1967" s="1"/>
  <c r="P20" i="1967"/>
  <c r="AC20" i="1967" s="1"/>
  <c r="M8" i="1967"/>
  <c r="M17" i="1967"/>
  <c r="M20" i="1967"/>
  <c r="P18" i="1966"/>
  <c r="AC18" i="1966" s="1"/>
  <c r="AD18" i="1966" s="1"/>
  <c r="Q22" i="1966"/>
  <c r="AD9" i="1966"/>
  <c r="M8" i="1966"/>
  <c r="AD8" i="1966"/>
  <c r="AD14" i="1966"/>
  <c r="AD15" i="1966"/>
  <c r="AD10" i="1966"/>
  <c r="AD11" i="1966"/>
  <c r="AD17" i="1966"/>
  <c r="AD12" i="1966"/>
  <c r="M16" i="1966"/>
  <c r="AB16" i="1966"/>
  <c r="O6" i="1966"/>
  <c r="P7" i="1966"/>
  <c r="AC7" i="1966" s="1"/>
  <c r="AD7" i="1966" s="1"/>
  <c r="O13" i="1966"/>
  <c r="P16" i="1966"/>
  <c r="AC16" i="1966" s="1"/>
  <c r="L22" i="1966"/>
  <c r="O22" i="1966" s="1"/>
  <c r="P6" i="1966"/>
  <c r="P13" i="1966"/>
  <c r="AC13" i="1966" s="1"/>
  <c r="AD13" i="1966" s="1"/>
  <c r="M20" i="1966"/>
  <c r="AB20" i="1966"/>
  <c r="AD20" i="1966" s="1"/>
  <c r="M19" i="1966"/>
  <c r="AB19" i="1966"/>
  <c r="AD19" i="1966" s="1"/>
  <c r="O20" i="1966"/>
  <c r="M6" i="1966"/>
  <c r="M13" i="1966"/>
  <c r="M18" i="1966"/>
  <c r="O21" i="1965"/>
  <c r="P21" i="1965"/>
  <c r="AC21" i="1965" s="1"/>
  <c r="AD21" i="1965" s="1"/>
  <c r="AD13" i="1965"/>
  <c r="M12" i="1965"/>
  <c r="AB12" i="1965"/>
  <c r="O12" i="1965"/>
  <c r="P12" i="1965"/>
  <c r="AC12" i="1965" s="1"/>
  <c r="AD12" i="1965" s="1"/>
  <c r="L22" i="1965"/>
  <c r="O22" i="1965" s="1"/>
  <c r="P11" i="1965"/>
  <c r="AC11" i="1965" s="1"/>
  <c r="Q22" i="1965"/>
  <c r="P6" i="1965"/>
  <c r="AC6" i="1965" s="1"/>
  <c r="AD6" i="1965" s="1"/>
  <c r="O6" i="1965"/>
  <c r="AD15" i="1965"/>
  <c r="AD18" i="1965"/>
  <c r="P22" i="1965"/>
  <c r="M17" i="1965"/>
  <c r="AB17" i="1965"/>
  <c r="AD17" i="1965" s="1"/>
  <c r="M20" i="1965"/>
  <c r="AB20" i="1965"/>
  <c r="M8" i="1965"/>
  <c r="M11" i="1965"/>
  <c r="M7" i="1965"/>
  <c r="AB7" i="1965"/>
  <c r="AD7" i="1965" s="1"/>
  <c r="O8" i="1965"/>
  <c r="O11" i="1965"/>
  <c r="M16" i="1965"/>
  <c r="AB16" i="1965"/>
  <c r="AD16" i="1965" s="1"/>
  <c r="O17" i="1965"/>
  <c r="M19" i="1965"/>
  <c r="AB19" i="1965"/>
  <c r="AD19" i="1965" s="1"/>
  <c r="O20" i="1965"/>
  <c r="AB8" i="1965"/>
  <c r="AB11" i="1965"/>
  <c r="AD11" i="1965" s="1"/>
  <c r="K22" i="1965"/>
  <c r="AD20" i="1964"/>
  <c r="M19" i="1964"/>
  <c r="AD11" i="1964"/>
  <c r="Q22" i="1964"/>
  <c r="P7" i="1964"/>
  <c r="AC7" i="1964" s="1"/>
  <c r="O7" i="1964"/>
  <c r="K7" i="1964"/>
  <c r="AB6" i="1964"/>
  <c r="O6" i="1964"/>
  <c r="P6" i="1964"/>
  <c r="AC6" i="1964" s="1"/>
  <c r="AD10" i="1964"/>
  <c r="AD12" i="1964"/>
  <c r="AD18" i="1964"/>
  <c r="AD21" i="1964"/>
  <c r="AD13" i="1964"/>
  <c r="M8" i="1964"/>
  <c r="M16" i="1964"/>
  <c r="AB19" i="1964"/>
  <c r="M7" i="1964"/>
  <c r="AB7" i="1964"/>
  <c r="AB22" i="1964" s="1"/>
  <c r="O8" i="1964"/>
  <c r="P9" i="1964"/>
  <c r="AC9" i="1964" s="1"/>
  <c r="AD9" i="1964" s="1"/>
  <c r="M13" i="1964"/>
  <c r="O16" i="1964"/>
  <c r="P17" i="1964"/>
  <c r="AC17" i="1964" s="1"/>
  <c r="AD17" i="1964" s="1"/>
  <c r="O19" i="1964"/>
  <c r="M21" i="1964"/>
  <c r="L22" i="1964"/>
  <c r="O22" i="1964" s="1"/>
  <c r="K22" i="1964"/>
  <c r="P8" i="1964"/>
  <c r="AC8" i="1964" s="1"/>
  <c r="P16" i="1964"/>
  <c r="AC16" i="1964" s="1"/>
  <c r="P19" i="1964"/>
  <c r="AC19" i="1964" s="1"/>
  <c r="K6" i="1963"/>
  <c r="K21" i="1963"/>
  <c r="K16" i="1963"/>
  <c r="K12" i="1963"/>
  <c r="K11" i="1963"/>
  <c r="K10" i="1963"/>
  <c r="K9" i="1963"/>
  <c r="K8" i="1963"/>
  <c r="A78" i="1963"/>
  <c r="A79" i="1963" s="1"/>
  <c r="A80" i="1963" s="1"/>
  <c r="A81" i="1963" s="1"/>
  <c r="A82" i="1963" s="1"/>
  <c r="A77" i="1963"/>
  <c r="AF63" i="1963"/>
  <c r="AF61" i="1963"/>
  <c r="AF60" i="1963"/>
  <c r="AA22" i="1963"/>
  <c r="Z22" i="1963"/>
  <c r="Y22" i="1963"/>
  <c r="X22" i="1963"/>
  <c r="W22" i="1963"/>
  <c r="V22" i="1963"/>
  <c r="U22" i="1963"/>
  <c r="T22" i="1963"/>
  <c r="S22" i="1963"/>
  <c r="R22" i="1963"/>
  <c r="N22" i="1963"/>
  <c r="J22" i="1963"/>
  <c r="I22" i="1963"/>
  <c r="AF21" i="1963"/>
  <c r="Q21" i="1963"/>
  <c r="O21" i="1963"/>
  <c r="P21" i="1963"/>
  <c r="AC21" i="1963" s="1"/>
  <c r="AF20" i="1963"/>
  <c r="AB20" i="1963"/>
  <c r="Q20" i="1963"/>
  <c r="P20" i="1963"/>
  <c r="AC20" i="1963" s="1"/>
  <c r="O20" i="1963"/>
  <c r="M20" i="1963"/>
  <c r="K20" i="1963"/>
  <c r="AF19" i="1963"/>
  <c r="AB19" i="1963"/>
  <c r="Q19" i="1963"/>
  <c r="P19" i="1963" s="1"/>
  <c r="AC19" i="1963" s="1"/>
  <c r="O19" i="1963"/>
  <c r="M19" i="1963"/>
  <c r="K19" i="1963"/>
  <c r="AF18" i="1963"/>
  <c r="AB18" i="1963"/>
  <c r="Q18" i="1963"/>
  <c r="P18" i="1963" s="1"/>
  <c r="AC18" i="1963" s="1"/>
  <c r="O18" i="1963"/>
  <c r="M18" i="1963"/>
  <c r="AF17" i="1963"/>
  <c r="AB17" i="1963"/>
  <c r="Q17" i="1963"/>
  <c r="P17" i="1963" s="1"/>
  <c r="AC17" i="1963" s="1"/>
  <c r="O17" i="1963"/>
  <c r="M17" i="1963"/>
  <c r="AF16" i="1963"/>
  <c r="Q16" i="1963"/>
  <c r="P16" i="1963"/>
  <c r="AC16" i="1963" s="1"/>
  <c r="AF15" i="1963"/>
  <c r="AB15" i="1963"/>
  <c r="Q15" i="1963"/>
  <c r="P15" i="1963"/>
  <c r="AC15" i="1963" s="1"/>
  <c r="O15" i="1963"/>
  <c r="M15" i="1963"/>
  <c r="K15" i="1963"/>
  <c r="AF14" i="1963"/>
  <c r="AB14" i="1963"/>
  <c r="Q14" i="1963"/>
  <c r="P14" i="1963"/>
  <c r="AC14" i="1963" s="1"/>
  <c r="O14" i="1963"/>
  <c r="M14" i="1963"/>
  <c r="K14" i="1963"/>
  <c r="AF13" i="1963"/>
  <c r="AB13" i="1963"/>
  <c r="Q13" i="1963"/>
  <c r="P13" i="1963" s="1"/>
  <c r="AC13" i="1963" s="1"/>
  <c r="O13" i="1963"/>
  <c r="M13" i="1963"/>
  <c r="AF12" i="1963"/>
  <c r="AB12" i="1963"/>
  <c r="Q12" i="1963"/>
  <c r="M12" i="1963"/>
  <c r="O12" i="1963"/>
  <c r="AF11" i="1963"/>
  <c r="AB11" i="1963"/>
  <c r="Q11" i="1963"/>
  <c r="P11" i="1963" s="1"/>
  <c r="AC11" i="1963" s="1"/>
  <c r="O11" i="1963"/>
  <c r="M11" i="1963"/>
  <c r="AF10" i="1963"/>
  <c r="AB10" i="1963"/>
  <c r="Q10" i="1963"/>
  <c r="P10" i="1963"/>
  <c r="AC10" i="1963" s="1"/>
  <c r="O10" i="1963"/>
  <c r="M10" i="1963"/>
  <c r="AF9" i="1963"/>
  <c r="Q9" i="1963"/>
  <c r="O9" i="1963"/>
  <c r="AF8" i="1963"/>
  <c r="Q8" i="1963"/>
  <c r="AB8" i="1963"/>
  <c r="AF7" i="1963"/>
  <c r="Q7" i="1963"/>
  <c r="P7" i="1963"/>
  <c r="AC7" i="1963" s="1"/>
  <c r="O7" i="1963"/>
  <c r="AB7" i="1963"/>
  <c r="AF6" i="1963"/>
  <c r="AB6" i="1963"/>
  <c r="Q6" i="1963"/>
  <c r="O6" i="1963"/>
  <c r="M6" i="1963"/>
  <c r="L22" i="1963"/>
  <c r="O22" i="1963" s="1"/>
  <c r="Q19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1" i="1962"/>
  <c r="K19" i="1962"/>
  <c r="L18" i="1962"/>
  <c r="K18" i="1962" s="1"/>
  <c r="K17" i="1962"/>
  <c r="L16" i="1962"/>
  <c r="L13" i="1962"/>
  <c r="L12" i="1962"/>
  <c r="L10" i="1962"/>
  <c r="K10" i="1962" s="1"/>
  <c r="L9" i="1962"/>
  <c r="K9" i="1962" s="1"/>
  <c r="L8" i="1962"/>
  <c r="K8" i="1962" s="1"/>
  <c r="L7" i="1962"/>
  <c r="L6" i="1962"/>
  <c r="K21" i="1962"/>
  <c r="K20" i="1962"/>
  <c r="K16" i="1962"/>
  <c r="K13" i="1962"/>
  <c r="K12" i="1962"/>
  <c r="K11" i="1962"/>
  <c r="K7" i="1962"/>
  <c r="K6" i="1962"/>
  <c r="A77" i="1962"/>
  <c r="A78" i="1962" s="1"/>
  <c r="A79" i="1962" s="1"/>
  <c r="A80" i="1962" s="1"/>
  <c r="A81" i="1962" s="1"/>
  <c r="A82" i="1962" s="1"/>
  <c r="AF61" i="1962"/>
  <c r="AF60" i="1962"/>
  <c r="AA22" i="1962"/>
  <c r="Z22" i="1962"/>
  <c r="Y22" i="1962"/>
  <c r="X22" i="1962"/>
  <c r="W22" i="1962"/>
  <c r="V22" i="1962"/>
  <c r="U22" i="1962"/>
  <c r="T22" i="1962"/>
  <c r="S22" i="1962"/>
  <c r="R22" i="1962"/>
  <c r="N22" i="1962"/>
  <c r="J22" i="1962"/>
  <c r="I22" i="1962"/>
  <c r="AF21" i="1962"/>
  <c r="AB21" i="1962"/>
  <c r="Q21" i="1962"/>
  <c r="O21" i="1962"/>
  <c r="M21" i="1962"/>
  <c r="AF20" i="1962"/>
  <c r="Q20" i="1962"/>
  <c r="P20" i="1962"/>
  <c r="AC20" i="1962" s="1"/>
  <c r="AF19" i="1962"/>
  <c r="Q19" i="1962"/>
  <c r="P19" i="1962"/>
  <c r="AC19" i="1962" s="1"/>
  <c r="O19" i="1962"/>
  <c r="AF18" i="1962"/>
  <c r="Q18" i="1962"/>
  <c r="AB18" i="1962"/>
  <c r="AF17" i="1962"/>
  <c r="AB17" i="1962"/>
  <c r="Q17" i="1962"/>
  <c r="P17" i="1962" s="1"/>
  <c r="AC17" i="1962" s="1"/>
  <c r="O17" i="1962"/>
  <c r="M17" i="1962"/>
  <c r="AF16" i="1962"/>
  <c r="AB16" i="1962"/>
  <c r="Q16" i="1962"/>
  <c r="P16" i="1962"/>
  <c r="AC16" i="1962" s="1"/>
  <c r="O16" i="1962"/>
  <c r="M16" i="1962"/>
  <c r="AF15" i="1962"/>
  <c r="AB15" i="1962"/>
  <c r="Q15" i="1962"/>
  <c r="P15" i="1962"/>
  <c r="AC15" i="1962" s="1"/>
  <c r="O15" i="1962"/>
  <c r="M15" i="1962"/>
  <c r="K15" i="1962"/>
  <c r="AF14" i="1962"/>
  <c r="AB14" i="1962"/>
  <c r="Q14" i="1962"/>
  <c r="P14" i="1962"/>
  <c r="AC14" i="1962" s="1"/>
  <c r="O14" i="1962"/>
  <c r="M14" i="1962"/>
  <c r="K14" i="1962"/>
  <c r="AF13" i="1962"/>
  <c r="AB13" i="1962"/>
  <c r="Q13" i="1962"/>
  <c r="P13" i="1962"/>
  <c r="AC13" i="1962" s="1"/>
  <c r="O13" i="1962"/>
  <c r="M13" i="1962"/>
  <c r="AF12" i="1962"/>
  <c r="Q12" i="1962"/>
  <c r="P12" i="1962" s="1"/>
  <c r="AC12" i="1962" s="1"/>
  <c r="AF11" i="1962"/>
  <c r="AB11" i="1962"/>
  <c r="Q11" i="1962"/>
  <c r="P11" i="1962" s="1"/>
  <c r="AC11" i="1962" s="1"/>
  <c r="O11" i="1962"/>
  <c r="M11" i="1962"/>
  <c r="AF10" i="1962"/>
  <c r="AB10" i="1962"/>
  <c r="Q10" i="1962"/>
  <c r="P10" i="1962" s="1"/>
  <c r="AC10" i="1962" s="1"/>
  <c r="O10" i="1962"/>
  <c r="M10" i="1962"/>
  <c r="AF9" i="1962"/>
  <c r="Q9" i="1962"/>
  <c r="AF8" i="1962"/>
  <c r="Q8" i="1962"/>
  <c r="AF7" i="1962"/>
  <c r="Q7" i="1962"/>
  <c r="P7" i="1962"/>
  <c r="AC7" i="1962" s="1"/>
  <c r="AF6" i="1962"/>
  <c r="AB6" i="1962"/>
  <c r="Q6" i="1962"/>
  <c r="M6" i="1962"/>
  <c r="O6" i="1962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2" i="1961"/>
  <c r="L21" i="1961"/>
  <c r="K21" i="1961" s="1"/>
  <c r="L20" i="1961"/>
  <c r="K20" i="1961" s="1"/>
  <c r="L19" i="1961"/>
  <c r="L14" i="1961"/>
  <c r="L13" i="1961"/>
  <c r="K12" i="1961"/>
  <c r="AC23" i="1967" l="1"/>
  <c r="M23" i="1967"/>
  <c r="AD20" i="1967"/>
  <c r="AD7" i="1967"/>
  <c r="AD17" i="1967"/>
  <c r="P23" i="1967"/>
  <c r="AD16" i="1966"/>
  <c r="AB22" i="1966"/>
  <c r="K22" i="1966"/>
  <c r="M22" i="1966"/>
  <c r="P22" i="1966"/>
  <c r="AC6" i="1966"/>
  <c r="AC22" i="1965"/>
  <c r="AD8" i="1965"/>
  <c r="M22" i="1965"/>
  <c r="AD20" i="1965"/>
  <c r="AD22" i="1965" s="1"/>
  <c r="AB22" i="1965"/>
  <c r="AD8" i="1964"/>
  <c r="AD6" i="1964"/>
  <c r="AD16" i="1964"/>
  <c r="M22" i="1964"/>
  <c r="AD7" i="1964"/>
  <c r="AC22" i="1964"/>
  <c r="P22" i="1964"/>
  <c r="AD19" i="1964"/>
  <c r="AD18" i="1963"/>
  <c r="Q22" i="1963"/>
  <c r="AD7" i="1963"/>
  <c r="P6" i="1963"/>
  <c r="AC6" i="1963" s="1"/>
  <c r="AD6" i="1963" s="1"/>
  <c r="AD11" i="1963"/>
  <c r="AD13" i="1963"/>
  <c r="AD15" i="1963"/>
  <c r="AD20" i="1963"/>
  <c r="AD10" i="1963"/>
  <c r="AD14" i="1963"/>
  <c r="AD17" i="1963"/>
  <c r="AD19" i="1963"/>
  <c r="M7" i="1963"/>
  <c r="O8" i="1963"/>
  <c r="P9" i="1963"/>
  <c r="AC9" i="1963" s="1"/>
  <c r="P12" i="1963"/>
  <c r="AC12" i="1963" s="1"/>
  <c r="AD12" i="1963" s="1"/>
  <c r="M16" i="1963"/>
  <c r="AB16" i="1963"/>
  <c r="M21" i="1963"/>
  <c r="AB21" i="1963"/>
  <c r="AD21" i="1963" s="1"/>
  <c r="K22" i="1963"/>
  <c r="P8" i="1963"/>
  <c r="AC8" i="1963" s="1"/>
  <c r="AD8" i="1963" s="1"/>
  <c r="O16" i="1963"/>
  <c r="M9" i="1963"/>
  <c r="AB9" i="1963"/>
  <c r="M8" i="1963"/>
  <c r="P21" i="1962"/>
  <c r="AC21" i="1962" s="1"/>
  <c r="AD21" i="1962" s="1"/>
  <c r="O18" i="1962"/>
  <c r="P9" i="1962"/>
  <c r="AC9" i="1962" s="1"/>
  <c r="AD13" i="1962"/>
  <c r="AD16" i="1962"/>
  <c r="AD10" i="1962"/>
  <c r="AF63" i="1962"/>
  <c r="Q22" i="1962"/>
  <c r="O8" i="1962"/>
  <c r="M8" i="1962"/>
  <c r="P8" i="1962"/>
  <c r="AC8" i="1962" s="1"/>
  <c r="AB8" i="1962"/>
  <c r="P6" i="1962"/>
  <c r="AC6" i="1962" s="1"/>
  <c r="AD6" i="1962" s="1"/>
  <c r="AD15" i="1962"/>
  <c r="AD11" i="1962"/>
  <c r="AD14" i="1962"/>
  <c r="AD17" i="1962"/>
  <c r="L22" i="1962"/>
  <c r="O22" i="1962" s="1"/>
  <c r="M7" i="1962"/>
  <c r="AB7" i="1962"/>
  <c r="M9" i="1962"/>
  <c r="AB9" i="1962"/>
  <c r="M12" i="1962"/>
  <c r="AB12" i="1962"/>
  <c r="P18" i="1962"/>
  <c r="AC18" i="1962" s="1"/>
  <c r="AD18" i="1962" s="1"/>
  <c r="M20" i="1962"/>
  <c r="AB20" i="1962"/>
  <c r="O9" i="1962"/>
  <c r="O12" i="1962"/>
  <c r="M19" i="1962"/>
  <c r="AB19" i="1962"/>
  <c r="AD19" i="1962" s="1"/>
  <c r="O20" i="1962"/>
  <c r="O7" i="1962"/>
  <c r="K22" i="1962"/>
  <c r="M18" i="1962"/>
  <c r="L11" i="1961"/>
  <c r="O11" i="1961" s="1"/>
  <c r="K11" i="1961"/>
  <c r="L10" i="1961"/>
  <c r="AF10" i="1961"/>
  <c r="AC10" i="1961"/>
  <c r="AB10" i="1961"/>
  <c r="Q10" i="1961"/>
  <c r="P10" i="1961"/>
  <c r="O10" i="1961"/>
  <c r="M10" i="1961"/>
  <c r="K10" i="1961"/>
  <c r="K9" i="1961"/>
  <c r="L8" i="1961"/>
  <c r="K8" i="1961" s="1"/>
  <c r="L7" i="1961"/>
  <c r="O7" i="1961" s="1"/>
  <c r="L6" i="1961"/>
  <c r="O6" i="1961" s="1"/>
  <c r="K6" i="1961"/>
  <c r="K19" i="1961"/>
  <c r="K18" i="1961"/>
  <c r="K17" i="1961"/>
  <c r="K14" i="1961"/>
  <c r="K13" i="1961"/>
  <c r="K7" i="1961"/>
  <c r="A78" i="1961"/>
  <c r="A79" i="1961" s="1"/>
  <c r="A80" i="1961" s="1"/>
  <c r="A81" i="1961" s="1"/>
  <c r="A82" i="1961" s="1"/>
  <c r="A83" i="1961" s="1"/>
  <c r="AF62" i="1961"/>
  <c r="AF61" i="1961"/>
  <c r="AF64" i="1961" s="1"/>
  <c r="AA23" i="1961"/>
  <c r="Z23" i="1961"/>
  <c r="Y23" i="1961"/>
  <c r="X23" i="1961"/>
  <c r="W23" i="1961"/>
  <c r="V23" i="1961"/>
  <c r="U23" i="1961"/>
  <c r="T23" i="1961"/>
  <c r="S23" i="1961"/>
  <c r="R23" i="1961"/>
  <c r="N23" i="1961"/>
  <c r="J23" i="1961"/>
  <c r="I23" i="1961"/>
  <c r="AF22" i="1961"/>
  <c r="AB22" i="1961"/>
  <c r="Q22" i="1961"/>
  <c r="P22" i="1961" s="1"/>
  <c r="AC22" i="1961" s="1"/>
  <c r="O22" i="1961"/>
  <c r="M22" i="1961"/>
  <c r="K22" i="1961"/>
  <c r="AF21" i="1961"/>
  <c r="Q21" i="1961"/>
  <c r="O21" i="1961"/>
  <c r="AF20" i="1961"/>
  <c r="Q20" i="1961"/>
  <c r="P20" i="1961" s="1"/>
  <c r="AC20" i="1961" s="1"/>
  <c r="AB20" i="1961"/>
  <c r="AF19" i="1961"/>
  <c r="Q19" i="1961"/>
  <c r="P19" i="1961"/>
  <c r="AC19" i="1961" s="1"/>
  <c r="O19" i="1961"/>
  <c r="AB19" i="1961"/>
  <c r="AF18" i="1961"/>
  <c r="AB18" i="1961"/>
  <c r="Q18" i="1961"/>
  <c r="P18" i="1961"/>
  <c r="AC18" i="1961" s="1"/>
  <c r="O18" i="1961"/>
  <c r="M18" i="1961"/>
  <c r="AF17" i="1961"/>
  <c r="Q17" i="1961"/>
  <c r="O17" i="1961"/>
  <c r="AF16" i="1961"/>
  <c r="AB16" i="1961"/>
  <c r="Q16" i="1961"/>
  <c r="P16" i="1961"/>
  <c r="AC16" i="1961" s="1"/>
  <c r="O16" i="1961"/>
  <c r="M16" i="1961"/>
  <c r="K16" i="1961"/>
  <c r="AF15" i="1961"/>
  <c r="AB15" i="1961"/>
  <c r="Q15" i="1961"/>
  <c r="P15" i="1961"/>
  <c r="AC15" i="1961" s="1"/>
  <c r="O15" i="1961"/>
  <c r="M15" i="1961"/>
  <c r="K15" i="1961"/>
  <c r="AF14" i="1961"/>
  <c r="Q14" i="1961"/>
  <c r="P14" i="1961"/>
  <c r="AC14" i="1961" s="1"/>
  <c r="AB14" i="1961"/>
  <c r="AF13" i="1961"/>
  <c r="Q13" i="1961"/>
  <c r="P13" i="1961" s="1"/>
  <c r="AC13" i="1961" s="1"/>
  <c r="O13" i="1961"/>
  <c r="AB13" i="1961"/>
  <c r="AF12" i="1961"/>
  <c r="AB12" i="1961"/>
  <c r="Q12" i="1961"/>
  <c r="P12" i="1961"/>
  <c r="AC12" i="1961" s="1"/>
  <c r="O12" i="1961"/>
  <c r="M12" i="1961"/>
  <c r="AF11" i="1961"/>
  <c r="AB11" i="1961"/>
  <c r="Q11" i="1961"/>
  <c r="P11" i="1961" s="1"/>
  <c r="AC11" i="1961" s="1"/>
  <c r="M11" i="1961"/>
  <c r="AF9" i="1961"/>
  <c r="AB9" i="1961"/>
  <c r="Q9" i="1961"/>
  <c r="P9" i="1961"/>
  <c r="AC9" i="1961" s="1"/>
  <c r="O9" i="1961"/>
  <c r="M9" i="1961"/>
  <c r="AF8" i="1961"/>
  <c r="Q8" i="1961"/>
  <c r="M8" i="1961"/>
  <c r="AF7" i="1961"/>
  <c r="Q7" i="1961"/>
  <c r="P7" i="1961" s="1"/>
  <c r="AC7" i="1961" s="1"/>
  <c r="AF6" i="1961"/>
  <c r="Q6" i="1961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20" i="1960"/>
  <c r="AB20" i="1960" s="1"/>
  <c r="L19" i="1960"/>
  <c r="K19" i="1960" s="1"/>
  <c r="L18" i="1960"/>
  <c r="K18" i="1960" s="1"/>
  <c r="L17" i="1960"/>
  <c r="L16" i="1960"/>
  <c r="M16" i="1960" s="1"/>
  <c r="K16" i="1960"/>
  <c r="L13" i="1960"/>
  <c r="K13" i="1960" s="1"/>
  <c r="L12" i="1960"/>
  <c r="O12" i="1960" s="1"/>
  <c r="L9" i="1960"/>
  <c r="L7" i="1960"/>
  <c r="K21" i="1960"/>
  <c r="K12" i="1960"/>
  <c r="K10" i="1960"/>
  <c r="K9" i="1960"/>
  <c r="K8" i="1960"/>
  <c r="K7" i="1960"/>
  <c r="K6" i="1960"/>
  <c r="A77" i="1960"/>
  <c r="A78" i="1960" s="1"/>
  <c r="A79" i="1960" s="1"/>
  <c r="A80" i="1960" s="1"/>
  <c r="A81" i="1960" s="1"/>
  <c r="A82" i="1960" s="1"/>
  <c r="AF63" i="1960"/>
  <c r="AF61" i="1960"/>
  <c r="AF60" i="1960"/>
  <c r="AA22" i="1960"/>
  <c r="Z22" i="1960"/>
  <c r="Y22" i="1960"/>
  <c r="X22" i="1960"/>
  <c r="W22" i="1960"/>
  <c r="V22" i="1960"/>
  <c r="U22" i="1960"/>
  <c r="T22" i="1960"/>
  <c r="S22" i="1960"/>
  <c r="R22" i="1960"/>
  <c r="N22" i="1960"/>
  <c r="J22" i="1960"/>
  <c r="I22" i="1960"/>
  <c r="AF21" i="1960"/>
  <c r="Q21" i="1960"/>
  <c r="P21" i="1960"/>
  <c r="AC21" i="1960" s="1"/>
  <c r="O21" i="1960"/>
  <c r="AB21" i="1960"/>
  <c r="AF20" i="1960"/>
  <c r="Q20" i="1960"/>
  <c r="O20" i="1960"/>
  <c r="AF19" i="1960"/>
  <c r="Q19" i="1960"/>
  <c r="M19" i="1960"/>
  <c r="O19" i="1960"/>
  <c r="AF18" i="1960"/>
  <c r="Q18" i="1960"/>
  <c r="AB18" i="1960"/>
  <c r="AF17" i="1960"/>
  <c r="Q17" i="1960"/>
  <c r="O17" i="1960"/>
  <c r="AF16" i="1960"/>
  <c r="AB16" i="1960"/>
  <c r="Q16" i="1960"/>
  <c r="AF15" i="1960"/>
  <c r="AB15" i="1960"/>
  <c r="Q15" i="1960"/>
  <c r="P15" i="1960"/>
  <c r="AC15" i="1960" s="1"/>
  <c r="AD15" i="1960" s="1"/>
  <c r="O15" i="1960"/>
  <c r="M15" i="1960"/>
  <c r="K15" i="1960"/>
  <c r="AF14" i="1960"/>
  <c r="AB14" i="1960"/>
  <c r="Q14" i="1960"/>
  <c r="P14" i="1960"/>
  <c r="AC14" i="1960" s="1"/>
  <c r="AD14" i="1960" s="1"/>
  <c r="O14" i="1960"/>
  <c r="M14" i="1960"/>
  <c r="K14" i="1960"/>
  <c r="AF13" i="1960"/>
  <c r="Q13" i="1960"/>
  <c r="P13" i="1960"/>
  <c r="AC13" i="1960" s="1"/>
  <c r="AF12" i="1960"/>
  <c r="Q12" i="1960"/>
  <c r="P12" i="1960"/>
  <c r="AC12" i="1960" s="1"/>
  <c r="AF11" i="1960"/>
  <c r="AB11" i="1960"/>
  <c r="Q11" i="1960"/>
  <c r="P11" i="1960"/>
  <c r="AC11" i="1960" s="1"/>
  <c r="AD11" i="1960" s="1"/>
  <c r="O11" i="1960"/>
  <c r="M11" i="1960"/>
  <c r="K11" i="1960"/>
  <c r="AF10" i="1960"/>
  <c r="AB10" i="1960"/>
  <c r="Q10" i="1960"/>
  <c r="P10" i="1960"/>
  <c r="AC10" i="1960" s="1"/>
  <c r="AD10" i="1960" s="1"/>
  <c r="M10" i="1960"/>
  <c r="O10" i="1960"/>
  <c r="AF9" i="1960"/>
  <c r="Q9" i="1960"/>
  <c r="O9" i="1960"/>
  <c r="P9" i="1960"/>
  <c r="AC9" i="1960" s="1"/>
  <c r="AF8" i="1960"/>
  <c r="AB8" i="1960"/>
  <c r="Q8" i="1960"/>
  <c r="P8" i="1960"/>
  <c r="AC8" i="1960" s="1"/>
  <c r="O8" i="1960"/>
  <c r="M8" i="1960"/>
  <c r="AF7" i="1960"/>
  <c r="Q7" i="1960"/>
  <c r="AB7" i="1960"/>
  <c r="AF6" i="1960"/>
  <c r="AB6" i="1960"/>
  <c r="Q6" i="1960"/>
  <c r="P6" i="1960"/>
  <c r="M6" i="1960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21" i="1959"/>
  <c r="K21" i="1959" s="1"/>
  <c r="L20" i="1959"/>
  <c r="M20" i="1959" s="1"/>
  <c r="L19" i="1959"/>
  <c r="K19" i="1959" s="1"/>
  <c r="L18" i="1959"/>
  <c r="K18" i="1959"/>
  <c r="K17" i="1959"/>
  <c r="L16" i="1959"/>
  <c r="K16" i="1959" s="1"/>
  <c r="L13" i="1959"/>
  <c r="L12" i="1959"/>
  <c r="L10" i="1959"/>
  <c r="L9" i="1959"/>
  <c r="L8" i="1959"/>
  <c r="K8" i="1959"/>
  <c r="L7" i="1959"/>
  <c r="L6" i="1959"/>
  <c r="K13" i="1959"/>
  <c r="K12" i="1959"/>
  <c r="K10" i="1959"/>
  <c r="K9" i="1959"/>
  <c r="K7" i="1959"/>
  <c r="K6" i="1959"/>
  <c r="A79" i="1959"/>
  <c r="A80" i="1959" s="1"/>
  <c r="A81" i="1959" s="1"/>
  <c r="A82" i="1959" s="1"/>
  <c r="A78" i="1959"/>
  <c r="A77" i="1959"/>
  <c r="AF61" i="1959"/>
  <c r="AF60" i="1959"/>
  <c r="AF63" i="1959" s="1"/>
  <c r="AA22" i="1959"/>
  <c r="Z22" i="1959"/>
  <c r="Y22" i="1959"/>
  <c r="X22" i="1959"/>
  <c r="W22" i="1959"/>
  <c r="V22" i="1959"/>
  <c r="U22" i="1959"/>
  <c r="T22" i="1959"/>
  <c r="S22" i="1959"/>
  <c r="R22" i="1959"/>
  <c r="N22" i="1959"/>
  <c r="J22" i="1959"/>
  <c r="I22" i="1959"/>
  <c r="AF21" i="1959"/>
  <c r="AB21" i="1959"/>
  <c r="Q21" i="1959"/>
  <c r="P21" i="1959" s="1"/>
  <c r="AC21" i="1959" s="1"/>
  <c r="M21" i="1959"/>
  <c r="AF20" i="1959"/>
  <c r="Q20" i="1959"/>
  <c r="O20" i="1959"/>
  <c r="AF19" i="1959"/>
  <c r="Q19" i="1959"/>
  <c r="P19" i="1959" s="1"/>
  <c r="AC19" i="1959" s="1"/>
  <c r="O19" i="1959"/>
  <c r="AF18" i="1959"/>
  <c r="Q18" i="1959"/>
  <c r="P18" i="1959" s="1"/>
  <c r="AC18" i="1959" s="1"/>
  <c r="AF17" i="1959"/>
  <c r="Q17" i="1959"/>
  <c r="P17" i="1959" s="1"/>
  <c r="AC17" i="1959" s="1"/>
  <c r="O17" i="1959"/>
  <c r="AB17" i="1959"/>
  <c r="AF16" i="1959"/>
  <c r="AB16" i="1959"/>
  <c r="Q16" i="1959"/>
  <c r="P16" i="1959" s="1"/>
  <c r="AC16" i="1959" s="1"/>
  <c r="AD16" i="1959" s="1"/>
  <c r="O16" i="1959"/>
  <c r="M16" i="1959"/>
  <c r="AF15" i="1959"/>
  <c r="AB15" i="1959"/>
  <c r="Q15" i="1959"/>
  <c r="P15" i="1959"/>
  <c r="AC15" i="1959" s="1"/>
  <c r="AD15" i="1959" s="1"/>
  <c r="O15" i="1959"/>
  <c r="M15" i="1959"/>
  <c r="K15" i="1959"/>
  <c r="AF14" i="1959"/>
  <c r="AB14" i="1959"/>
  <c r="Q14" i="1959"/>
  <c r="P14" i="1959"/>
  <c r="AC14" i="1959" s="1"/>
  <c r="O14" i="1959"/>
  <c r="M14" i="1959"/>
  <c r="K14" i="1959"/>
  <c r="AF13" i="1959"/>
  <c r="AB13" i="1959"/>
  <c r="Q13" i="1959"/>
  <c r="P13" i="1959" s="1"/>
  <c r="AC13" i="1959" s="1"/>
  <c r="M13" i="1959"/>
  <c r="AF12" i="1959"/>
  <c r="Q12" i="1959"/>
  <c r="P12" i="1959"/>
  <c r="AC12" i="1959" s="1"/>
  <c r="AF11" i="1959"/>
  <c r="AB11" i="1959"/>
  <c r="Q11" i="1959"/>
  <c r="P11" i="1959"/>
  <c r="AC11" i="1959" s="1"/>
  <c r="O11" i="1959"/>
  <c r="M11" i="1959"/>
  <c r="K11" i="1959"/>
  <c r="AF10" i="1959"/>
  <c r="AB10" i="1959"/>
  <c r="Q10" i="1959"/>
  <c r="P10" i="1959" s="1"/>
  <c r="AC10" i="1959" s="1"/>
  <c r="M10" i="1959"/>
  <c r="AF9" i="1959"/>
  <c r="Q9" i="1959"/>
  <c r="P9" i="1959"/>
  <c r="AC9" i="1959" s="1"/>
  <c r="AF8" i="1959"/>
  <c r="Q8" i="1959"/>
  <c r="AB8" i="1959"/>
  <c r="AF7" i="1959"/>
  <c r="AB7" i="1959"/>
  <c r="Q7" i="1959"/>
  <c r="P7" i="1959"/>
  <c r="AC7" i="1959" s="1"/>
  <c r="AD7" i="1959" s="1"/>
  <c r="O7" i="1959"/>
  <c r="M7" i="1959"/>
  <c r="AF6" i="1959"/>
  <c r="AB6" i="1959"/>
  <c r="Q6" i="1959"/>
  <c r="M6" i="1959"/>
  <c r="P6" i="1959"/>
  <c r="AE6" i="1958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1" i="1958"/>
  <c r="K21" i="1958" s="1"/>
  <c r="L18" i="1958"/>
  <c r="K18" i="1958" s="1"/>
  <c r="L17" i="1958"/>
  <c r="O17" i="1958" s="1"/>
  <c r="K17" i="1958"/>
  <c r="L16" i="1958"/>
  <c r="L13" i="1958"/>
  <c r="K13" i="1958" s="1"/>
  <c r="L12" i="1958"/>
  <c r="K12" i="1958" s="1"/>
  <c r="L10" i="1958"/>
  <c r="K10" i="1958" s="1"/>
  <c r="L9" i="1958"/>
  <c r="K9" i="1958" s="1"/>
  <c r="L8" i="1958"/>
  <c r="K8" i="1958" s="1"/>
  <c r="L7" i="1958"/>
  <c r="K7" i="1958" s="1"/>
  <c r="K6" i="1958"/>
  <c r="L6" i="1958"/>
  <c r="M6" i="1958" s="1"/>
  <c r="AF6" i="1958"/>
  <c r="Q6" i="1958"/>
  <c r="O6" i="1958"/>
  <c r="K19" i="1958"/>
  <c r="K16" i="1958"/>
  <c r="K14" i="1958"/>
  <c r="A77" i="1958"/>
  <c r="A78" i="1958" s="1"/>
  <c r="A79" i="1958" s="1"/>
  <c r="A80" i="1958" s="1"/>
  <c r="A81" i="1958" s="1"/>
  <c r="A82" i="1958" s="1"/>
  <c r="AF63" i="1958"/>
  <c r="AF61" i="1958"/>
  <c r="AF60" i="1958"/>
  <c r="AA22" i="1958"/>
  <c r="Z22" i="1958"/>
  <c r="Y22" i="1958"/>
  <c r="X22" i="1958"/>
  <c r="W22" i="1958"/>
  <c r="V22" i="1958"/>
  <c r="U22" i="1958"/>
  <c r="T22" i="1958"/>
  <c r="S22" i="1958"/>
  <c r="R22" i="1958"/>
  <c r="N22" i="1958"/>
  <c r="J22" i="1958"/>
  <c r="I22" i="1958"/>
  <c r="AF21" i="1958"/>
  <c r="Q21" i="1958"/>
  <c r="P21" i="1958"/>
  <c r="AC21" i="1958" s="1"/>
  <c r="O21" i="1958"/>
  <c r="AB21" i="1958"/>
  <c r="AF20" i="1958"/>
  <c r="AB20" i="1958"/>
  <c r="Q20" i="1958"/>
  <c r="P20" i="1958"/>
  <c r="AC20" i="1958" s="1"/>
  <c r="O20" i="1958"/>
  <c r="M20" i="1958"/>
  <c r="K20" i="1958"/>
  <c r="AF19" i="1958"/>
  <c r="AB19" i="1958"/>
  <c r="Q19" i="1958"/>
  <c r="P19" i="1958" s="1"/>
  <c r="AC19" i="1958" s="1"/>
  <c r="O19" i="1958"/>
  <c r="M19" i="1958"/>
  <c r="AF18" i="1958"/>
  <c r="AB18" i="1958"/>
  <c r="Q18" i="1958"/>
  <c r="P18" i="1958"/>
  <c r="AC18" i="1958" s="1"/>
  <c r="O18" i="1958"/>
  <c r="M18" i="1958"/>
  <c r="AF17" i="1958"/>
  <c r="Q17" i="1958"/>
  <c r="P17" i="1958" s="1"/>
  <c r="AC17" i="1958" s="1"/>
  <c r="AF16" i="1958"/>
  <c r="Q16" i="1958"/>
  <c r="P16" i="1958"/>
  <c r="AC16" i="1958" s="1"/>
  <c r="O16" i="1958"/>
  <c r="AF15" i="1958"/>
  <c r="AB15" i="1958"/>
  <c r="Q15" i="1958"/>
  <c r="P15" i="1958"/>
  <c r="AC15" i="1958" s="1"/>
  <c r="AD15" i="1958" s="1"/>
  <c r="O15" i="1958"/>
  <c r="M15" i="1958"/>
  <c r="K15" i="1958"/>
  <c r="AF14" i="1958"/>
  <c r="AB14" i="1958"/>
  <c r="Q14" i="1958"/>
  <c r="P14" i="1958"/>
  <c r="AC14" i="1958" s="1"/>
  <c r="O14" i="1958"/>
  <c r="M14" i="1958"/>
  <c r="AF13" i="1958"/>
  <c r="AB13" i="1958"/>
  <c r="Q13" i="1958"/>
  <c r="P13" i="1958" s="1"/>
  <c r="AC13" i="1958" s="1"/>
  <c r="O13" i="1958"/>
  <c r="M13" i="1958"/>
  <c r="AF12" i="1958"/>
  <c r="AB12" i="1958"/>
  <c r="Q12" i="1958"/>
  <c r="O12" i="1958"/>
  <c r="M12" i="1958"/>
  <c r="AF11" i="1958"/>
  <c r="AB11" i="1958"/>
  <c r="Q11" i="1958"/>
  <c r="P11" i="1958"/>
  <c r="AC11" i="1958" s="1"/>
  <c r="O11" i="1958"/>
  <c r="M11" i="1958"/>
  <c r="K11" i="1958"/>
  <c r="AF10" i="1958"/>
  <c r="Q10" i="1958"/>
  <c r="AF9" i="1958"/>
  <c r="AB9" i="1958"/>
  <c r="Q9" i="1958"/>
  <c r="AF8" i="1958"/>
  <c r="Q8" i="1958"/>
  <c r="P8" i="1958"/>
  <c r="AC8" i="1958" s="1"/>
  <c r="AF7" i="1958"/>
  <c r="Q7" i="1958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2" i="1957"/>
  <c r="K22" i="1957" s="1"/>
  <c r="K21" i="1957"/>
  <c r="K20" i="1957"/>
  <c r="L19" i="1957"/>
  <c r="K19" i="1957" s="1"/>
  <c r="L17" i="1957"/>
  <c r="O17" i="1957" s="1"/>
  <c r="K17" i="1957"/>
  <c r="AF16" i="1957"/>
  <c r="AB16" i="1957"/>
  <c r="Q16" i="1957"/>
  <c r="P16" i="1957" s="1"/>
  <c r="AC16" i="1957" s="1"/>
  <c r="AD16" i="1957" s="1"/>
  <c r="O16" i="1957"/>
  <c r="M16" i="1957"/>
  <c r="K16" i="1957"/>
  <c r="K14" i="1957"/>
  <c r="L12" i="1957"/>
  <c r="K12" i="1957" s="1"/>
  <c r="L10" i="1957"/>
  <c r="O10" i="1957" s="1"/>
  <c r="L9" i="1957"/>
  <c r="O9" i="1957" s="1"/>
  <c r="L7" i="1957"/>
  <c r="AB6" i="1957"/>
  <c r="K6" i="1957"/>
  <c r="K13" i="1957"/>
  <c r="K10" i="1957"/>
  <c r="K8" i="1957"/>
  <c r="A78" i="1957"/>
  <c r="A79" i="1957" s="1"/>
  <c r="A80" i="1957" s="1"/>
  <c r="A81" i="1957" s="1"/>
  <c r="A82" i="1957" s="1"/>
  <c r="A83" i="1957" s="1"/>
  <c r="AF62" i="1957"/>
  <c r="AF61" i="1957"/>
  <c r="AF64" i="1957" s="1"/>
  <c r="AA23" i="1957"/>
  <c r="Z23" i="1957"/>
  <c r="Y23" i="1957"/>
  <c r="X23" i="1957"/>
  <c r="W23" i="1957"/>
  <c r="V23" i="1957"/>
  <c r="U23" i="1957"/>
  <c r="T23" i="1957"/>
  <c r="S23" i="1957"/>
  <c r="R23" i="1957"/>
  <c r="N23" i="1957"/>
  <c r="J23" i="1957"/>
  <c r="I23" i="1957"/>
  <c r="AF22" i="1957"/>
  <c r="Q22" i="1957"/>
  <c r="P22" i="1957"/>
  <c r="AC22" i="1957" s="1"/>
  <c r="O22" i="1957"/>
  <c r="AF21" i="1957"/>
  <c r="AB21" i="1957"/>
  <c r="Q21" i="1957"/>
  <c r="P21" i="1957"/>
  <c r="AC21" i="1957" s="1"/>
  <c r="O21" i="1957"/>
  <c r="M21" i="1957"/>
  <c r="AF20" i="1957"/>
  <c r="AB20" i="1957"/>
  <c r="Q20" i="1957"/>
  <c r="M20" i="1957"/>
  <c r="O20" i="1957"/>
  <c r="AF19" i="1957"/>
  <c r="Q19" i="1957"/>
  <c r="AB19" i="1957"/>
  <c r="AF18" i="1957"/>
  <c r="AB18" i="1957"/>
  <c r="Q18" i="1957"/>
  <c r="P18" i="1957"/>
  <c r="AC18" i="1957" s="1"/>
  <c r="O18" i="1957"/>
  <c r="M18" i="1957"/>
  <c r="K18" i="1957"/>
  <c r="AF17" i="1957"/>
  <c r="Q17" i="1957"/>
  <c r="AF15" i="1957"/>
  <c r="AB15" i="1957"/>
  <c r="Q15" i="1957"/>
  <c r="P15" i="1957"/>
  <c r="AC15" i="1957" s="1"/>
  <c r="O15" i="1957"/>
  <c r="M15" i="1957"/>
  <c r="K15" i="1957"/>
  <c r="AF14" i="1957"/>
  <c r="AB14" i="1957"/>
  <c r="Q14" i="1957"/>
  <c r="P14" i="1957" s="1"/>
  <c r="AC14" i="1957" s="1"/>
  <c r="O14" i="1957"/>
  <c r="M14" i="1957"/>
  <c r="AF13" i="1957"/>
  <c r="Q13" i="1957"/>
  <c r="P13" i="1957"/>
  <c r="AC13" i="1957" s="1"/>
  <c r="AB13" i="1957"/>
  <c r="AF12" i="1957"/>
  <c r="Q12" i="1957"/>
  <c r="P12" i="1957" s="1"/>
  <c r="AC12" i="1957" s="1"/>
  <c r="AF11" i="1957"/>
  <c r="AB11" i="1957"/>
  <c r="Q11" i="1957"/>
  <c r="P11" i="1957"/>
  <c r="AC11" i="1957" s="1"/>
  <c r="O11" i="1957"/>
  <c r="M11" i="1957"/>
  <c r="K11" i="1957"/>
  <c r="AF10" i="1957"/>
  <c r="Q10" i="1957"/>
  <c r="P10" i="1957"/>
  <c r="AC10" i="1957" s="1"/>
  <c r="AF9" i="1957"/>
  <c r="AB9" i="1957"/>
  <c r="Q9" i="1957"/>
  <c r="P9" i="1957"/>
  <c r="AC9" i="1957" s="1"/>
  <c r="M9" i="1957"/>
  <c r="AF8" i="1957"/>
  <c r="AB8" i="1957"/>
  <c r="Q8" i="1957"/>
  <c r="P8" i="1957" s="1"/>
  <c r="AC8" i="1957" s="1"/>
  <c r="O8" i="1957"/>
  <c r="M8" i="1957"/>
  <c r="AF7" i="1957"/>
  <c r="Q7" i="1957"/>
  <c r="AF6" i="1957"/>
  <c r="Q6" i="1957"/>
  <c r="P6" i="1957" s="1"/>
  <c r="AC6" i="1957" s="1"/>
  <c r="O6" i="1957"/>
  <c r="K8" i="195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4" i="16"/>
  <c r="J3" i="16"/>
  <c r="L21" i="1956"/>
  <c r="L20" i="1956"/>
  <c r="K20" i="1956"/>
  <c r="L19" i="1956"/>
  <c r="AB19" i="1956" s="1"/>
  <c r="L18" i="1956"/>
  <c r="L16" i="1956"/>
  <c r="K16" i="1956"/>
  <c r="K14" i="1956"/>
  <c r="L13" i="1956"/>
  <c r="L12" i="1956"/>
  <c r="L10" i="1956"/>
  <c r="L7" i="1956"/>
  <c r="K7" i="1956" s="1"/>
  <c r="L6" i="1956"/>
  <c r="K6" i="1956" s="1"/>
  <c r="K21" i="1956"/>
  <c r="K18" i="1956"/>
  <c r="K13" i="1956"/>
  <c r="K12" i="1956"/>
  <c r="K10" i="1956"/>
  <c r="K9" i="1956"/>
  <c r="A77" i="1956"/>
  <c r="A78" i="1956" s="1"/>
  <c r="A79" i="1956" s="1"/>
  <c r="A80" i="1956" s="1"/>
  <c r="A81" i="1956" s="1"/>
  <c r="A82" i="1956" s="1"/>
  <c r="AF61" i="1956"/>
  <c r="AF60" i="1956"/>
  <c r="AF63" i="1956" s="1"/>
  <c r="AA22" i="1956"/>
  <c r="Z22" i="1956"/>
  <c r="Y22" i="1956"/>
  <c r="X22" i="1956"/>
  <c r="W22" i="1956"/>
  <c r="V22" i="1956"/>
  <c r="U22" i="1956"/>
  <c r="T22" i="1956"/>
  <c r="S22" i="1956"/>
  <c r="R22" i="1956"/>
  <c r="N22" i="1956"/>
  <c r="J22" i="1956"/>
  <c r="I22" i="1956"/>
  <c r="AF21" i="1956"/>
  <c r="Q21" i="1956"/>
  <c r="P21" i="1956"/>
  <c r="AC21" i="1956" s="1"/>
  <c r="O21" i="1956"/>
  <c r="AF20" i="1956"/>
  <c r="Q20" i="1956"/>
  <c r="P20" i="1956"/>
  <c r="AC20" i="1956" s="1"/>
  <c r="O20" i="1956"/>
  <c r="AB20" i="1956"/>
  <c r="AF19" i="1956"/>
  <c r="Q19" i="1956"/>
  <c r="O19" i="1956"/>
  <c r="AF18" i="1956"/>
  <c r="Q18" i="1956"/>
  <c r="AB18" i="1956"/>
  <c r="AF17" i="1956"/>
  <c r="AB17" i="1956"/>
  <c r="Q17" i="1956"/>
  <c r="P17" i="1956"/>
  <c r="AC17" i="1956" s="1"/>
  <c r="AD17" i="1956" s="1"/>
  <c r="O17" i="1956"/>
  <c r="M17" i="1956"/>
  <c r="K17" i="1956"/>
  <c r="AF16" i="1956"/>
  <c r="AB16" i="1956"/>
  <c r="Q16" i="1956"/>
  <c r="M16" i="1956"/>
  <c r="O16" i="1956"/>
  <c r="AF15" i="1956"/>
  <c r="AB15" i="1956"/>
  <c r="Q15" i="1956"/>
  <c r="P15" i="1956"/>
  <c r="AC15" i="1956" s="1"/>
  <c r="AD15" i="1956" s="1"/>
  <c r="O15" i="1956"/>
  <c r="M15" i="1956"/>
  <c r="K15" i="1956"/>
  <c r="AF14" i="1956"/>
  <c r="AB14" i="1956"/>
  <c r="Q14" i="1956"/>
  <c r="P14" i="1956" s="1"/>
  <c r="AC14" i="1956" s="1"/>
  <c r="O14" i="1956"/>
  <c r="M14" i="1956"/>
  <c r="AF13" i="1956"/>
  <c r="Q13" i="1956"/>
  <c r="AB13" i="1956"/>
  <c r="AF12" i="1956"/>
  <c r="Q12" i="1956"/>
  <c r="P12" i="1956"/>
  <c r="AC12" i="1956" s="1"/>
  <c r="O12" i="1956"/>
  <c r="AF11" i="1956"/>
  <c r="AC11" i="1956"/>
  <c r="AD11" i="1956" s="1"/>
  <c r="AB11" i="1956"/>
  <c r="Q11" i="1956"/>
  <c r="P11" i="1956"/>
  <c r="O11" i="1956"/>
  <c r="M11" i="1956"/>
  <c r="K11" i="1956"/>
  <c r="AF10" i="1956"/>
  <c r="Q10" i="1956"/>
  <c r="AB10" i="1956"/>
  <c r="AF9" i="1956"/>
  <c r="Q9" i="1956"/>
  <c r="P9" i="1956"/>
  <c r="AC9" i="1956" s="1"/>
  <c r="O9" i="1956"/>
  <c r="AF8" i="1956"/>
  <c r="AB8" i="1956"/>
  <c r="Q8" i="1956"/>
  <c r="P8" i="1956"/>
  <c r="AC8" i="1956" s="1"/>
  <c r="O8" i="1956"/>
  <c r="M8" i="1956"/>
  <c r="AF7" i="1956"/>
  <c r="AB7" i="1956"/>
  <c r="Q7" i="1956"/>
  <c r="P7" i="1956" s="1"/>
  <c r="AC7" i="1956" s="1"/>
  <c r="O7" i="1956"/>
  <c r="M7" i="1956"/>
  <c r="AF6" i="1956"/>
  <c r="Q6" i="1956"/>
  <c r="AB6" i="195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21" i="1955"/>
  <c r="L20" i="1955"/>
  <c r="L19" i="1955"/>
  <c r="L18" i="1955"/>
  <c r="K18" i="1955"/>
  <c r="L16" i="1955"/>
  <c r="K16" i="1955"/>
  <c r="L13" i="1955"/>
  <c r="K13" i="1955"/>
  <c r="L12" i="1955"/>
  <c r="K12" i="1955" s="1"/>
  <c r="L10" i="1955"/>
  <c r="L9" i="1955"/>
  <c r="L8" i="1955"/>
  <c r="K8" i="1955" s="1"/>
  <c r="L7" i="1955"/>
  <c r="K7" i="1955" s="1"/>
  <c r="L6" i="1955"/>
  <c r="K6" i="1955" s="1"/>
  <c r="K21" i="1955"/>
  <c r="K20" i="1955"/>
  <c r="K19" i="1955"/>
  <c r="K14" i="1955"/>
  <c r="K10" i="1955"/>
  <c r="K9" i="1955"/>
  <c r="A77" i="1955"/>
  <c r="A78" i="1955" s="1"/>
  <c r="A79" i="1955" s="1"/>
  <c r="A80" i="1955" s="1"/>
  <c r="A81" i="1955" s="1"/>
  <c r="A82" i="1955" s="1"/>
  <c r="AF63" i="1955"/>
  <c r="AF61" i="1955"/>
  <c r="AF60" i="1955"/>
  <c r="AA22" i="1955"/>
  <c r="Z22" i="1955"/>
  <c r="Y22" i="1955"/>
  <c r="X22" i="1955"/>
  <c r="W22" i="1955"/>
  <c r="V22" i="1955"/>
  <c r="U22" i="1955"/>
  <c r="T22" i="1955"/>
  <c r="S22" i="1955"/>
  <c r="R22" i="1955"/>
  <c r="N22" i="1955"/>
  <c r="J22" i="1955"/>
  <c r="I22" i="1955"/>
  <c r="AF21" i="1955"/>
  <c r="Q21" i="1955"/>
  <c r="P21" i="1955" s="1"/>
  <c r="AC21" i="1955" s="1"/>
  <c r="O21" i="1955"/>
  <c r="AF20" i="1955"/>
  <c r="AB20" i="1955"/>
  <c r="Q20" i="1955"/>
  <c r="P20" i="1955" s="1"/>
  <c r="AC20" i="1955" s="1"/>
  <c r="O20" i="1955"/>
  <c r="M20" i="1955"/>
  <c r="AF19" i="1955"/>
  <c r="AB19" i="1955"/>
  <c r="Q19" i="1955"/>
  <c r="P19" i="1955"/>
  <c r="AC19" i="1955" s="1"/>
  <c r="O19" i="1955"/>
  <c r="M19" i="1955"/>
  <c r="AF18" i="1955"/>
  <c r="AB18" i="1955"/>
  <c r="Q18" i="1955"/>
  <c r="P18" i="1955" s="1"/>
  <c r="AC18" i="1955" s="1"/>
  <c r="O18" i="1955"/>
  <c r="M18" i="1955"/>
  <c r="AF17" i="1955"/>
  <c r="AB17" i="1955"/>
  <c r="Q17" i="1955"/>
  <c r="P17" i="1955"/>
  <c r="AC17" i="1955" s="1"/>
  <c r="O17" i="1955"/>
  <c r="M17" i="1955"/>
  <c r="K17" i="1955"/>
  <c r="AF16" i="1955"/>
  <c r="AB16" i="1955"/>
  <c r="Q16" i="1955"/>
  <c r="P16" i="1955" s="1"/>
  <c r="AC16" i="1955" s="1"/>
  <c r="O16" i="1955"/>
  <c r="M16" i="1955"/>
  <c r="AF15" i="1955"/>
  <c r="AB15" i="1955"/>
  <c r="Q15" i="1955"/>
  <c r="P15" i="1955"/>
  <c r="AC15" i="1955" s="1"/>
  <c r="O15" i="1955"/>
  <c r="M15" i="1955"/>
  <c r="K15" i="1955"/>
  <c r="AF14" i="1955"/>
  <c r="AB14" i="1955"/>
  <c r="Q14" i="1955"/>
  <c r="P14" i="1955"/>
  <c r="AC14" i="1955" s="1"/>
  <c r="O14" i="1955"/>
  <c r="M14" i="1955"/>
  <c r="AF13" i="1955"/>
  <c r="AB13" i="1955"/>
  <c r="Q13" i="1955"/>
  <c r="P13" i="1955" s="1"/>
  <c r="AC13" i="1955" s="1"/>
  <c r="O13" i="1955"/>
  <c r="M13" i="1955"/>
  <c r="AF12" i="1955"/>
  <c r="Q12" i="1955"/>
  <c r="P12" i="1955"/>
  <c r="AC12" i="1955" s="1"/>
  <c r="M12" i="1955"/>
  <c r="AF11" i="1955"/>
  <c r="AB11" i="1955"/>
  <c r="Q11" i="1955"/>
  <c r="P11" i="1955"/>
  <c r="AC11" i="1955" s="1"/>
  <c r="O11" i="1955"/>
  <c r="M11" i="1955"/>
  <c r="K11" i="1955"/>
  <c r="AF10" i="1955"/>
  <c r="AB10" i="1955"/>
  <c r="Q10" i="1955"/>
  <c r="P10" i="1955"/>
  <c r="AC10" i="1955" s="1"/>
  <c r="O10" i="1955"/>
  <c r="M10" i="1955"/>
  <c r="AF9" i="1955"/>
  <c r="AB9" i="1955"/>
  <c r="Q9" i="1955"/>
  <c r="P9" i="1955"/>
  <c r="AC9" i="1955" s="1"/>
  <c r="O9" i="1955"/>
  <c r="M9" i="1955"/>
  <c r="AF8" i="1955"/>
  <c r="AB8" i="1955"/>
  <c r="Q8" i="1955"/>
  <c r="P8" i="1955" s="1"/>
  <c r="AC8" i="1955" s="1"/>
  <c r="O8" i="1955"/>
  <c r="M8" i="1955"/>
  <c r="AF7" i="1955"/>
  <c r="AB7" i="1955"/>
  <c r="Q7" i="1955"/>
  <c r="AF6" i="1955"/>
  <c r="AB6" i="1955"/>
  <c r="Q6" i="1955"/>
  <c r="P6" i="1955"/>
  <c r="AC6" i="1955" s="1"/>
  <c r="O6" i="1955"/>
  <c r="M6" i="1955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21" i="1954"/>
  <c r="K21" i="1954" s="1"/>
  <c r="K20" i="1954"/>
  <c r="K14" i="1954"/>
  <c r="K19" i="1954"/>
  <c r="K18" i="1954"/>
  <c r="K17" i="1954"/>
  <c r="K16" i="1954"/>
  <c r="K12" i="1954"/>
  <c r="K10" i="1954"/>
  <c r="K9" i="1954"/>
  <c r="K8" i="1954"/>
  <c r="K7" i="1954"/>
  <c r="K6" i="1954"/>
  <c r="A77" i="1954"/>
  <c r="A78" i="1954" s="1"/>
  <c r="A79" i="1954" s="1"/>
  <c r="A80" i="1954" s="1"/>
  <c r="A81" i="1954" s="1"/>
  <c r="A82" i="1954" s="1"/>
  <c r="AF61" i="1954"/>
  <c r="AF60" i="1954"/>
  <c r="AF63" i="1954" s="1"/>
  <c r="AA22" i="1954"/>
  <c r="Z22" i="1954"/>
  <c r="Y22" i="1954"/>
  <c r="X22" i="1954"/>
  <c r="W22" i="1954"/>
  <c r="V22" i="1954"/>
  <c r="U22" i="1954"/>
  <c r="T22" i="1954"/>
  <c r="S22" i="1954"/>
  <c r="R22" i="1954"/>
  <c r="N22" i="1954"/>
  <c r="J22" i="1954"/>
  <c r="I22" i="1954"/>
  <c r="AF21" i="1954"/>
  <c r="Q21" i="1954"/>
  <c r="O21" i="1954"/>
  <c r="M21" i="1954"/>
  <c r="AF20" i="1954"/>
  <c r="AB20" i="1954"/>
  <c r="Q20" i="1954"/>
  <c r="P20" i="1954" s="1"/>
  <c r="AC20" i="1954" s="1"/>
  <c r="O20" i="1954"/>
  <c r="M20" i="1954"/>
  <c r="AF19" i="1954"/>
  <c r="Q19" i="1954"/>
  <c r="AB19" i="1954"/>
  <c r="AF18" i="1954"/>
  <c r="Q18" i="1954"/>
  <c r="P18" i="1954" s="1"/>
  <c r="AC18" i="1954" s="1"/>
  <c r="O18" i="1954"/>
  <c r="AF17" i="1954"/>
  <c r="Q17" i="1954"/>
  <c r="P17" i="1954"/>
  <c r="AC17" i="1954" s="1"/>
  <c r="O17" i="1954"/>
  <c r="AB17" i="1954"/>
  <c r="AF16" i="1954"/>
  <c r="Q16" i="1954"/>
  <c r="P16" i="1954"/>
  <c r="AC16" i="1954" s="1"/>
  <c r="O16" i="1954"/>
  <c r="AF15" i="1954"/>
  <c r="AB15" i="1954"/>
  <c r="Q15" i="1954"/>
  <c r="P15" i="1954"/>
  <c r="AC15" i="1954" s="1"/>
  <c r="O15" i="1954"/>
  <c r="M15" i="1954"/>
  <c r="K15" i="1954"/>
  <c r="AF14" i="1954"/>
  <c r="AB14" i="1954"/>
  <c r="Q14" i="1954"/>
  <c r="P14" i="1954" s="1"/>
  <c r="AC14" i="1954" s="1"/>
  <c r="O14" i="1954"/>
  <c r="M14" i="1954"/>
  <c r="AF13" i="1954"/>
  <c r="AB13" i="1954"/>
  <c r="Q13" i="1954"/>
  <c r="P13" i="1954"/>
  <c r="AC13" i="1954" s="1"/>
  <c r="O13" i="1954"/>
  <c r="M13" i="1954"/>
  <c r="K13" i="1954"/>
  <c r="AF12" i="1954"/>
  <c r="Q12" i="1954"/>
  <c r="AB12" i="1954"/>
  <c r="AF11" i="1954"/>
  <c r="AB11" i="1954"/>
  <c r="Q11" i="1954"/>
  <c r="P11" i="1954"/>
  <c r="AC11" i="1954" s="1"/>
  <c r="O11" i="1954"/>
  <c r="M11" i="1954"/>
  <c r="K11" i="1954"/>
  <c r="AF10" i="1954"/>
  <c r="AB10" i="1954"/>
  <c r="Q10" i="1954"/>
  <c r="P10" i="1954" s="1"/>
  <c r="AC10" i="1954" s="1"/>
  <c r="O10" i="1954"/>
  <c r="M10" i="1954"/>
  <c r="AF9" i="1954"/>
  <c r="Q9" i="1954"/>
  <c r="AB9" i="1954"/>
  <c r="AF8" i="1954"/>
  <c r="Q8" i="1954"/>
  <c r="P8" i="1954"/>
  <c r="AC8" i="1954" s="1"/>
  <c r="O8" i="1954"/>
  <c r="AF7" i="1954"/>
  <c r="AB7" i="1954"/>
  <c r="Q7" i="1954"/>
  <c r="O7" i="1954"/>
  <c r="M7" i="1954"/>
  <c r="L22" i="1954"/>
  <c r="O22" i="1954" s="1"/>
  <c r="AF6" i="1954"/>
  <c r="AB6" i="1954"/>
  <c r="Q6" i="1954"/>
  <c r="P6" i="1954" s="1"/>
  <c r="AC6" i="1954" s="1"/>
  <c r="O6" i="1954"/>
  <c r="M6" i="1954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4" i="1953"/>
  <c r="L22" i="1953"/>
  <c r="L21" i="1953"/>
  <c r="K21" i="1953" s="1"/>
  <c r="L20" i="1953"/>
  <c r="K20" i="1953" s="1"/>
  <c r="AD23" i="1967" l="1"/>
  <c r="AE11" i="1967" s="1"/>
  <c r="AC22" i="1966"/>
  <c r="AD6" i="1966"/>
  <c r="AD22" i="1966" s="1"/>
  <c r="AE21" i="1965"/>
  <c r="AE12" i="1965"/>
  <c r="AE9" i="1965"/>
  <c r="AE7" i="1965"/>
  <c r="AE18" i="1965"/>
  <c r="AE15" i="1965"/>
  <c r="AE13" i="1965"/>
  <c r="AE6" i="1965"/>
  <c r="AE10" i="1965"/>
  <c r="AE11" i="1965"/>
  <c r="AE8" i="1965"/>
  <c r="AE19" i="1965"/>
  <c r="AE16" i="1965"/>
  <c r="AE20" i="1965"/>
  <c r="AE17" i="1965"/>
  <c r="AE14" i="1965"/>
  <c r="AD22" i="1964"/>
  <c r="AE13" i="1964" s="1"/>
  <c r="AB22" i="1963"/>
  <c r="M22" i="1963"/>
  <c r="AD16" i="1963"/>
  <c r="AD9" i="1963"/>
  <c r="AC22" i="1963"/>
  <c r="P22" i="1963"/>
  <c r="AD12" i="1962"/>
  <c r="P22" i="1962"/>
  <c r="AD8" i="1962"/>
  <c r="AD20" i="1962"/>
  <c r="AD9" i="1962"/>
  <c r="M22" i="1962"/>
  <c r="AB22" i="1962"/>
  <c r="AD7" i="1962"/>
  <c r="AC22" i="1962"/>
  <c r="AD10" i="1961"/>
  <c r="AD12" i="1961"/>
  <c r="L23" i="1961"/>
  <c r="O23" i="1961" s="1"/>
  <c r="O8" i="1961"/>
  <c r="AD16" i="1961"/>
  <c r="AD22" i="1961"/>
  <c r="P8" i="1961"/>
  <c r="AC8" i="1961" s="1"/>
  <c r="AD15" i="1961"/>
  <c r="AD18" i="1961"/>
  <c r="AB8" i="1961"/>
  <c r="AD9" i="1961"/>
  <c r="Q23" i="1961"/>
  <c r="P6" i="1961"/>
  <c r="AC6" i="1961" s="1"/>
  <c r="M6" i="1961"/>
  <c r="AB6" i="1961"/>
  <c r="AD8" i="1961"/>
  <c r="AD11" i="1961"/>
  <c r="AD19" i="1961"/>
  <c r="AD13" i="1961"/>
  <c r="M7" i="1961"/>
  <c r="AB7" i="1961"/>
  <c r="AD7" i="1961" s="1"/>
  <c r="M13" i="1961"/>
  <c r="O14" i="1961"/>
  <c r="AD14" i="1961" s="1"/>
  <c r="K23" i="1961"/>
  <c r="P17" i="1961"/>
  <c r="AC17" i="1961" s="1"/>
  <c r="M19" i="1961"/>
  <c r="O20" i="1961"/>
  <c r="AD20" i="1961" s="1"/>
  <c r="P21" i="1961"/>
  <c r="AC21" i="1961" s="1"/>
  <c r="M17" i="1961"/>
  <c r="AB17" i="1961"/>
  <c r="M21" i="1961"/>
  <c r="AB21" i="1961"/>
  <c r="M14" i="1961"/>
  <c r="M20" i="1961"/>
  <c r="P20" i="1960"/>
  <c r="AC20" i="1960" s="1"/>
  <c r="AD20" i="1960" s="1"/>
  <c r="K20" i="1960"/>
  <c r="M20" i="1960"/>
  <c r="AB19" i="1960"/>
  <c r="P17" i="1960"/>
  <c r="AC17" i="1960" s="1"/>
  <c r="M17" i="1960"/>
  <c r="AB17" i="1960"/>
  <c r="K17" i="1960"/>
  <c r="L22" i="1960"/>
  <c r="O22" i="1960" s="1"/>
  <c r="O16" i="1960"/>
  <c r="O13" i="1960"/>
  <c r="AB13" i="1960"/>
  <c r="AD13" i="1960" s="1"/>
  <c r="M13" i="1960"/>
  <c r="Q22" i="1960"/>
  <c r="AD8" i="1960"/>
  <c r="AD21" i="1960"/>
  <c r="O7" i="1960"/>
  <c r="O6" i="1960"/>
  <c r="AC6" i="1960"/>
  <c r="P7" i="1960"/>
  <c r="AC7" i="1960" s="1"/>
  <c r="AD7" i="1960" s="1"/>
  <c r="M9" i="1960"/>
  <c r="AB9" i="1960"/>
  <c r="AD9" i="1960" s="1"/>
  <c r="M12" i="1960"/>
  <c r="AB12" i="1960"/>
  <c r="AD12" i="1960" s="1"/>
  <c r="P16" i="1960"/>
  <c r="AC16" i="1960" s="1"/>
  <c r="AD16" i="1960" s="1"/>
  <c r="O18" i="1960"/>
  <c r="P19" i="1960"/>
  <c r="AC19" i="1960" s="1"/>
  <c r="M21" i="1960"/>
  <c r="P18" i="1960"/>
  <c r="AC18" i="1960" s="1"/>
  <c r="M7" i="1960"/>
  <c r="M18" i="1960"/>
  <c r="P20" i="1959"/>
  <c r="AC20" i="1959" s="1"/>
  <c r="AD20" i="1959" s="1"/>
  <c r="K20" i="1959"/>
  <c r="AB20" i="1959"/>
  <c r="AB19" i="1959"/>
  <c r="AD19" i="1959" s="1"/>
  <c r="M19" i="1959"/>
  <c r="Q22" i="1959"/>
  <c r="P8" i="1959"/>
  <c r="AC8" i="1959" s="1"/>
  <c r="AD8" i="1959" s="1"/>
  <c r="O8" i="1959"/>
  <c r="AD14" i="1959"/>
  <c r="AD11" i="1959"/>
  <c r="AD17" i="1959"/>
  <c r="AC6" i="1959"/>
  <c r="O6" i="1959"/>
  <c r="M9" i="1959"/>
  <c r="AB9" i="1959"/>
  <c r="O10" i="1959"/>
  <c r="AD10" i="1959" s="1"/>
  <c r="M12" i="1959"/>
  <c r="AB12" i="1959"/>
  <c r="O13" i="1959"/>
  <c r="AD13" i="1959" s="1"/>
  <c r="M18" i="1959"/>
  <c r="AB18" i="1959"/>
  <c r="O21" i="1959"/>
  <c r="AD21" i="1959" s="1"/>
  <c r="L22" i="1959"/>
  <c r="O22" i="1959" s="1"/>
  <c r="M8" i="1959"/>
  <c r="O9" i="1959"/>
  <c r="O12" i="1959"/>
  <c r="M17" i="1959"/>
  <c r="O18" i="1959"/>
  <c r="M17" i="1958"/>
  <c r="AB17" i="1958"/>
  <c r="AD14" i="1958"/>
  <c r="AD20" i="1958"/>
  <c r="O10" i="1958"/>
  <c r="AD17" i="1958"/>
  <c r="AD18" i="1958"/>
  <c r="P12" i="1958"/>
  <c r="AC12" i="1958" s="1"/>
  <c r="AD12" i="1958" s="1"/>
  <c r="P10" i="1958"/>
  <c r="AC10" i="1958" s="1"/>
  <c r="O9" i="1958"/>
  <c r="M9" i="1958"/>
  <c r="P9" i="1958"/>
  <c r="AC9" i="1958" s="1"/>
  <c r="M8" i="1958"/>
  <c r="AB8" i="1958"/>
  <c r="AD8" i="1958" s="1"/>
  <c r="O8" i="1958"/>
  <c r="O7" i="1958"/>
  <c r="P7" i="1958"/>
  <c r="AC7" i="1958" s="1"/>
  <c r="Q22" i="1958"/>
  <c r="AB6" i="1958"/>
  <c r="P6" i="1958"/>
  <c r="AC6" i="1958" s="1"/>
  <c r="AD11" i="1958"/>
  <c r="AD13" i="1958"/>
  <c r="AD19" i="1958"/>
  <c r="K22" i="1958"/>
  <c r="AD21" i="1958"/>
  <c r="M7" i="1958"/>
  <c r="AB7" i="1958"/>
  <c r="M10" i="1958"/>
  <c r="AB10" i="1958"/>
  <c r="AD10" i="1958" s="1"/>
  <c r="M16" i="1958"/>
  <c r="AB16" i="1958"/>
  <c r="AD16" i="1958" s="1"/>
  <c r="M21" i="1958"/>
  <c r="L22" i="1958"/>
  <c r="O22" i="1958" s="1"/>
  <c r="AB22" i="1957"/>
  <c r="AD22" i="1957" s="1"/>
  <c r="AB12" i="1957"/>
  <c r="AD18" i="1957"/>
  <c r="K9" i="1957"/>
  <c r="AD11" i="1957"/>
  <c r="M12" i="1957"/>
  <c r="O12" i="1957"/>
  <c r="AD14" i="1957"/>
  <c r="AD9" i="1957"/>
  <c r="Q23" i="1957"/>
  <c r="P7" i="1957"/>
  <c r="AC7" i="1957" s="1"/>
  <c r="L23" i="1957"/>
  <c r="O23" i="1957" s="1"/>
  <c r="AB7" i="1957"/>
  <c r="O7" i="1957"/>
  <c r="K7" i="1957"/>
  <c r="M6" i="1957"/>
  <c r="AD12" i="1957"/>
  <c r="AD8" i="1957"/>
  <c r="AD21" i="1957"/>
  <c r="AD15" i="1957"/>
  <c r="AD7" i="1957"/>
  <c r="M17" i="1957"/>
  <c r="AB17" i="1957"/>
  <c r="AD6" i="1957"/>
  <c r="M10" i="1957"/>
  <c r="AB10" i="1957"/>
  <c r="AD10" i="1957" s="1"/>
  <c r="M7" i="1957"/>
  <c r="O13" i="1957"/>
  <c r="AD13" i="1957" s="1"/>
  <c r="P17" i="1957"/>
  <c r="AC17" i="1957" s="1"/>
  <c r="O19" i="1957"/>
  <c r="P20" i="1957"/>
  <c r="AC20" i="1957" s="1"/>
  <c r="AD20" i="1957" s="1"/>
  <c r="M22" i="1957"/>
  <c r="P19" i="1957"/>
  <c r="AC19" i="1957" s="1"/>
  <c r="M13" i="1957"/>
  <c r="M19" i="1957"/>
  <c r="P19" i="1956"/>
  <c r="AC19" i="1956" s="1"/>
  <c r="AD19" i="1956" s="1"/>
  <c r="K19" i="1956"/>
  <c r="K22" i="1956" s="1"/>
  <c r="M19" i="1956"/>
  <c r="AD14" i="1956"/>
  <c r="Q22" i="1956"/>
  <c r="AD8" i="1956"/>
  <c r="J5" i="16" s="1"/>
  <c r="AD7" i="1956"/>
  <c r="AD20" i="1956"/>
  <c r="O6" i="1956"/>
  <c r="M9" i="1956"/>
  <c r="AB9" i="1956"/>
  <c r="O10" i="1956"/>
  <c r="M12" i="1956"/>
  <c r="AB12" i="1956"/>
  <c r="AD12" i="1956" s="1"/>
  <c r="O13" i="1956"/>
  <c r="P16" i="1956"/>
  <c r="AC16" i="1956" s="1"/>
  <c r="AD16" i="1956" s="1"/>
  <c r="O18" i="1956"/>
  <c r="M21" i="1956"/>
  <c r="AB21" i="1956"/>
  <c r="AD21" i="1956" s="1"/>
  <c r="L22" i="1956"/>
  <c r="O22" i="1956" s="1"/>
  <c r="P6" i="1956"/>
  <c r="P10" i="1956"/>
  <c r="AC10" i="1956" s="1"/>
  <c r="P13" i="1956"/>
  <c r="AC13" i="1956" s="1"/>
  <c r="AD13" i="1956" s="1"/>
  <c r="P18" i="1956"/>
  <c r="AC18" i="1956" s="1"/>
  <c r="M20" i="1956"/>
  <c r="M6" i="1956"/>
  <c r="M10" i="1956"/>
  <c r="M13" i="1956"/>
  <c r="M18" i="1956"/>
  <c r="AD20" i="1955"/>
  <c r="AB12" i="1955"/>
  <c r="AD12" i="1955" s="1"/>
  <c r="O12" i="1955"/>
  <c r="Q22" i="1955"/>
  <c r="AD8" i="1955"/>
  <c r="O7" i="1955"/>
  <c r="M7" i="1955"/>
  <c r="P7" i="1955"/>
  <c r="AC7" i="1955" s="1"/>
  <c r="AD7" i="1955" s="1"/>
  <c r="L22" i="1955"/>
  <c r="O22" i="1955" s="1"/>
  <c r="AD10" i="1955"/>
  <c r="AD14" i="1955"/>
  <c r="AD16" i="1955"/>
  <c r="AD18" i="1955"/>
  <c r="AD19" i="1955"/>
  <c r="AD9" i="1955"/>
  <c r="AD13" i="1955"/>
  <c r="AD17" i="1955"/>
  <c r="AD11" i="1955"/>
  <c r="AD15" i="1955"/>
  <c r="K22" i="1955"/>
  <c r="AC22" i="1955"/>
  <c r="AD6" i="1955"/>
  <c r="M21" i="1955"/>
  <c r="M22" i="1955" s="1"/>
  <c r="AB21" i="1955"/>
  <c r="AD21" i="1955" s="1"/>
  <c r="P21" i="1954"/>
  <c r="AC21" i="1954" s="1"/>
  <c r="AB21" i="1954"/>
  <c r="AD21" i="1954" s="1"/>
  <c r="Q22" i="1954"/>
  <c r="AD13" i="1954"/>
  <c r="AD20" i="1954"/>
  <c r="AD11" i="1954"/>
  <c r="AD15" i="1954"/>
  <c r="AD14" i="1954"/>
  <c r="AD10" i="1954"/>
  <c r="AD6" i="1954"/>
  <c r="AD17" i="1954"/>
  <c r="P7" i="1954"/>
  <c r="AC7" i="1954" s="1"/>
  <c r="AD7" i="1954" s="1"/>
  <c r="M8" i="1954"/>
  <c r="AB8" i="1954"/>
  <c r="AD8" i="1954" s="1"/>
  <c r="O9" i="1954"/>
  <c r="O12" i="1954"/>
  <c r="M16" i="1954"/>
  <c r="AB16" i="1954"/>
  <c r="AD16" i="1954" s="1"/>
  <c r="M18" i="1954"/>
  <c r="AB18" i="1954"/>
  <c r="AD18" i="1954" s="1"/>
  <c r="O19" i="1954"/>
  <c r="P9" i="1954"/>
  <c r="AC9" i="1954" s="1"/>
  <c r="K22" i="1954"/>
  <c r="P12" i="1954"/>
  <c r="AC12" i="1954" s="1"/>
  <c r="M17" i="1954"/>
  <c r="P19" i="1954"/>
  <c r="AC19" i="1954" s="1"/>
  <c r="M9" i="1954"/>
  <c r="M12" i="1954"/>
  <c r="M19" i="1954"/>
  <c r="AF20" i="1953"/>
  <c r="AB20" i="1953"/>
  <c r="Q20" i="1953"/>
  <c r="P20" i="1953" s="1"/>
  <c r="AC20" i="1953" s="1"/>
  <c r="O20" i="1953"/>
  <c r="M20" i="1953"/>
  <c r="L18" i="1953"/>
  <c r="AB18" i="1953" s="1"/>
  <c r="L14" i="1953"/>
  <c r="M14" i="1953" s="1"/>
  <c r="L12" i="1953"/>
  <c r="L11" i="1953"/>
  <c r="AB11" i="1953" s="1"/>
  <c r="L10" i="1953"/>
  <c r="AB10" i="1953" s="1"/>
  <c r="K10" i="1953"/>
  <c r="L9" i="1953"/>
  <c r="K9" i="1953"/>
  <c r="L8" i="1953"/>
  <c r="K8" i="1953" s="1"/>
  <c r="K7" i="1953"/>
  <c r="AF7" i="1953"/>
  <c r="AB7" i="1953"/>
  <c r="Q7" i="1953"/>
  <c r="P7" i="1953" s="1"/>
  <c r="AC7" i="1953" s="1"/>
  <c r="O7" i="1953"/>
  <c r="M7" i="1953"/>
  <c r="K24" i="1953"/>
  <c r="K23" i="1953"/>
  <c r="K22" i="1953"/>
  <c r="K19" i="1953"/>
  <c r="K18" i="1953"/>
  <c r="K17" i="1953"/>
  <c r="K15" i="1953"/>
  <c r="K12" i="1953"/>
  <c r="K6" i="1953"/>
  <c r="A80" i="1953"/>
  <c r="A81" i="1953" s="1"/>
  <c r="A82" i="1953" s="1"/>
  <c r="A83" i="1953" s="1"/>
  <c r="A84" i="1953" s="1"/>
  <c r="A85" i="1953" s="1"/>
  <c r="AF64" i="1953"/>
  <c r="AF63" i="1953"/>
  <c r="AF66" i="1953" s="1"/>
  <c r="AA25" i="1953"/>
  <c r="Z25" i="1953"/>
  <c r="Y25" i="1953"/>
  <c r="X25" i="1953"/>
  <c r="W25" i="1953"/>
  <c r="V25" i="1953"/>
  <c r="U25" i="1953"/>
  <c r="T25" i="1953"/>
  <c r="S25" i="1953"/>
  <c r="R25" i="1953"/>
  <c r="N25" i="1953"/>
  <c r="J25" i="1953"/>
  <c r="I25" i="1953"/>
  <c r="AF24" i="1953"/>
  <c r="Q24" i="1953"/>
  <c r="P24" i="1953"/>
  <c r="AC24" i="1953" s="1"/>
  <c r="O24" i="1953"/>
  <c r="AF23" i="1953"/>
  <c r="Q23" i="1953"/>
  <c r="P23" i="1953"/>
  <c r="AC23" i="1953" s="1"/>
  <c r="O23" i="1953"/>
  <c r="AB23" i="1953"/>
  <c r="AF22" i="1953"/>
  <c r="AB22" i="1953"/>
  <c r="Q22" i="1953"/>
  <c r="O22" i="1953"/>
  <c r="M22" i="1953"/>
  <c r="P22" i="1953"/>
  <c r="AC22" i="1953" s="1"/>
  <c r="AF21" i="1953"/>
  <c r="Q21" i="1953"/>
  <c r="AB21" i="1953"/>
  <c r="AF19" i="1953"/>
  <c r="Q19" i="1953"/>
  <c r="P19" i="1953" s="1"/>
  <c r="AC19" i="1953" s="1"/>
  <c r="O19" i="1953"/>
  <c r="AF18" i="1953"/>
  <c r="Q18" i="1953"/>
  <c r="P18" i="1953" s="1"/>
  <c r="AC18" i="1953" s="1"/>
  <c r="M18" i="1953"/>
  <c r="AF17" i="1953"/>
  <c r="AB17" i="1953"/>
  <c r="Q17" i="1953"/>
  <c r="O17" i="1953"/>
  <c r="M17" i="1953"/>
  <c r="P17" i="1953"/>
  <c r="AC17" i="1953" s="1"/>
  <c r="AF16" i="1953"/>
  <c r="AB16" i="1953"/>
  <c r="Q16" i="1953"/>
  <c r="P16" i="1953"/>
  <c r="AC16" i="1953" s="1"/>
  <c r="O16" i="1953"/>
  <c r="M16" i="1953"/>
  <c r="K16" i="1953"/>
  <c r="AF15" i="1953"/>
  <c r="Q15" i="1953"/>
  <c r="P15" i="1953"/>
  <c r="AC15" i="1953" s="1"/>
  <c r="O15" i="1953"/>
  <c r="AB15" i="1953"/>
  <c r="AF14" i="1953"/>
  <c r="AB14" i="1953"/>
  <c r="Q14" i="1953"/>
  <c r="AF13" i="1953"/>
  <c r="AB13" i="1953"/>
  <c r="Q13" i="1953"/>
  <c r="P13" i="1953"/>
  <c r="AC13" i="1953" s="1"/>
  <c r="O13" i="1953"/>
  <c r="M13" i="1953"/>
  <c r="K13" i="1953"/>
  <c r="AF12" i="1953"/>
  <c r="Q12" i="1953"/>
  <c r="P12" i="1953" s="1"/>
  <c r="AC12" i="1953" s="1"/>
  <c r="O12" i="1953"/>
  <c r="AB12" i="1953"/>
  <c r="AF11" i="1953"/>
  <c r="Q11" i="1953"/>
  <c r="O11" i="1953"/>
  <c r="AF10" i="1953"/>
  <c r="Q10" i="1953"/>
  <c r="P10" i="1953" s="1"/>
  <c r="AC10" i="1953" s="1"/>
  <c r="AF9" i="1953"/>
  <c r="Q9" i="1953"/>
  <c r="P9" i="1953" s="1"/>
  <c r="AC9" i="1953" s="1"/>
  <c r="O9" i="1953"/>
  <c r="AB9" i="1953"/>
  <c r="AF8" i="1953"/>
  <c r="Q8" i="1953"/>
  <c r="M8" i="1953"/>
  <c r="AF6" i="1953"/>
  <c r="Q6" i="1953"/>
  <c r="P6" i="1953" s="1"/>
  <c r="AC6" i="1953" s="1"/>
  <c r="O6" i="1953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22" i="1952"/>
  <c r="P22" i="1952" s="1"/>
  <c r="AC22" i="1952" s="1"/>
  <c r="L21" i="1952"/>
  <c r="K21" i="1952" s="1"/>
  <c r="L20" i="1952"/>
  <c r="L19" i="1952"/>
  <c r="L18" i="1952"/>
  <c r="K18" i="1952" s="1"/>
  <c r="L17" i="1952"/>
  <c r="K17" i="1952"/>
  <c r="L16" i="1952"/>
  <c r="K16" i="1952" s="1"/>
  <c r="L14" i="1952"/>
  <c r="O14" i="1952" s="1"/>
  <c r="K14" i="1952"/>
  <c r="L13" i="1952"/>
  <c r="M13" i="1952" s="1"/>
  <c r="L11" i="1952"/>
  <c r="AB11" i="1952" s="1"/>
  <c r="L10" i="1952"/>
  <c r="O10" i="1952" s="1"/>
  <c r="K9" i="1952"/>
  <c r="L8" i="1952"/>
  <c r="K8" i="1952" s="1"/>
  <c r="L6" i="1952"/>
  <c r="K22" i="1952"/>
  <c r="K20" i="1952"/>
  <c r="K13" i="1952"/>
  <c r="K6" i="1952"/>
  <c r="A79" i="1952"/>
  <c r="A80" i="1952" s="1"/>
  <c r="A81" i="1952" s="1"/>
  <c r="A82" i="1952" s="1"/>
  <c r="A83" i="1952" s="1"/>
  <c r="A78" i="1952"/>
  <c r="AF62" i="1952"/>
  <c r="AF61" i="1952"/>
  <c r="AF64" i="1952" s="1"/>
  <c r="AA23" i="1952"/>
  <c r="Z23" i="1952"/>
  <c r="Y23" i="1952"/>
  <c r="X23" i="1952"/>
  <c r="W23" i="1952"/>
  <c r="V23" i="1952"/>
  <c r="U23" i="1952"/>
  <c r="T23" i="1952"/>
  <c r="S23" i="1952"/>
  <c r="R23" i="1952"/>
  <c r="N23" i="1952"/>
  <c r="J23" i="1952"/>
  <c r="I23" i="1952"/>
  <c r="AF22" i="1952"/>
  <c r="Q22" i="1952"/>
  <c r="AF21" i="1952"/>
  <c r="Q21" i="1952"/>
  <c r="O21" i="1952"/>
  <c r="AF20" i="1952"/>
  <c r="Q20" i="1952"/>
  <c r="M20" i="1952"/>
  <c r="AB20" i="1952"/>
  <c r="AF19" i="1952"/>
  <c r="Q19" i="1952"/>
  <c r="AF18" i="1952"/>
  <c r="AB18" i="1952"/>
  <c r="Q18" i="1952"/>
  <c r="M18" i="1952"/>
  <c r="AF17" i="1952"/>
  <c r="AB17" i="1952"/>
  <c r="Q17" i="1952"/>
  <c r="P17" i="1952" s="1"/>
  <c r="AC17" i="1952" s="1"/>
  <c r="M17" i="1952"/>
  <c r="AF16" i="1952"/>
  <c r="Q16" i="1952"/>
  <c r="O16" i="1952"/>
  <c r="AF15" i="1952"/>
  <c r="AB15" i="1952"/>
  <c r="Q15" i="1952"/>
  <c r="P15" i="1952"/>
  <c r="AC15" i="1952" s="1"/>
  <c r="AD15" i="1952" s="1"/>
  <c r="O15" i="1952"/>
  <c r="M15" i="1952"/>
  <c r="K15" i="1952"/>
  <c r="AF14" i="1952"/>
  <c r="Q14" i="1952"/>
  <c r="P14" i="1952" s="1"/>
  <c r="AC14" i="1952" s="1"/>
  <c r="AF13" i="1952"/>
  <c r="AB13" i="1952"/>
  <c r="Q13" i="1952"/>
  <c r="O13" i="1952"/>
  <c r="P13" i="1952"/>
  <c r="AC13" i="1952" s="1"/>
  <c r="AF12" i="1952"/>
  <c r="AB12" i="1952"/>
  <c r="Q12" i="1952"/>
  <c r="P12" i="1952"/>
  <c r="AC12" i="1952" s="1"/>
  <c r="AD12" i="1952" s="1"/>
  <c r="O12" i="1952"/>
  <c r="M12" i="1952"/>
  <c r="K12" i="1952"/>
  <c r="AF11" i="1952"/>
  <c r="Q11" i="1952"/>
  <c r="O11" i="1952"/>
  <c r="AF10" i="1952"/>
  <c r="Q10" i="1952"/>
  <c r="M10" i="1952"/>
  <c r="AF9" i="1952"/>
  <c r="AB9" i="1952"/>
  <c r="Q9" i="1952"/>
  <c r="P9" i="1952" s="1"/>
  <c r="AC9" i="1952" s="1"/>
  <c r="O9" i="1952"/>
  <c r="M9" i="1952"/>
  <c r="AF8" i="1952"/>
  <c r="AB8" i="1952"/>
  <c r="Q8" i="1952"/>
  <c r="P8" i="1952" s="1"/>
  <c r="AC8" i="1952" s="1"/>
  <c r="M8" i="1952"/>
  <c r="AF7" i="1952"/>
  <c r="AB7" i="1952"/>
  <c r="Q7" i="1952"/>
  <c r="P7" i="1952"/>
  <c r="AC7" i="1952" s="1"/>
  <c r="O7" i="1952"/>
  <c r="M7" i="1952"/>
  <c r="K7" i="1952"/>
  <c r="AF6" i="1952"/>
  <c r="AB6" i="1952"/>
  <c r="Q6" i="1952"/>
  <c r="P6" i="1952"/>
  <c r="AC6" i="1952" s="1"/>
  <c r="O6" i="1952"/>
  <c r="M6" i="1952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2" i="1951"/>
  <c r="K22" i="1951" s="1"/>
  <c r="L20" i="1951"/>
  <c r="L19" i="1951"/>
  <c r="K19" i="1951" s="1"/>
  <c r="K18" i="1951"/>
  <c r="L17" i="1951"/>
  <c r="L13" i="1951"/>
  <c r="L11" i="1951"/>
  <c r="L10" i="1951"/>
  <c r="AF9" i="1951"/>
  <c r="AB9" i="1951"/>
  <c r="Q9" i="1951"/>
  <c r="P9" i="1951" s="1"/>
  <c r="AC9" i="1951" s="1"/>
  <c r="O9" i="1951"/>
  <c r="M9" i="1951"/>
  <c r="K9" i="1951"/>
  <c r="K8" i="1951"/>
  <c r="K6" i="1951"/>
  <c r="AG18" i="16"/>
  <c r="AG17" i="16"/>
  <c r="AG15" i="16"/>
  <c r="AG14" i="16"/>
  <c r="AG13" i="16"/>
  <c r="AG11" i="16"/>
  <c r="AG10" i="16"/>
  <c r="AG9" i="16"/>
  <c r="AG7" i="16"/>
  <c r="AG4" i="16"/>
  <c r="K21" i="1951"/>
  <c r="K20" i="1951"/>
  <c r="K17" i="1951"/>
  <c r="K16" i="1951"/>
  <c r="K14" i="1951"/>
  <c r="K13" i="1951"/>
  <c r="K11" i="1951"/>
  <c r="K10" i="1951"/>
  <c r="AE8" i="1967" l="1"/>
  <c r="AE14" i="1967"/>
  <c r="AE16" i="1967"/>
  <c r="AE7" i="1967"/>
  <c r="AE21" i="1967"/>
  <c r="AE6" i="1967"/>
  <c r="AE10" i="1967"/>
  <c r="AE12" i="1967"/>
  <c r="AE17" i="1967"/>
  <c r="AE22" i="1967"/>
  <c r="AE18" i="1967"/>
  <c r="AE13" i="1967"/>
  <c r="AE20" i="1967"/>
  <c r="AE15" i="1967"/>
  <c r="AE19" i="1967"/>
  <c r="AE9" i="1967"/>
  <c r="AE21" i="1966"/>
  <c r="AE17" i="1966"/>
  <c r="AE12" i="1966"/>
  <c r="AE9" i="1966"/>
  <c r="AE18" i="1966"/>
  <c r="AE19" i="1966"/>
  <c r="AE16" i="1966"/>
  <c r="AE10" i="1966"/>
  <c r="AE7" i="1966"/>
  <c r="AE13" i="1966"/>
  <c r="AE6" i="1966"/>
  <c r="AE20" i="1966"/>
  <c r="AE14" i="1966"/>
  <c r="AE11" i="1966"/>
  <c r="AE8" i="1966"/>
  <c r="AE15" i="1966"/>
  <c r="AE15" i="1964"/>
  <c r="AE20" i="1964"/>
  <c r="AE9" i="1964"/>
  <c r="AE8" i="1964"/>
  <c r="AE19" i="1964"/>
  <c r="AE21" i="1964"/>
  <c r="AE18" i="1964"/>
  <c r="AE14" i="1964"/>
  <c r="AE7" i="1964"/>
  <c r="AE12" i="1964"/>
  <c r="AE17" i="1964"/>
  <c r="AE10" i="1964"/>
  <c r="AE6" i="1964"/>
  <c r="AE11" i="1964"/>
  <c r="AE16" i="1964"/>
  <c r="AD22" i="1963"/>
  <c r="AE16" i="1963" s="1"/>
  <c r="AD22" i="1962"/>
  <c r="AE21" i="1962" s="1"/>
  <c r="AC23" i="1961"/>
  <c r="AD6" i="1961"/>
  <c r="M23" i="1961"/>
  <c r="AB23" i="1961"/>
  <c r="AD21" i="1961"/>
  <c r="AD17" i="1961"/>
  <c r="P23" i="1961"/>
  <c r="K22" i="1960"/>
  <c r="AD19" i="1960"/>
  <c r="AD18" i="1960"/>
  <c r="AD17" i="1960"/>
  <c r="M22" i="1960"/>
  <c r="P22" i="1960"/>
  <c r="AD6" i="1960"/>
  <c r="AC22" i="1960"/>
  <c r="AB22" i="1960"/>
  <c r="P22" i="1959"/>
  <c r="M22" i="1959"/>
  <c r="AD9" i="1959"/>
  <c r="AD18" i="1959"/>
  <c r="AD12" i="1959"/>
  <c r="AB22" i="1959"/>
  <c r="AD6" i="1959"/>
  <c r="AC22" i="1959"/>
  <c r="K22" i="1959"/>
  <c r="AD7" i="1958"/>
  <c r="AD9" i="1958"/>
  <c r="P22" i="1958"/>
  <c r="AC22" i="1958"/>
  <c r="AD6" i="1958"/>
  <c r="M22" i="1958"/>
  <c r="AB22" i="1958"/>
  <c r="AD22" i="1958"/>
  <c r="AD19" i="1957"/>
  <c r="K23" i="1957"/>
  <c r="M23" i="1957"/>
  <c r="AB23" i="1957"/>
  <c r="P23" i="1957"/>
  <c r="AD17" i="1957"/>
  <c r="AC23" i="1957"/>
  <c r="AB22" i="1956"/>
  <c r="AD10" i="1956"/>
  <c r="M22" i="1956"/>
  <c r="AD9" i="1956"/>
  <c r="AD18" i="1956"/>
  <c r="P22" i="1956"/>
  <c r="AC6" i="1956"/>
  <c r="P22" i="1955"/>
  <c r="AB22" i="1955"/>
  <c r="AD22" i="1955"/>
  <c r="AD19" i="1954"/>
  <c r="AD9" i="1954"/>
  <c r="M22" i="1954"/>
  <c r="AC22" i="1954"/>
  <c r="AB22" i="1954"/>
  <c r="P22" i="1954"/>
  <c r="AD12" i="1954"/>
  <c r="AD20" i="1953"/>
  <c r="P14" i="1953"/>
  <c r="AC14" i="1953" s="1"/>
  <c r="M10" i="1953"/>
  <c r="O14" i="1953"/>
  <c r="K14" i="1953"/>
  <c r="AB8" i="1953"/>
  <c r="O10" i="1953"/>
  <c r="O18" i="1953"/>
  <c r="AD18" i="1953" s="1"/>
  <c r="P11" i="1953"/>
  <c r="AC11" i="1953" s="1"/>
  <c r="AD11" i="1953" s="1"/>
  <c r="K11" i="1953"/>
  <c r="M11" i="1953"/>
  <c r="O8" i="1953"/>
  <c r="P8" i="1953"/>
  <c r="AC8" i="1953" s="1"/>
  <c r="AD8" i="1953" s="1"/>
  <c r="AD7" i="1953"/>
  <c r="Q25" i="1953"/>
  <c r="AD10" i="1953"/>
  <c r="AD16" i="1953"/>
  <c r="AD22" i="1953"/>
  <c r="AD17" i="1953"/>
  <c r="AD13" i="1953"/>
  <c r="AD14" i="1953"/>
  <c r="AD9" i="1953"/>
  <c r="AD23" i="1953"/>
  <c r="AD12" i="1953"/>
  <c r="AD15" i="1953"/>
  <c r="M6" i="1953"/>
  <c r="AB6" i="1953"/>
  <c r="M19" i="1953"/>
  <c r="AB19" i="1953"/>
  <c r="AD19" i="1953" s="1"/>
  <c r="O21" i="1953"/>
  <c r="M24" i="1953"/>
  <c r="AB24" i="1953"/>
  <c r="AD24" i="1953" s="1"/>
  <c r="L25" i="1953"/>
  <c r="O25" i="1953" s="1"/>
  <c r="M9" i="1953"/>
  <c r="M12" i="1953"/>
  <c r="M15" i="1953"/>
  <c r="P21" i="1953"/>
  <c r="AC21" i="1953" s="1"/>
  <c r="M23" i="1953"/>
  <c r="M21" i="1953"/>
  <c r="AG8" i="16"/>
  <c r="AG12" i="16"/>
  <c r="AG16" i="16"/>
  <c r="AG6" i="16"/>
  <c r="AG5" i="16"/>
  <c r="AG3" i="16"/>
  <c r="P21" i="1952"/>
  <c r="AC21" i="1952" s="1"/>
  <c r="AD21" i="1952" s="1"/>
  <c r="M21" i="1952"/>
  <c r="AB21" i="1952"/>
  <c r="P19" i="1952"/>
  <c r="AC19" i="1952" s="1"/>
  <c r="K19" i="1952"/>
  <c r="O18" i="1952"/>
  <c r="P18" i="1952"/>
  <c r="AC18" i="1952" s="1"/>
  <c r="AD18" i="1952" s="1"/>
  <c r="M16" i="1952"/>
  <c r="AB16" i="1952"/>
  <c r="P16" i="1952"/>
  <c r="AC16" i="1952" s="1"/>
  <c r="M14" i="1952"/>
  <c r="AB14" i="1952"/>
  <c r="AD14" i="1952" s="1"/>
  <c r="AD13" i="1952"/>
  <c r="P11" i="1952"/>
  <c r="AC11" i="1952" s="1"/>
  <c r="K11" i="1952"/>
  <c r="M11" i="1952"/>
  <c r="AB10" i="1952"/>
  <c r="K10" i="1952"/>
  <c r="L23" i="1952"/>
  <c r="O23" i="1952" s="1"/>
  <c r="O8" i="1952"/>
  <c r="AD8" i="1952" s="1"/>
  <c r="Q23" i="1952"/>
  <c r="AD11" i="1952"/>
  <c r="AD7" i="1952"/>
  <c r="AD9" i="1952"/>
  <c r="AD6" i="1952"/>
  <c r="P10" i="1952"/>
  <c r="AC10" i="1952" s="1"/>
  <c r="O17" i="1952"/>
  <c r="AD17" i="1952" s="1"/>
  <c r="M19" i="1952"/>
  <c r="AB19" i="1952"/>
  <c r="O20" i="1952"/>
  <c r="M22" i="1952"/>
  <c r="AB22" i="1952"/>
  <c r="O19" i="1952"/>
  <c r="P20" i="1952"/>
  <c r="AC20" i="1952" s="1"/>
  <c r="AD20" i="1952" s="1"/>
  <c r="O22" i="1952"/>
  <c r="AD9" i="1951"/>
  <c r="K7" i="1951"/>
  <c r="A78" i="1951"/>
  <c r="A79" i="1951" s="1"/>
  <c r="A80" i="1951" s="1"/>
  <c r="A81" i="1951" s="1"/>
  <c r="A82" i="1951" s="1"/>
  <c r="A83" i="1951" s="1"/>
  <c r="AF62" i="1951"/>
  <c r="AF61" i="1951"/>
  <c r="AF64" i="1951" s="1"/>
  <c r="AA23" i="1951"/>
  <c r="Z23" i="1951"/>
  <c r="Y23" i="1951"/>
  <c r="X23" i="1951"/>
  <c r="W23" i="1951"/>
  <c r="V23" i="1951"/>
  <c r="U23" i="1951"/>
  <c r="T23" i="1951"/>
  <c r="S23" i="1951"/>
  <c r="R23" i="1951"/>
  <c r="N23" i="1951"/>
  <c r="J23" i="1951"/>
  <c r="I23" i="1951"/>
  <c r="AF22" i="1951"/>
  <c r="AB22" i="1951"/>
  <c r="Q22" i="1951"/>
  <c r="P22" i="1951" s="1"/>
  <c r="AC22" i="1951" s="1"/>
  <c r="O22" i="1951"/>
  <c r="M22" i="1951"/>
  <c r="AF21" i="1951"/>
  <c r="Q21" i="1951"/>
  <c r="P21" i="1951"/>
  <c r="AC21" i="1951" s="1"/>
  <c r="AF20" i="1951"/>
  <c r="AB20" i="1951"/>
  <c r="Q20" i="1951"/>
  <c r="P20" i="1951"/>
  <c r="AC20" i="1951" s="1"/>
  <c r="M20" i="1951"/>
  <c r="O20" i="1951"/>
  <c r="AF19" i="1951"/>
  <c r="Q19" i="1951"/>
  <c r="O19" i="1951"/>
  <c r="AB19" i="1951"/>
  <c r="AF18" i="1951"/>
  <c r="AB18" i="1951"/>
  <c r="Q18" i="1951"/>
  <c r="P18" i="1951"/>
  <c r="AC18" i="1951" s="1"/>
  <c r="O18" i="1951"/>
  <c r="M18" i="1951"/>
  <c r="AF17" i="1951"/>
  <c r="AB17" i="1951"/>
  <c r="Q17" i="1951"/>
  <c r="P17" i="1951"/>
  <c r="AC17" i="1951" s="1"/>
  <c r="O17" i="1951"/>
  <c r="M17" i="1951"/>
  <c r="AF16" i="1951"/>
  <c r="Q16" i="1951"/>
  <c r="P16" i="1951"/>
  <c r="AC16" i="1951" s="1"/>
  <c r="AF15" i="1951"/>
  <c r="AB15" i="1951"/>
  <c r="Q15" i="1951"/>
  <c r="P15" i="1951"/>
  <c r="AC15" i="1951" s="1"/>
  <c r="O15" i="1951"/>
  <c r="M15" i="1951"/>
  <c r="K15" i="1951"/>
  <c r="AF14" i="1951"/>
  <c r="Q14" i="1951"/>
  <c r="P14" i="1951"/>
  <c r="AC14" i="1951" s="1"/>
  <c r="AF13" i="1951"/>
  <c r="Q13" i="1951"/>
  <c r="P13" i="1951" s="1"/>
  <c r="AC13" i="1951" s="1"/>
  <c r="AF12" i="1951"/>
  <c r="AB12" i="1951"/>
  <c r="Q12" i="1951"/>
  <c r="P12" i="1951"/>
  <c r="AC12" i="1951" s="1"/>
  <c r="O12" i="1951"/>
  <c r="M12" i="1951"/>
  <c r="K12" i="1951"/>
  <c r="AF11" i="1951"/>
  <c r="Q11" i="1951"/>
  <c r="P11" i="1951"/>
  <c r="AC11" i="1951" s="1"/>
  <c r="AF10" i="1951"/>
  <c r="Q10" i="1951"/>
  <c r="P10" i="1951"/>
  <c r="AC10" i="1951" s="1"/>
  <c r="AF8" i="1951"/>
  <c r="AB8" i="1951"/>
  <c r="Q8" i="1951"/>
  <c r="P8" i="1951" s="1"/>
  <c r="AC8" i="1951" s="1"/>
  <c r="O8" i="1951"/>
  <c r="M8" i="1951"/>
  <c r="AF7" i="1951"/>
  <c r="AB7" i="1951"/>
  <c r="Q7" i="1951"/>
  <c r="P7" i="1951" s="1"/>
  <c r="AC7" i="1951" s="1"/>
  <c r="O7" i="1951"/>
  <c r="M7" i="1951"/>
  <c r="AF6" i="1951"/>
  <c r="AB6" i="1951"/>
  <c r="Q6" i="1951"/>
  <c r="P6" i="1951" s="1"/>
  <c r="AC6" i="1951" s="1"/>
  <c r="O6" i="1951"/>
  <c r="M6" i="1951"/>
  <c r="L23" i="1951"/>
  <c r="O23" i="1951" s="1"/>
  <c r="AE15" i="1963" l="1"/>
  <c r="AE20" i="1963"/>
  <c r="AE12" i="1963"/>
  <c r="AE6" i="1963"/>
  <c r="AE19" i="1963"/>
  <c r="AE10" i="1963"/>
  <c r="AE17" i="1963"/>
  <c r="AE18" i="1963"/>
  <c r="AE8" i="1963"/>
  <c r="AE14" i="1963"/>
  <c r="AE7" i="1963"/>
  <c r="AE13" i="1963"/>
  <c r="AE9" i="1963"/>
  <c r="AE11" i="1963"/>
  <c r="AE21" i="1963"/>
  <c r="AE7" i="1962"/>
  <c r="AE14" i="1962"/>
  <c r="AE9" i="1962"/>
  <c r="AE13" i="1962"/>
  <c r="AE12" i="1962"/>
  <c r="AE16" i="1962"/>
  <c r="AE20" i="1962"/>
  <c r="AE15" i="1962"/>
  <c r="AE6" i="1962"/>
  <c r="AE19" i="1962"/>
  <c r="AE8" i="1962"/>
  <c r="AE17" i="1962"/>
  <c r="AE11" i="1962"/>
  <c r="AE18" i="1962"/>
  <c r="AE10" i="1962"/>
  <c r="AD23" i="1961"/>
  <c r="AE10" i="1961" s="1"/>
  <c r="AD22" i="1960"/>
  <c r="AE17" i="1960" s="1"/>
  <c r="AD22" i="1959"/>
  <c r="AE21" i="1959" s="1"/>
  <c r="AE21" i="1958"/>
  <c r="AE7" i="1958"/>
  <c r="AE19" i="1958"/>
  <c r="AE13" i="1958"/>
  <c r="AE17" i="1958"/>
  <c r="AE11" i="1958"/>
  <c r="AE8" i="1958"/>
  <c r="AE10" i="1958"/>
  <c r="AE15" i="1958"/>
  <c r="AE20" i="1958"/>
  <c r="AE18" i="1958"/>
  <c r="AE14" i="1958"/>
  <c r="AE12" i="1958"/>
  <c r="AE9" i="1958"/>
  <c r="AE16" i="1958"/>
  <c r="AD23" i="1957"/>
  <c r="AE16" i="1957" s="1"/>
  <c r="AC22" i="1956"/>
  <c r="AD6" i="1956"/>
  <c r="AD22" i="1956" s="1"/>
  <c r="J19" i="16" s="1"/>
  <c r="AG19" i="16" s="1"/>
  <c r="AE21" i="1955"/>
  <c r="AE19" i="1955"/>
  <c r="AE17" i="1955"/>
  <c r="AE7" i="1955"/>
  <c r="AE20" i="1955"/>
  <c r="AE18" i="1955"/>
  <c r="AE16" i="1955"/>
  <c r="AE14" i="1955"/>
  <c r="AE12" i="1955"/>
  <c r="AE10" i="1955"/>
  <c r="AE8" i="1955"/>
  <c r="AE6" i="1955"/>
  <c r="AE15" i="1955"/>
  <c r="AE13" i="1955"/>
  <c r="AE11" i="1955"/>
  <c r="AE9" i="1955"/>
  <c r="AD22" i="1954"/>
  <c r="AE21" i="1954" s="1"/>
  <c r="K25" i="1953"/>
  <c r="P25" i="1953"/>
  <c r="AB25" i="1953"/>
  <c r="M25" i="1953"/>
  <c r="AD6" i="1953"/>
  <c r="AD21" i="1953"/>
  <c r="AC25" i="1953"/>
  <c r="AD16" i="1952"/>
  <c r="M23" i="1952"/>
  <c r="K23" i="1952"/>
  <c r="AD10" i="1952"/>
  <c r="AD19" i="1952"/>
  <c r="AD22" i="1952"/>
  <c r="AD23" i="1952" s="1"/>
  <c r="P23" i="1952"/>
  <c r="AB23" i="1952"/>
  <c r="AC23" i="1952"/>
  <c r="AD22" i="1951"/>
  <c r="Q23" i="1951"/>
  <c r="AD7" i="1951"/>
  <c r="AD15" i="1951"/>
  <c r="AD18" i="1951"/>
  <c r="AD8" i="1951"/>
  <c r="AD17" i="1951"/>
  <c r="AD20" i="1951"/>
  <c r="AD12" i="1951"/>
  <c r="M11" i="1951"/>
  <c r="AB11" i="1951"/>
  <c r="M14" i="1951"/>
  <c r="AB14" i="1951"/>
  <c r="AD6" i="1951"/>
  <c r="M10" i="1951"/>
  <c r="AB10" i="1951"/>
  <c r="O11" i="1951"/>
  <c r="M13" i="1951"/>
  <c r="AB13" i="1951"/>
  <c r="O14" i="1951"/>
  <c r="M16" i="1951"/>
  <c r="AB16" i="1951"/>
  <c r="O10" i="1951"/>
  <c r="O13" i="1951"/>
  <c r="O16" i="1951"/>
  <c r="K23" i="1951"/>
  <c r="P19" i="1951"/>
  <c r="AC19" i="1951" s="1"/>
  <c r="AD19" i="1951" s="1"/>
  <c r="M21" i="1951"/>
  <c r="AB21" i="1951"/>
  <c r="O21" i="1951"/>
  <c r="M19" i="1951"/>
  <c r="AE17" i="1961" l="1"/>
  <c r="AE15" i="1961"/>
  <c r="AE11" i="1961"/>
  <c r="AE7" i="1961"/>
  <c r="AE6" i="1961"/>
  <c r="AE13" i="1961"/>
  <c r="AE9" i="1961"/>
  <c r="AE8" i="1961"/>
  <c r="AE16" i="1961"/>
  <c r="AE19" i="1961"/>
  <c r="AE18" i="1961"/>
  <c r="AE14" i="1961"/>
  <c r="AE12" i="1961"/>
  <c r="AE21" i="1961"/>
  <c r="AE20" i="1961"/>
  <c r="AE22" i="1961"/>
  <c r="AE21" i="1960"/>
  <c r="AE9" i="1960"/>
  <c r="AE19" i="1960"/>
  <c r="AE6" i="1960"/>
  <c r="AE11" i="1960"/>
  <c r="AE15" i="1960"/>
  <c r="AE14" i="1960"/>
  <c r="AE18" i="1960"/>
  <c r="AE12" i="1960"/>
  <c r="AE20" i="1960"/>
  <c r="AE10" i="1960"/>
  <c r="AE7" i="1960"/>
  <c r="AE8" i="1960"/>
  <c r="AE16" i="1960"/>
  <c r="AE13" i="1960"/>
  <c r="AE14" i="1959"/>
  <c r="AE9" i="1959"/>
  <c r="AE12" i="1959"/>
  <c r="AE20" i="1959"/>
  <c r="AE18" i="1959"/>
  <c r="AE10" i="1959"/>
  <c r="AE19" i="1959"/>
  <c r="AE17" i="1959"/>
  <c r="AE8" i="1959"/>
  <c r="AE16" i="1959"/>
  <c r="AE13" i="1959"/>
  <c r="AE15" i="1959"/>
  <c r="AE11" i="1959"/>
  <c r="AE7" i="1959"/>
  <c r="AE6" i="1959"/>
  <c r="AE13" i="1957"/>
  <c r="AE20" i="1957"/>
  <c r="AE6" i="1957"/>
  <c r="AE22" i="1957"/>
  <c r="AE8" i="1957"/>
  <c r="AE15" i="1957"/>
  <c r="AE11" i="1957"/>
  <c r="AE19" i="1957"/>
  <c r="AE17" i="1957"/>
  <c r="AE7" i="1957"/>
  <c r="AE14" i="1957"/>
  <c r="AE12" i="1957"/>
  <c r="AE10" i="1957"/>
  <c r="AE9" i="1957"/>
  <c r="AE21" i="1957"/>
  <c r="AE18" i="1957"/>
  <c r="AE21" i="1956"/>
  <c r="AE17" i="1956"/>
  <c r="AE12" i="1956"/>
  <c r="AE9" i="1956"/>
  <c r="AE18" i="1956"/>
  <c r="AE15" i="1956"/>
  <c r="AE19" i="1956"/>
  <c r="AE16" i="1956"/>
  <c r="AE7" i="1956"/>
  <c r="AE6" i="1956"/>
  <c r="AE20" i="1956"/>
  <c r="AE14" i="1956"/>
  <c r="AE11" i="1956"/>
  <c r="AE8" i="1956"/>
  <c r="AE13" i="1956"/>
  <c r="AE10" i="1956"/>
  <c r="AE14" i="1954"/>
  <c r="AE11" i="1954"/>
  <c r="AE6" i="1954"/>
  <c r="AE15" i="1954"/>
  <c r="AE9" i="1954"/>
  <c r="AE7" i="1954"/>
  <c r="AE16" i="1954"/>
  <c r="AE13" i="1954"/>
  <c r="AE19" i="1954"/>
  <c r="AE17" i="1954"/>
  <c r="AE10" i="1954"/>
  <c r="AE12" i="1954"/>
  <c r="AE18" i="1954"/>
  <c r="AE20" i="1954"/>
  <c r="AE8" i="1954"/>
  <c r="AD25" i="1953"/>
  <c r="AE22" i="1952"/>
  <c r="AE19" i="1952"/>
  <c r="AE16" i="1952"/>
  <c r="AE20" i="1952"/>
  <c r="AE17" i="1952"/>
  <c r="AE12" i="1952"/>
  <c r="AE9" i="1952"/>
  <c r="AE7" i="1952"/>
  <c r="AE15" i="1952"/>
  <c r="AE13" i="1952"/>
  <c r="AE10" i="1952"/>
  <c r="AE14" i="1952"/>
  <c r="AE21" i="1952"/>
  <c r="AE18" i="1952"/>
  <c r="AE11" i="1952"/>
  <c r="AE8" i="1952"/>
  <c r="AE6" i="1952"/>
  <c r="AD11" i="1951"/>
  <c r="AD14" i="1951"/>
  <c r="M23" i="1951"/>
  <c r="AD13" i="1951"/>
  <c r="AD21" i="1951"/>
  <c r="AD16" i="1951"/>
  <c r="AB23" i="1951"/>
  <c r="AD10" i="1951"/>
  <c r="P23" i="1951"/>
  <c r="AC23" i="1951"/>
  <c r="AE7" i="1953" l="1"/>
  <c r="AE20" i="1953"/>
  <c r="AE24" i="1953"/>
  <c r="AE19" i="1953"/>
  <c r="AE21" i="1953"/>
  <c r="AE16" i="1953"/>
  <c r="AE10" i="1953"/>
  <c r="AE22" i="1953"/>
  <c r="AE17" i="1953"/>
  <c r="AE14" i="1953"/>
  <c r="AE11" i="1953"/>
  <c r="AE8" i="1953"/>
  <c r="AE23" i="1953"/>
  <c r="AE18" i="1953"/>
  <c r="AE15" i="1953"/>
  <c r="AE12" i="1953"/>
  <c r="AE9" i="1953"/>
  <c r="AE6" i="1953"/>
  <c r="AE13" i="1953"/>
  <c r="AD23" i="1951"/>
  <c r="AE9" i="1951" s="1"/>
  <c r="AE18" i="1951" l="1"/>
  <c r="AE10" i="1951"/>
  <c r="AE13" i="1951"/>
  <c r="AE19" i="1951"/>
  <c r="AE17" i="1951"/>
  <c r="AE21" i="1951"/>
  <c r="AE8" i="1951"/>
  <c r="AE14" i="1951"/>
  <c r="AE15" i="1951"/>
  <c r="AE20" i="1951"/>
  <c r="AE12" i="1951"/>
  <c r="AE7" i="1951"/>
  <c r="AE22" i="1951"/>
  <c r="AE16" i="1951"/>
  <c r="AE6" i="1951"/>
  <c r="AE11" i="1951"/>
</calcChain>
</file>

<file path=xl/sharedStrings.xml><?xml version="1.0" encoding="utf-8"?>
<sst xmlns="http://schemas.openxmlformats.org/spreadsheetml/2006/main" count="6183" uniqueCount="696">
  <si>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</si>
  <si>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</si>
  <si>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</si>
  <si>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</si>
  <si>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</si>
  <si>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</si>
  <si>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</si>
  <si>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</si>
  <si>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</si>
  <si>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</si>
  <si>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</si>
  <si>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</si>
  <si>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</si>
  <si>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</si>
  <si>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</si>
  <si>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</si>
  <si>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</si>
  <si>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</si>
  <si>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</si>
  <si>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</si>
  <si>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</si>
  <si>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</si>
  <si>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</si>
  <si>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</si>
  <si>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</si>
  <si>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</si>
  <si>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</si>
  <si>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</si>
  <si>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</si>
  <si>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</si>
  <si>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</si>
  <si>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</si>
  <si>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</si>
  <si>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</si>
  <si>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</si>
  <si>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</si>
  <si>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</si>
  <si>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</si>
  <si>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</si>
  <si>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</si>
  <si>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</si>
  <si>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</si>
  <si>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</si>
  <si>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</si>
  <si>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</si>
  <si>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</si>
  <si>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</si>
  <si>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</si>
  <si>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</si>
  <si>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</si>
  <si>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</si>
  <si>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</si>
  <si>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</si>
  <si>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</si>
  <si>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</si>
  <si>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</si>
  <si>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</si>
  <si>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</si>
  <si>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</si>
  <si>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</si>
  <si>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</si>
  <si>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</si>
  <si>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</si>
  <si>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</si>
  <si>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</si>
  <si>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</si>
  <si>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</si>
  <si>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</si>
  <si>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</si>
  <si>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</si>
  <si>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</si>
  <si>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</si>
  <si>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</si>
  <si>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</si>
  <si>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</si>
  <si>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</si>
  <si>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</si>
  <si>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</si>
  <si>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</si>
  <si>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</si>
  <si>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</si>
  <si>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</si>
  <si>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</si>
  <si>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</si>
  <si>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</si>
  <si>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</si>
  <si>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</si>
  <si>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</si>
  <si>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</si>
  <si>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</si>
  <si>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</si>
  <si>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</si>
  <si>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</si>
  <si>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</si>
  <si>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</si>
  <si>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</si>
  <si>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</si>
  <si>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</si>
  <si>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</si>
  <si>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</si>
  <si>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</si>
  <si>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</si>
  <si>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</si>
  <si>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</si>
  <si>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</si>
  <si>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</si>
  <si>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</si>
  <si>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</si>
  <si>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</si>
  <si>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</si>
  <si>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</si>
  <si>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</si>
  <si>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</si>
  <si>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</si>
  <si>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</si>
  <si>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</si>
  <si>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</si>
  <si>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</si>
  <si>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SST</t>
    <phoneticPr fontId="2" type="noConversion"/>
  </si>
  <si>
    <t>가스</t>
    <phoneticPr fontId="2" type="noConversion"/>
  </si>
  <si>
    <t>AYE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</si>
  <si>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</si>
  <si>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</si>
  <si>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</si>
  <si>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수리후양산</t>
    <phoneticPr fontId="2" type="noConversion"/>
  </si>
  <si>
    <t>품  명</t>
    <phoneticPr fontId="2" type="noConversion"/>
  </si>
  <si>
    <t>.</t>
    <phoneticPr fontId="2" type="noConversion"/>
  </si>
  <si>
    <t>SGP2030R N/P</t>
    <phoneticPr fontId="2" type="noConversion"/>
  </si>
  <si>
    <t>SGF2033</t>
    <phoneticPr fontId="2" type="noConversion"/>
  </si>
  <si>
    <t>COVER</t>
    <phoneticPr fontId="2" type="noConversion"/>
  </si>
  <si>
    <t>SGP2020R</t>
    <phoneticPr fontId="2" type="noConversion"/>
  </si>
  <si>
    <t>STOPPPER</t>
    <phoneticPr fontId="2" type="noConversion"/>
  </si>
  <si>
    <t>발주분양산</t>
    <phoneticPr fontId="2" type="noConversion"/>
  </si>
  <si>
    <t>2</t>
    <phoneticPr fontId="2" type="noConversion"/>
  </si>
  <si>
    <t>KR6458AB456PMA</t>
    <phoneticPr fontId="2" type="noConversion"/>
  </si>
  <si>
    <t>SF2250EPR</t>
    <phoneticPr fontId="2" type="noConversion"/>
  </si>
  <si>
    <t>에젝터 이상</t>
    <phoneticPr fontId="2" type="noConversion"/>
  </si>
  <si>
    <t>소딕</t>
    <phoneticPr fontId="2" type="noConversion"/>
  </si>
  <si>
    <t>NEXT</t>
    <phoneticPr fontId="2" type="noConversion"/>
  </si>
  <si>
    <t>3</t>
    <phoneticPr fontId="2" type="noConversion"/>
  </si>
  <si>
    <t>12</t>
    <phoneticPr fontId="2" type="noConversion"/>
  </si>
  <si>
    <t>15</t>
    <phoneticPr fontId="2" type="noConversion"/>
  </si>
  <si>
    <t>ADAPTER</t>
    <phoneticPr fontId="2" type="noConversion"/>
  </si>
  <si>
    <t>수정</t>
    <phoneticPr fontId="2" type="noConversion"/>
  </si>
  <si>
    <t>SF2255</t>
    <phoneticPr fontId="2" type="noConversion"/>
  </si>
  <si>
    <t>7301</t>
    <phoneticPr fontId="2" type="noConversion"/>
  </si>
  <si>
    <t>전일 ISSUE 사항(02일)</t>
    <phoneticPr fontId="2" type="noConversion"/>
  </si>
  <si>
    <t>1</t>
    <phoneticPr fontId="2" type="noConversion"/>
  </si>
  <si>
    <t>당일 진행 사항(03일)</t>
    <phoneticPr fontId="2" type="noConversion"/>
  </si>
  <si>
    <t>SAMPLE 진행 사항(02일)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</si>
  <si>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</si>
  <si>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</si>
  <si>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t>협의중</t>
    <phoneticPr fontId="2" type="noConversion"/>
  </si>
  <si>
    <t>8301</t>
    <phoneticPr fontId="2" type="noConversion"/>
  </si>
  <si>
    <t>AMB0240A-KAA-R1</t>
    <phoneticPr fontId="2" type="noConversion"/>
  </si>
  <si>
    <t>NP635-315-006#LB</t>
    <phoneticPr fontId="2" type="noConversion"/>
  </si>
  <si>
    <t>SGF2030</t>
    <phoneticPr fontId="2" type="noConversion"/>
  </si>
  <si>
    <t>SGF2033 N/P</t>
    <phoneticPr fontId="2" type="noConversion"/>
  </si>
  <si>
    <t>FLOATING</t>
    <phoneticPr fontId="2" type="noConversion"/>
  </si>
  <si>
    <t>KR6197-GT153PNA</t>
    <phoneticPr fontId="2" type="noConversion"/>
  </si>
  <si>
    <t>NP635-315-006#IN-A</t>
    <phoneticPr fontId="2" type="noConversion"/>
  </si>
  <si>
    <t>에젝터 볼스크류 교체 완료</t>
    <phoneticPr fontId="2" type="noConversion"/>
  </si>
  <si>
    <t>SHAFT</t>
    <phoneticPr fontId="2" type="noConversion"/>
  </si>
  <si>
    <t>KR6202-06KA</t>
    <phoneticPr fontId="2" type="noConversion"/>
  </si>
  <si>
    <t>JCL3030</t>
    <phoneticPr fontId="2" type="noConversion"/>
  </si>
  <si>
    <t>NP635-315-007#LB</t>
    <phoneticPr fontId="2" type="noConversion"/>
  </si>
  <si>
    <t>AMM0890A-KAC-R1</t>
    <phoneticPr fontId="2" type="noConversion"/>
  </si>
  <si>
    <t>K-AR3533-1A</t>
    <phoneticPr fontId="2" type="noConversion"/>
  </si>
  <si>
    <t>KR6197-D475PA</t>
    <phoneticPr fontId="2" type="noConversion"/>
  </si>
  <si>
    <t>K-JR01920-B414AZB</t>
    <phoneticPr fontId="2" type="noConversion"/>
  </si>
  <si>
    <t>K-JR01920-C01AWA</t>
    <phoneticPr fontId="2" type="noConversion"/>
  </si>
  <si>
    <t>K-JR01918-B484AWA</t>
    <phoneticPr fontId="2" type="noConversion"/>
  </si>
  <si>
    <t>H과제 FLOATING_A1-01</t>
    <phoneticPr fontId="2" type="noConversion"/>
  </si>
  <si>
    <t>AMB0157C-KAA-R1</t>
    <phoneticPr fontId="2" type="noConversion"/>
  </si>
  <si>
    <t>NP635-315-006#IN-B</t>
    <phoneticPr fontId="2" type="noConversion"/>
  </si>
  <si>
    <t>72P</t>
    <phoneticPr fontId="2" type="noConversion"/>
  </si>
  <si>
    <r>
      <t>2021년 03월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</si>
  <si>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03월 호기별 가동현황</t>
    <phoneticPr fontId="2" type="noConversion"/>
  </si>
  <si>
    <t>H과제 FLOATING_A1-01</t>
    <phoneticPr fontId="2" type="noConversion"/>
  </si>
  <si>
    <t>AMB0228A-KAA-R1</t>
    <phoneticPr fontId="2" type="noConversion"/>
  </si>
  <si>
    <t>LG35</t>
    <phoneticPr fontId="2" type="noConversion"/>
  </si>
  <si>
    <t>FLOATING</t>
    <phoneticPr fontId="2" type="noConversion"/>
  </si>
  <si>
    <t>발주분양산-&gt;코아파손수리-&gt;상측박힘정지</t>
    <phoneticPr fontId="2" type="noConversion"/>
  </si>
  <si>
    <t>3</t>
    <phoneticPr fontId="2" type="noConversion"/>
  </si>
  <si>
    <t>STOPPER</t>
    <phoneticPr fontId="2" type="noConversion"/>
  </si>
  <si>
    <t>AMB0228A-KAA-R1</t>
    <phoneticPr fontId="2" type="noConversion"/>
  </si>
  <si>
    <t>AYE</t>
    <phoneticPr fontId="2" type="noConversion"/>
  </si>
  <si>
    <t>12</t>
    <phoneticPr fontId="2" type="noConversion"/>
  </si>
  <si>
    <t>NP635-315-006#LB</t>
    <phoneticPr fontId="2" type="noConversion"/>
  </si>
  <si>
    <t>발주분양산-&gt;BURR수리-&gt;치수NG정지</t>
    <phoneticPr fontId="2" type="noConversion"/>
  </si>
  <si>
    <t>NP635-315-006#IN-B</t>
    <phoneticPr fontId="2" type="noConversion"/>
  </si>
  <si>
    <t>13</t>
    <phoneticPr fontId="2" type="noConversion"/>
  </si>
  <si>
    <t>DI</t>
    <phoneticPr fontId="2" type="noConversion"/>
  </si>
  <si>
    <t>16</t>
    <phoneticPr fontId="2" type="noConversion"/>
  </si>
  <si>
    <t>72P</t>
    <phoneticPr fontId="2" type="noConversion"/>
  </si>
  <si>
    <t>AM0164A-A</t>
    <phoneticPr fontId="2" type="noConversion"/>
  </si>
  <si>
    <t>발주분양산</t>
    <phoneticPr fontId="2" type="noConversion"/>
  </si>
  <si>
    <t>MCS</t>
    <phoneticPr fontId="2" type="noConversion"/>
  </si>
  <si>
    <t>8</t>
    <phoneticPr fontId="2" type="noConversion"/>
  </si>
  <si>
    <t>38P</t>
    <phoneticPr fontId="2" type="noConversion"/>
  </si>
  <si>
    <t>K-AR3464-1A</t>
    <phoneticPr fontId="2" type="noConversion"/>
  </si>
  <si>
    <t>SST</t>
    <phoneticPr fontId="2" type="noConversion"/>
  </si>
  <si>
    <t>10</t>
    <phoneticPr fontId="2" type="noConversion"/>
  </si>
  <si>
    <t>COVER</t>
    <phoneticPr fontId="2" type="noConversion"/>
  </si>
  <si>
    <t>SF22250EPR I/V</t>
    <phoneticPr fontId="2" type="noConversion"/>
  </si>
  <si>
    <t>AMB0243A-KAA-R1</t>
    <phoneticPr fontId="2" type="noConversion"/>
  </si>
  <si>
    <t>SF2255</t>
    <phoneticPr fontId="2" type="noConversion"/>
  </si>
  <si>
    <r>
      <t>2021년 03월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</si>
  <si>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ACTUATOR</t>
    <phoneticPr fontId="2" type="noConversion"/>
  </si>
  <si>
    <t>AMB1936A-KAA-R1</t>
    <phoneticPr fontId="2" type="noConversion"/>
  </si>
  <si>
    <t>HICON</t>
    <phoneticPr fontId="2" type="noConversion"/>
  </si>
  <si>
    <t>LID/PLUNGER</t>
    <phoneticPr fontId="2" type="noConversion"/>
  </si>
  <si>
    <t>HRCS-03C15H1/16</t>
    <phoneticPr fontId="2" type="noConversion"/>
  </si>
  <si>
    <t>SGF2041</t>
    <phoneticPr fontId="2" type="noConversion"/>
  </si>
  <si>
    <t>2*1</t>
    <phoneticPr fontId="2" type="noConversion"/>
  </si>
  <si>
    <t>E PR</t>
    <phoneticPr fontId="2" type="noConversion"/>
  </si>
  <si>
    <t>KR6156AC841TA</t>
    <phoneticPr fontId="2" type="noConversion"/>
  </si>
  <si>
    <t>JD4901</t>
    <phoneticPr fontId="2" type="noConversion"/>
  </si>
  <si>
    <t>AMB0245A-KAA-R2</t>
    <phoneticPr fontId="2" type="noConversion"/>
  </si>
  <si>
    <t>전일 ISSUE 사항(03일)</t>
    <phoneticPr fontId="2" type="noConversion"/>
  </si>
  <si>
    <t>수리후양산-&gt;상측박힘2회정지</t>
    <phoneticPr fontId="2" type="noConversion"/>
  </si>
  <si>
    <t>치수확인후양산</t>
    <phoneticPr fontId="2" type="noConversion"/>
  </si>
  <si>
    <t>11</t>
    <phoneticPr fontId="2" type="noConversion"/>
  </si>
  <si>
    <t>발주분양산-&gt;밀핀오조립수리</t>
    <phoneticPr fontId="2" type="noConversion"/>
  </si>
  <si>
    <t>당일 진행 사항(04일)</t>
    <phoneticPr fontId="2" type="noConversion"/>
  </si>
  <si>
    <t>AMB0360A-KAA-R1</t>
    <phoneticPr fontId="2" type="noConversion"/>
  </si>
  <si>
    <t>AMB0188A-KAA-R1</t>
    <phoneticPr fontId="2" type="noConversion"/>
  </si>
  <si>
    <t>K-JR01908-B221AUA</t>
    <phoneticPr fontId="2" type="noConversion"/>
  </si>
  <si>
    <t>SAMPLE 진행 사항(03일)</t>
    <phoneticPr fontId="2" type="noConversion"/>
  </si>
  <si>
    <t>TOP/BOTTOM</t>
    <phoneticPr fontId="2" type="noConversion"/>
  </si>
  <si>
    <t>신작</t>
    <phoneticPr fontId="2" type="noConversion"/>
  </si>
  <si>
    <t>KR6446-GD078PLA</t>
    <phoneticPr fontId="2" type="noConversion"/>
  </si>
  <si>
    <t>PX13322 W/T</t>
    <phoneticPr fontId="2" type="noConversion"/>
  </si>
  <si>
    <t>AMB09E8C-KAA-R1</t>
    <phoneticPr fontId="2" type="noConversion"/>
  </si>
  <si>
    <t>LATCH PLATE</t>
    <phoneticPr fontId="2" type="noConversion"/>
  </si>
  <si>
    <t>JD4901 N/P</t>
    <phoneticPr fontId="2" type="noConversion"/>
  </si>
  <si>
    <t>옵션</t>
    <phoneticPr fontId="2" type="noConversion"/>
  </si>
  <si>
    <t>HL480-1.0-10.0T1/B</t>
    <phoneticPr fontId="2" type="noConversion"/>
  </si>
  <si>
    <t>KR6463-B180PMA</t>
    <phoneticPr fontId="2" type="noConversion"/>
  </si>
  <si>
    <t>AMB0185A-KAA-R1</t>
    <phoneticPr fontId="2" type="noConversion"/>
  </si>
  <si>
    <t>AMB0189A-KAA-R1</t>
    <phoneticPr fontId="2" type="noConversion"/>
  </si>
  <si>
    <t>AMB09E7B-KAA-R1</t>
    <phoneticPr fontId="2" type="noConversion"/>
  </si>
  <si>
    <t>LATCH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</si>
  <si>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</si>
  <si>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</si>
  <si>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2021년 03월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</si>
  <si>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AMB1904D-KAA-R3</t>
    <phoneticPr fontId="2" type="noConversion"/>
  </si>
  <si>
    <t>SGF2050 N/P</t>
    <phoneticPr fontId="2" type="noConversion"/>
  </si>
  <si>
    <t>AMB07U1A-KAA-R5</t>
    <phoneticPr fontId="2" type="noConversion"/>
  </si>
  <si>
    <t>SF2255 I/V</t>
    <phoneticPr fontId="2" type="noConversion"/>
  </si>
  <si>
    <t>NP636-2406-001#LB</t>
    <phoneticPr fontId="2" type="noConversion"/>
  </si>
  <si>
    <t>전일 ISSUE 사항(04일)</t>
    <phoneticPr fontId="2" type="noConversion"/>
  </si>
  <si>
    <t>발주분양산-&gt;코아파손수리</t>
    <phoneticPr fontId="2" type="noConversion"/>
  </si>
  <si>
    <t>TOP</t>
    <phoneticPr fontId="2" type="noConversion"/>
  </si>
  <si>
    <t>HRCS-00C11C</t>
    <phoneticPr fontId="2" type="noConversion"/>
  </si>
  <si>
    <t>발주분양산-&gt;치수NG정지</t>
    <phoneticPr fontId="2" type="noConversion"/>
  </si>
  <si>
    <t>당일 진행 사항(05일)</t>
    <phoneticPr fontId="2" type="noConversion"/>
  </si>
  <si>
    <t>9</t>
    <phoneticPr fontId="2" type="noConversion"/>
  </si>
  <si>
    <t>009-041-003</t>
    <phoneticPr fontId="2" type="noConversion"/>
  </si>
  <si>
    <t>SAMPLE 진행 사항(04일)</t>
    <phoneticPr fontId="2" type="noConversion"/>
  </si>
  <si>
    <t>AMB07U9A-KAA-R3(2C)</t>
    <phoneticPr fontId="2" type="noConversion"/>
  </si>
  <si>
    <t>NP413-187-105#IN-B</t>
    <phoneticPr fontId="2" type="noConversion"/>
  </si>
  <si>
    <t>SGP2030R</t>
    <phoneticPr fontId="2" type="noConversion"/>
  </si>
  <si>
    <t>상측박힘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</si>
  <si>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</si>
  <si>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</si>
  <si>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2021년 03월 05일(주간)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</si>
  <si>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전일 ISSUE 사항(05일)</t>
    <phoneticPr fontId="2" type="noConversion"/>
  </si>
  <si>
    <t>당일 진행 사항(08일)</t>
    <phoneticPr fontId="2" type="noConversion"/>
  </si>
  <si>
    <t>F/A</t>
    <phoneticPr fontId="2" type="noConversion"/>
  </si>
  <si>
    <t>AMB20E4A-KAA-R9</t>
    <phoneticPr fontId="2" type="noConversion"/>
  </si>
  <si>
    <t>AMB0240A-KAA-R1(2C)</t>
    <phoneticPr fontId="2" type="noConversion"/>
  </si>
  <si>
    <t>OK75SSD-050-T32-BA-1</t>
    <phoneticPr fontId="2" type="noConversion"/>
  </si>
  <si>
    <t>OKINS</t>
    <phoneticPr fontId="2" type="noConversion"/>
  </si>
  <si>
    <t>SAMPLE 진행 사항(05일)</t>
    <phoneticPr fontId="2" type="noConversion"/>
  </si>
  <si>
    <t>SF2250EPR I/V</t>
    <phoneticPr fontId="2" type="noConversion"/>
  </si>
  <si>
    <t>K-JR01903-B180AZB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</si>
  <si>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</si>
  <si>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</si>
  <si>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2021년 03월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</si>
  <si>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SLIDER</t>
    <phoneticPr fontId="2" type="noConversion"/>
  </si>
  <si>
    <t>K-AR3545-1A</t>
    <phoneticPr fontId="2" type="noConversion"/>
  </si>
  <si>
    <t>LEAD GUIDER</t>
    <phoneticPr fontId="2" type="noConversion"/>
  </si>
  <si>
    <t>K-AR3547-1A</t>
    <phoneticPr fontId="2" type="noConversion"/>
  </si>
  <si>
    <t>K-AR3546-1A</t>
    <phoneticPr fontId="2" type="noConversion"/>
  </si>
  <si>
    <t>SGF2030TC</t>
    <phoneticPr fontId="2" type="noConversion"/>
  </si>
  <si>
    <t>GN2330</t>
    <phoneticPr fontId="2" type="noConversion"/>
  </si>
  <si>
    <t>전일 ISSUE 사항(08일)</t>
    <phoneticPr fontId="2" type="noConversion"/>
  </si>
  <si>
    <t>발주분양산-&gt;오조립2회수리</t>
    <phoneticPr fontId="2" type="noConversion"/>
  </si>
  <si>
    <t>LEAD GUIDE</t>
    <phoneticPr fontId="2" type="noConversion"/>
  </si>
  <si>
    <t>발주분양산-&gt;뜯김2회수리</t>
    <phoneticPr fontId="2" type="noConversion"/>
  </si>
  <si>
    <t>코아파손2회정지</t>
    <phoneticPr fontId="2" type="noConversion"/>
  </si>
  <si>
    <t>4</t>
    <phoneticPr fontId="2" type="noConversion"/>
  </si>
  <si>
    <t>당일 진행 사항(09일)</t>
    <phoneticPr fontId="2" type="noConversion"/>
  </si>
  <si>
    <t>J과제 FLOATING_A1-01</t>
    <phoneticPr fontId="2" type="noConversion"/>
  </si>
  <si>
    <t>승인후양산</t>
    <phoneticPr fontId="2" type="noConversion"/>
  </si>
  <si>
    <t>288E84M-B102C-2</t>
    <phoneticPr fontId="2" type="noConversion"/>
  </si>
  <si>
    <t>K-AR3544-1A</t>
    <phoneticPr fontId="2" type="noConversion"/>
  </si>
  <si>
    <t>SAMPLE 진행 사항(08일)</t>
    <phoneticPr fontId="2" type="noConversion"/>
  </si>
  <si>
    <t>치수NG2회진행</t>
    <phoneticPr fontId="2" type="noConversion"/>
  </si>
  <si>
    <t>J-과제</t>
    <phoneticPr fontId="2" type="noConversion"/>
  </si>
  <si>
    <t>KR6156-GG154AA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</si>
  <si>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</si>
  <si>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</si>
  <si>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2021년 03월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</si>
  <si>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F/B</t>
    <phoneticPr fontId="2" type="noConversion"/>
  </si>
  <si>
    <t>J-과제 FRONT/BOTTOM</t>
    <phoneticPr fontId="2" type="noConversion"/>
  </si>
  <si>
    <t>BLUE</t>
    <phoneticPr fontId="2" type="noConversion"/>
  </si>
  <si>
    <t>TCS</t>
    <phoneticPr fontId="2" type="noConversion"/>
  </si>
  <si>
    <t>COVER BRACKET</t>
    <phoneticPr fontId="2" type="noConversion"/>
  </si>
  <si>
    <t>CB001</t>
    <phoneticPr fontId="2" type="noConversion"/>
  </si>
  <si>
    <t xml:space="preserve">SGF2033 </t>
    <phoneticPr fontId="2" type="noConversion"/>
  </si>
  <si>
    <t>전일 ISSUE 사항(09일)</t>
    <phoneticPr fontId="2" type="noConversion"/>
  </si>
  <si>
    <t>J-FRONT/BOTTOM</t>
    <phoneticPr fontId="2" type="noConversion"/>
  </si>
  <si>
    <t>발주분양산-&gt;게이트수리-&gt;FRONT BRUU막음</t>
    <phoneticPr fontId="2" type="noConversion"/>
  </si>
  <si>
    <t>발주분양산-&gt;가이드수리</t>
    <phoneticPr fontId="2" type="noConversion"/>
  </si>
  <si>
    <t>당일 진행 사항(10일)</t>
    <phoneticPr fontId="2" type="noConversion"/>
  </si>
  <si>
    <t>AMM0853A-KAA-R1</t>
    <phoneticPr fontId="2" type="noConversion"/>
  </si>
  <si>
    <t>14</t>
    <phoneticPr fontId="2" type="noConversion"/>
  </si>
  <si>
    <t>AMB0172A-KAA-R2(2C)</t>
    <phoneticPr fontId="2" type="noConversion"/>
  </si>
  <si>
    <t>SAMPLE 진행 사항(09일)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</si>
  <si>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</si>
  <si>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</si>
  <si>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t>480TOP/BOTTOM</t>
    <phoneticPr fontId="2" type="noConversion"/>
  </si>
  <si>
    <t>2*1</t>
    <phoneticPr fontId="2" type="noConversion"/>
  </si>
  <si>
    <r>
      <t>2021년 03월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</si>
  <si>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AMB20D7A-KAA-R4</t>
    <phoneticPr fontId="2" type="noConversion"/>
  </si>
  <si>
    <t>4LEAD</t>
    <phoneticPr fontId="2" type="noConversion"/>
  </si>
  <si>
    <t>009-019-004</t>
    <phoneticPr fontId="2" type="noConversion"/>
  </si>
  <si>
    <t>전일 ISSUE 사항(10일)</t>
    <phoneticPr fontId="2" type="noConversion"/>
  </si>
  <si>
    <t>AMB0172A-KAA-R2</t>
    <phoneticPr fontId="2" type="noConversion"/>
  </si>
  <si>
    <t>발주분양산-&gt;상측박힘3회정지</t>
    <phoneticPr fontId="2" type="noConversion"/>
  </si>
  <si>
    <t>발주분양산-&gt;뜯김정지-&gt;코아파손정지</t>
    <phoneticPr fontId="2" type="noConversion"/>
  </si>
  <si>
    <t>당일 진행 사항(11일)</t>
    <phoneticPr fontId="2" type="noConversion"/>
  </si>
  <si>
    <t>KR6166-B299UA</t>
    <phoneticPr fontId="2" type="noConversion"/>
  </si>
  <si>
    <t>SAMPLE 진행 사항(10일)</t>
    <phoneticPr fontId="2" type="noConversion"/>
  </si>
  <si>
    <t>HDB0.65-B1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</si>
  <si>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</si>
  <si>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</si>
  <si>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2021년 03월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</si>
  <si>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AMB0173A-KAA-R1</t>
    <phoneticPr fontId="2" type="noConversion"/>
  </si>
  <si>
    <t>BASE/BOTTOM</t>
    <phoneticPr fontId="2" type="noConversion"/>
  </si>
  <si>
    <t>HL084/HL072</t>
    <phoneticPr fontId="2" type="noConversion"/>
  </si>
  <si>
    <t>KR6152-GE130AB</t>
    <phoneticPr fontId="2" type="noConversion"/>
  </si>
  <si>
    <t>AMB0172A-KAA-R2(1C)</t>
    <phoneticPr fontId="2" type="noConversion"/>
  </si>
  <si>
    <t>전일 ISSUE 사항(11일)</t>
    <phoneticPr fontId="2" type="noConversion"/>
  </si>
  <si>
    <t>수리후양산-&gt;런너막힘정지</t>
    <phoneticPr fontId="2" type="noConversion"/>
  </si>
  <si>
    <t>수리후양산-&gt;뜯김정지</t>
    <phoneticPr fontId="2" type="noConversion"/>
  </si>
  <si>
    <t>HL084-10M1/10M2</t>
    <phoneticPr fontId="2" type="noConversion"/>
  </si>
  <si>
    <t>수리후양산-&gt;치수NG3회 1C막음</t>
    <phoneticPr fontId="2" type="noConversion"/>
  </si>
  <si>
    <t>당일 진행 사항(12일)</t>
    <phoneticPr fontId="2" type="noConversion"/>
  </si>
  <si>
    <t>HRCS-00C14</t>
    <phoneticPr fontId="2" type="noConversion"/>
  </si>
  <si>
    <t>AM0609A-J</t>
    <phoneticPr fontId="2" type="noConversion"/>
  </si>
  <si>
    <t>SAMPLE 진행 사항(11일)</t>
    <phoneticPr fontId="2" type="noConversion"/>
  </si>
  <si>
    <t>HDB0.65-L5</t>
    <phoneticPr fontId="2" type="noConversion"/>
  </si>
  <si>
    <t>HSA08-M03A1(1C)</t>
    <phoneticPr fontId="2" type="noConversion"/>
  </si>
  <si>
    <t>HDB0.65-C3</t>
    <phoneticPr fontId="2" type="noConversion"/>
  </si>
  <si>
    <t>1CAV만수정</t>
    <phoneticPr fontId="2" type="noConversion"/>
  </si>
  <si>
    <t>SGF2030 N/P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</si>
  <si>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</si>
  <si>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</si>
  <si>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2021년 03월 12일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</si>
  <si>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전일 ISSUE 사항(12일)</t>
    <phoneticPr fontId="2" type="noConversion"/>
  </si>
  <si>
    <t>수리후양산-&gt;코아파손수리</t>
    <phoneticPr fontId="2" type="noConversion"/>
  </si>
  <si>
    <t>발주분양산-&gt;BURR정지</t>
    <phoneticPr fontId="2" type="noConversion"/>
  </si>
  <si>
    <t>당일 진행 사항(13일)</t>
    <phoneticPr fontId="2" type="noConversion"/>
  </si>
  <si>
    <t>발주분양산-&gt;런너막힘수리-&gt;칼퀴수리</t>
    <phoneticPr fontId="2" type="noConversion"/>
  </si>
  <si>
    <t>단차수리후양산</t>
    <phoneticPr fontId="2" type="noConversion"/>
  </si>
  <si>
    <t>AMB0201A-JAA-R3</t>
    <phoneticPr fontId="2" type="noConversion"/>
  </si>
  <si>
    <t>K-JR01903-A180AWB</t>
    <phoneticPr fontId="2" type="noConversion"/>
  </si>
  <si>
    <t>SAMPLE 진행 사항(12일)</t>
    <phoneticPr fontId="2" type="noConversion"/>
  </si>
  <si>
    <t>NP413-187-105#IN-A</t>
    <phoneticPr fontId="2" type="noConversion"/>
  </si>
  <si>
    <t>6</t>
    <phoneticPr fontId="2" type="noConversion"/>
  </si>
  <si>
    <t>HDB08QL-102S2(1C)</t>
    <phoneticPr fontId="2" type="noConversion"/>
  </si>
  <si>
    <t>1CAV만 수정</t>
    <phoneticPr fontId="2" type="noConversion"/>
  </si>
  <si>
    <t>HDB0.65-T4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</si>
  <si>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</si>
  <si>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</si>
  <si>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2021년 03월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</si>
  <si>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FRONT</t>
    <phoneticPr fontId="2" type="noConversion"/>
  </si>
  <si>
    <t>J-과제 FRONT</t>
    <phoneticPr fontId="2" type="noConversion"/>
  </si>
  <si>
    <t>전일 ISSUE 사항(13일)</t>
    <phoneticPr fontId="2" type="noConversion"/>
  </si>
  <si>
    <t>코아파손정지</t>
    <phoneticPr fontId="2" type="noConversion"/>
  </si>
  <si>
    <t>BURR정지</t>
    <phoneticPr fontId="2" type="noConversion"/>
  </si>
  <si>
    <t>발주분양산-&gt;게이트파손1C막음</t>
    <phoneticPr fontId="2" type="noConversion"/>
  </si>
  <si>
    <t>수리후양산-&gt;BURR정지</t>
    <phoneticPr fontId="2" type="noConversion"/>
  </si>
  <si>
    <t>7</t>
    <phoneticPr fontId="2" type="noConversion"/>
  </si>
  <si>
    <t>코아파손수리</t>
    <phoneticPr fontId="2" type="noConversion"/>
  </si>
  <si>
    <t>당일 진행 사항(15일)</t>
    <phoneticPr fontId="2" type="noConversion"/>
  </si>
  <si>
    <t>HRCS-03C13</t>
    <phoneticPr fontId="2" type="noConversion"/>
  </si>
  <si>
    <t>009-152-001</t>
    <phoneticPr fontId="2" type="noConversion"/>
  </si>
  <si>
    <t>5LEAD</t>
    <phoneticPr fontId="2" type="noConversion"/>
  </si>
  <si>
    <t>KR6422-A556YA</t>
    <phoneticPr fontId="2" type="noConversion"/>
  </si>
  <si>
    <t>5</t>
    <phoneticPr fontId="2" type="noConversion"/>
  </si>
  <si>
    <t>KR6422-B589CA</t>
    <phoneticPr fontId="2" type="noConversion"/>
  </si>
  <si>
    <t>NP620-464-001#CV</t>
    <phoneticPr fontId="2" type="noConversion"/>
  </si>
  <si>
    <t>NP636-2406-001#SP-A/B</t>
    <phoneticPr fontId="2" type="noConversion"/>
  </si>
  <si>
    <t>HDB0.65-S2</t>
    <phoneticPr fontId="2" type="noConversion"/>
  </si>
  <si>
    <t>SGF2041 N/P</t>
    <phoneticPr fontId="2" type="noConversion"/>
  </si>
  <si>
    <t>SAMPLE 진행 사항(13일)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</si>
  <si>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</si>
  <si>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</si>
  <si>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2021년 03월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</si>
  <si>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3078000-01</t>
    <phoneticPr fontId="2" type="noConversion"/>
  </si>
  <si>
    <t xml:space="preserve">SGF2050 </t>
    <phoneticPr fontId="2" type="noConversion"/>
  </si>
  <si>
    <t>SP-A/B</t>
    <phoneticPr fontId="2" type="noConversion"/>
  </si>
  <si>
    <t>NP636-2406-001#SP-A</t>
    <phoneticPr fontId="2" type="noConversion"/>
  </si>
  <si>
    <t>전일 ISSUE 사항(15일)</t>
    <phoneticPr fontId="2" type="noConversion"/>
  </si>
  <si>
    <t>발주분양산-&gt;코아파손1C막음</t>
    <phoneticPr fontId="2" type="noConversion"/>
  </si>
  <si>
    <t>미성형정지</t>
    <phoneticPr fontId="2" type="noConversion"/>
  </si>
  <si>
    <t>발주분양산-&gt;코아파손-&gt;오조립정지</t>
    <phoneticPr fontId="2" type="noConversion"/>
  </si>
  <si>
    <t>발주분양산-&gt;밀핀높음정지</t>
    <phoneticPr fontId="2" type="noConversion"/>
  </si>
  <si>
    <t>SP-A /B</t>
    <phoneticPr fontId="2" type="noConversion"/>
  </si>
  <si>
    <t>발주분양산-&gt;코아파손3회정지</t>
    <phoneticPr fontId="2" type="noConversion"/>
  </si>
  <si>
    <t>당일 진행 사항(16일)</t>
    <phoneticPr fontId="2" type="noConversion"/>
  </si>
  <si>
    <t>HL072-10M4</t>
    <phoneticPr fontId="2" type="noConversion"/>
  </si>
  <si>
    <t>KR6170BD740UB</t>
    <phoneticPr fontId="2" type="noConversion"/>
  </si>
  <si>
    <t>K-R2862-1E</t>
    <phoneticPr fontId="2" type="noConversion"/>
  </si>
  <si>
    <t>SAMPLE 진행 사항(15일)</t>
    <phoneticPr fontId="2" type="noConversion"/>
  </si>
  <si>
    <t>KR6197-GR153xx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</si>
  <si>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</si>
  <si>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</si>
  <si>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2021년 03월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</si>
  <si>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lid</t>
    <phoneticPr fontId="2" type="noConversion"/>
  </si>
  <si>
    <t>KR6166-GD200QC</t>
    <phoneticPr fontId="2" type="noConversion"/>
  </si>
  <si>
    <t>전일 ISSUE 사항(16일)</t>
    <phoneticPr fontId="2" type="noConversion"/>
  </si>
  <si>
    <t>게이트수리</t>
    <phoneticPr fontId="2" type="noConversion"/>
  </si>
  <si>
    <t>수리후양산-&gt;수정2회수리</t>
    <phoneticPr fontId="2" type="noConversion"/>
  </si>
  <si>
    <t>발주분양산-&gt;BURR수리</t>
    <phoneticPr fontId="2" type="noConversion"/>
  </si>
  <si>
    <t>LID</t>
    <phoneticPr fontId="2" type="noConversion"/>
  </si>
  <si>
    <t>발주분양산-&gt;BURR-&gt;뜯김-&gt;코아파손정지</t>
    <phoneticPr fontId="2" type="noConversion"/>
  </si>
  <si>
    <t>당일 진행 사항(17일)</t>
    <phoneticPr fontId="2" type="noConversion"/>
  </si>
  <si>
    <t>치수확인후양산-&gt;코아파손수리</t>
    <phoneticPr fontId="2" type="noConversion"/>
  </si>
  <si>
    <t>HR03B-406A3</t>
    <phoneticPr fontId="2" type="noConversion"/>
  </si>
  <si>
    <t>SAMPLE 진행 사항(16일)</t>
    <phoneticPr fontId="2" type="noConversion"/>
  </si>
  <si>
    <t>AMB0190A-KAA-R1</t>
    <phoneticPr fontId="2" type="noConversion"/>
  </si>
  <si>
    <t>AMM0822A-KAB-R1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</si>
  <si>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</si>
  <si>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</si>
  <si>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2021년 03월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</si>
  <si>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HR03A-05A1</t>
    <phoneticPr fontId="2" type="noConversion"/>
  </si>
  <si>
    <t>AMB0361A-KAA-R1</t>
    <phoneticPr fontId="2" type="noConversion"/>
  </si>
  <si>
    <t>게이트수리-&gt;세척후양산</t>
    <phoneticPr fontId="2" type="noConversion"/>
  </si>
  <si>
    <t>수리후양산-&gt;코아파손2회정지</t>
    <phoneticPr fontId="2" type="noConversion"/>
  </si>
  <si>
    <t>당일 진행 사항(18일)</t>
    <phoneticPr fontId="2" type="noConversion"/>
  </si>
  <si>
    <t>전일 ISSUE 사항(17일)</t>
    <phoneticPr fontId="2" type="noConversion"/>
  </si>
  <si>
    <t>뜯김정지</t>
    <phoneticPr fontId="2" type="noConversion"/>
  </si>
  <si>
    <t>HR03B-400A2</t>
    <phoneticPr fontId="2" type="noConversion"/>
  </si>
  <si>
    <t>BOTTOM</t>
    <phoneticPr fontId="2" type="noConversion"/>
  </si>
  <si>
    <t>SAMPLE 진행 사항(17일)</t>
    <phoneticPr fontId="2" type="noConversion"/>
  </si>
  <si>
    <t>HS05B-BASE1</t>
    <phoneticPr fontId="2" type="noConversion"/>
  </si>
  <si>
    <t>원재료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</si>
  <si>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</si>
  <si>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</si>
  <si>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2021년 03월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</si>
  <si>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HR03B-400A3</t>
    <phoneticPr fontId="2" type="noConversion"/>
  </si>
  <si>
    <t>전일 ISSUE 사항(18일)</t>
    <phoneticPr fontId="2" type="noConversion"/>
  </si>
  <si>
    <t>POST부 세척</t>
    <phoneticPr fontId="2" type="noConversion"/>
  </si>
  <si>
    <t>수리후양산-&gt;뜯김수리</t>
    <phoneticPr fontId="2" type="noConversion"/>
  </si>
  <si>
    <t>수리후양산-&gt;뜯김3회수리-&gt;코아파손정지</t>
    <phoneticPr fontId="2" type="noConversion"/>
  </si>
  <si>
    <t>세척-&gt;런너막힘수리</t>
    <phoneticPr fontId="2" type="noConversion"/>
  </si>
  <si>
    <t>발주분양산-&gt;뜯김정지</t>
    <phoneticPr fontId="2" type="noConversion"/>
  </si>
  <si>
    <t>당일 진행 사항(19일)</t>
    <phoneticPr fontId="2" type="noConversion"/>
  </si>
  <si>
    <t>SAMPLE 진행 사항(18일)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</si>
  <si>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</si>
  <si>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</si>
  <si>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2021년 03월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</si>
  <si>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전일 ISSUE 사항(19일)</t>
    <phoneticPr fontId="2" type="noConversion"/>
  </si>
  <si>
    <t>F/ADAPTER</t>
    <phoneticPr fontId="2" type="noConversion"/>
  </si>
  <si>
    <t>세척후양산</t>
    <phoneticPr fontId="2" type="noConversion"/>
  </si>
  <si>
    <t>수리후양산-&gt;BURR수리-&gt;런너막힘정지</t>
    <phoneticPr fontId="2" type="noConversion"/>
  </si>
  <si>
    <t>수리후양산-&gt;코아파손정지</t>
    <phoneticPr fontId="2" type="noConversion"/>
  </si>
  <si>
    <t>POST세척-&gt;코아파손수리후양산</t>
    <phoneticPr fontId="2" type="noConversion"/>
  </si>
  <si>
    <t>당일 진행 사항(20일)</t>
    <phoneticPr fontId="2" type="noConversion"/>
  </si>
  <si>
    <t>AMM08006A-KAA-R1</t>
    <phoneticPr fontId="2" type="noConversion"/>
  </si>
  <si>
    <t>SAMPLE 진행 사항(19일)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</si>
  <si>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</si>
  <si>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</si>
  <si>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2021년 03월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</si>
  <si>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전일 ISSUE 사항(20일)</t>
    <phoneticPr fontId="2" type="noConversion"/>
  </si>
  <si>
    <t>수리후양산-&gt;뜯김수리-&gt;코아파손정지</t>
    <phoneticPr fontId="2" type="noConversion"/>
  </si>
  <si>
    <t>POST세척</t>
    <phoneticPr fontId="2" type="noConversion"/>
  </si>
  <si>
    <t>당일 진행 사항(22일)</t>
    <phoneticPr fontId="2" type="noConversion"/>
  </si>
  <si>
    <t>K-R2764-1A</t>
    <phoneticPr fontId="2" type="noConversion"/>
  </si>
  <si>
    <t>HR03B-400A1</t>
    <phoneticPr fontId="2" type="noConversion"/>
  </si>
  <si>
    <t xml:space="preserve"> AAM0818D-KAB-R3</t>
    <phoneticPr fontId="2" type="noConversion"/>
  </si>
  <si>
    <t>SAMPLE 진행 사항(20일)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</si>
  <si>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</si>
  <si>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</si>
  <si>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2021년 03월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</si>
  <si>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KR6156-D841PA</t>
    <phoneticPr fontId="2" type="noConversion"/>
  </si>
  <si>
    <t>AAM0818D-KAB-R3</t>
    <phoneticPr fontId="2" type="noConversion"/>
  </si>
  <si>
    <t>K-R2767-1A</t>
    <phoneticPr fontId="2" type="noConversion"/>
  </si>
  <si>
    <t>전일 ISSUE 사항(22일)</t>
    <phoneticPr fontId="2" type="noConversion"/>
  </si>
  <si>
    <t>설비이상-&gt;11호기 코아파손정지</t>
    <phoneticPr fontId="2" type="noConversion"/>
  </si>
  <si>
    <t>발주분양산-&gt;칼퀴이상-&gt;코아파손정지</t>
    <phoneticPr fontId="2" type="noConversion"/>
  </si>
  <si>
    <t>발주분양산-&gt;코아파손3회수리</t>
    <phoneticPr fontId="2" type="noConversion"/>
  </si>
  <si>
    <t>당일 진행 사항(23일)</t>
    <phoneticPr fontId="2" type="noConversion"/>
  </si>
  <si>
    <t>KR6156CA841YA</t>
    <phoneticPr fontId="2" type="noConversion"/>
  </si>
  <si>
    <t>AMB1901D-JAA-R3</t>
    <phoneticPr fontId="2" type="noConversion"/>
  </si>
  <si>
    <t>KR6463-GA180PLA</t>
  </si>
  <si>
    <t>KR6463-GA180PLA</t>
    <phoneticPr fontId="2" type="noConversion"/>
  </si>
  <si>
    <t>HSCB65-M02A1</t>
    <phoneticPr fontId="2" type="noConversion"/>
  </si>
  <si>
    <t>SAMPLE 진행 사항(22일)</t>
    <phoneticPr fontId="2" type="noConversion"/>
  </si>
  <si>
    <t>LH-01D2</t>
    <phoneticPr fontId="2" type="noConversion"/>
  </si>
  <si>
    <t>AMB09J4C-KAA-R1</t>
    <phoneticPr fontId="2" type="noConversion"/>
  </si>
  <si>
    <t>SGF2050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</si>
  <si>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</si>
  <si>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</si>
  <si>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2021년 03월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</si>
  <si>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AMB1904F-KAA-R1</t>
    <phoneticPr fontId="2" type="noConversion"/>
  </si>
  <si>
    <t>EEEEEEEEEEEEEEEEEEEEEEEEE</t>
    <phoneticPr fontId="2" type="noConversion"/>
  </si>
  <si>
    <t>AMB1901D-JAA-R2</t>
    <phoneticPr fontId="2" type="noConversion"/>
  </si>
  <si>
    <t>전일 ISSUE 사항(23일)</t>
    <phoneticPr fontId="2" type="noConversion"/>
  </si>
  <si>
    <t>ADAPTER</t>
    <phoneticPr fontId="2" type="noConversion"/>
  </si>
  <si>
    <t>수리후양산-&gt;코아파손-&gt;BURR-&gt;미성형정지</t>
    <phoneticPr fontId="2" type="noConversion"/>
  </si>
  <si>
    <t>발주분양산-&gt;밀핀세척-&gt;뜯김정지</t>
    <phoneticPr fontId="2" type="noConversion"/>
  </si>
  <si>
    <t>6</t>
    <phoneticPr fontId="2" type="noConversion"/>
  </si>
  <si>
    <t>LEAD GUIDE</t>
    <phoneticPr fontId="2" type="noConversion"/>
  </si>
  <si>
    <t>HDB0.65-L5</t>
    <phoneticPr fontId="2" type="noConversion"/>
  </si>
  <si>
    <t>발주분양산-&gt;뜯김수리</t>
    <phoneticPr fontId="2" type="noConversion"/>
  </si>
  <si>
    <t>AYE</t>
    <phoneticPr fontId="2" type="noConversion"/>
  </si>
  <si>
    <t>11</t>
    <phoneticPr fontId="2" type="noConversion"/>
  </si>
  <si>
    <t>NP413-187-105#IN-B</t>
    <phoneticPr fontId="2" type="noConversion"/>
  </si>
  <si>
    <t>치수확인후양산-&gt;상측박힘2회정지</t>
    <phoneticPr fontId="2" type="noConversion"/>
  </si>
  <si>
    <t>AMB1901D-JAA-R2</t>
    <phoneticPr fontId="2" type="noConversion"/>
  </si>
  <si>
    <t>14</t>
    <phoneticPr fontId="2" type="noConversion"/>
  </si>
  <si>
    <t>당일 진행 사항(24일)</t>
    <phoneticPr fontId="2" type="noConversion"/>
  </si>
  <si>
    <t>AMB1904F-KAA-R1</t>
    <phoneticPr fontId="2" type="noConversion"/>
  </si>
  <si>
    <t>MCS</t>
    <phoneticPr fontId="2" type="noConversion"/>
  </si>
  <si>
    <t>2</t>
    <phoneticPr fontId="2" type="noConversion"/>
  </si>
  <si>
    <t>ACTUATOR</t>
    <phoneticPr fontId="2" type="noConversion"/>
  </si>
  <si>
    <t>HDB0.65-B1</t>
    <phoneticPr fontId="2" type="noConversion"/>
  </si>
  <si>
    <t>3</t>
    <phoneticPr fontId="2" type="noConversion"/>
  </si>
  <si>
    <t>HR03B-400A1</t>
    <phoneticPr fontId="2" type="noConversion"/>
  </si>
  <si>
    <t>13</t>
    <phoneticPr fontId="2" type="noConversion"/>
  </si>
  <si>
    <t>BASE</t>
    <phoneticPr fontId="2" type="noConversion"/>
  </si>
  <si>
    <t>KR6156BB841CA</t>
    <phoneticPr fontId="2" type="noConversion"/>
  </si>
  <si>
    <t>15</t>
    <phoneticPr fontId="2" type="noConversion"/>
  </si>
  <si>
    <t>SAMPLE 진행 사항(23일)</t>
    <phoneticPr fontId="2" type="noConversion"/>
  </si>
  <si>
    <t>SGP2030R</t>
    <phoneticPr fontId="2" type="noConversion"/>
  </si>
  <si>
    <t>아람</t>
    <phoneticPr fontId="2" type="noConversion"/>
  </si>
  <si>
    <t>New Plastic Cover</t>
    <phoneticPr fontId="2" type="noConversion"/>
  </si>
  <si>
    <t>LCP ESD</t>
    <phoneticPr fontId="2" type="noConversion"/>
  </si>
  <si>
    <t>HDB0.65-T4</t>
    <phoneticPr fontId="2" type="noConversion"/>
  </si>
  <si>
    <t>HICON</t>
    <phoneticPr fontId="2" type="noConversion"/>
  </si>
  <si>
    <t>SGF2041</t>
    <phoneticPr fontId="2" type="noConversion"/>
  </si>
  <si>
    <t>수정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</si>
  <si>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</si>
  <si>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</si>
  <si>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2021년 03월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</si>
  <si>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전일 ISSUE 사항(24일)</t>
    <phoneticPr fontId="2" type="noConversion"/>
  </si>
  <si>
    <t>BURR2회수리</t>
    <phoneticPr fontId="2" type="noConversion"/>
  </si>
  <si>
    <t>로봇수리</t>
    <phoneticPr fontId="2" type="noConversion"/>
  </si>
  <si>
    <t>수리후양산-&gt;1C파손 막음</t>
    <phoneticPr fontId="2" type="noConversion"/>
  </si>
  <si>
    <t>런너판이상수리</t>
    <phoneticPr fontId="2" type="noConversion"/>
  </si>
  <si>
    <t>HSCB65-M02A1(4C)</t>
    <phoneticPr fontId="2" type="noConversion"/>
  </si>
  <si>
    <t>당일 진행 사항(25일)</t>
    <phoneticPr fontId="2" type="noConversion"/>
  </si>
  <si>
    <t>NP413-187-105#MO</t>
    <phoneticPr fontId="2" type="noConversion"/>
  </si>
  <si>
    <t>SAMPLE 진행 사항(24일)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</si>
  <si>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</si>
  <si>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</si>
  <si>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2021년 03월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</si>
  <si>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전일 ISSUE 사항(25일)</t>
    <phoneticPr fontId="2" type="noConversion"/>
  </si>
  <si>
    <t>HDB0.65-S2</t>
    <phoneticPr fontId="2" type="noConversion"/>
  </si>
  <si>
    <t>2</t>
    <phoneticPr fontId="2" type="noConversion"/>
  </si>
  <si>
    <t>NP413-187-105#MO</t>
    <phoneticPr fontId="2" type="noConversion"/>
  </si>
  <si>
    <t>3</t>
    <phoneticPr fontId="2" type="noConversion"/>
  </si>
  <si>
    <t>HR03B-400A2</t>
    <phoneticPr fontId="2" type="noConversion"/>
  </si>
  <si>
    <t>수리후양산-&gt;코아파손정지</t>
    <phoneticPr fontId="2" type="noConversion"/>
  </si>
  <si>
    <t>6</t>
    <phoneticPr fontId="2" type="noConversion"/>
  </si>
  <si>
    <t>BOTTOM</t>
    <phoneticPr fontId="2" type="noConversion"/>
  </si>
  <si>
    <t>코아파손 1C막음</t>
    <phoneticPr fontId="2" type="noConversion"/>
  </si>
  <si>
    <t>HDB0.65-T4</t>
    <phoneticPr fontId="2" type="noConversion"/>
  </si>
  <si>
    <t>발주분양산-&gt;밀핀파손2회정지</t>
    <phoneticPr fontId="2" type="noConversion"/>
  </si>
  <si>
    <t>13</t>
    <phoneticPr fontId="2" type="noConversion"/>
  </si>
  <si>
    <t>STOPPER</t>
    <phoneticPr fontId="2" type="noConversion"/>
  </si>
  <si>
    <t>AMB1901D-JAA-R2</t>
    <phoneticPr fontId="2" type="noConversion"/>
  </si>
  <si>
    <t>BURR수리-&gt;코아파손정지</t>
    <phoneticPr fontId="2" type="noConversion"/>
  </si>
  <si>
    <t>MCS</t>
    <phoneticPr fontId="2" type="noConversion"/>
  </si>
  <si>
    <t>14</t>
    <phoneticPr fontId="2" type="noConversion"/>
  </si>
  <si>
    <t>ACTUATOR</t>
    <phoneticPr fontId="2" type="noConversion"/>
  </si>
  <si>
    <t>당일 진행 사항(26일)</t>
    <phoneticPr fontId="2" type="noConversion"/>
  </si>
  <si>
    <t>HR03B-400A3</t>
    <phoneticPr fontId="2" type="noConversion"/>
  </si>
  <si>
    <t>FLOTING</t>
    <phoneticPr fontId="2" type="noConversion"/>
  </si>
  <si>
    <t>AMB0240A-KAA-R1</t>
    <phoneticPr fontId="2" type="noConversion"/>
  </si>
  <si>
    <t>8</t>
    <phoneticPr fontId="2" type="noConversion"/>
  </si>
  <si>
    <t>SAMPLE 진행 사항(25일)</t>
    <phoneticPr fontId="2" type="noConversion"/>
  </si>
  <si>
    <t>K-AR3549-1A</t>
    <phoneticPr fontId="2" type="noConversion"/>
  </si>
  <si>
    <t>SST</t>
    <phoneticPr fontId="2" type="noConversion"/>
  </si>
  <si>
    <t>SLIDER</t>
    <phoneticPr fontId="2" type="noConversion"/>
  </si>
  <si>
    <t>SGF2033 N/P</t>
    <phoneticPr fontId="2" type="noConversion"/>
  </si>
  <si>
    <t>수정</t>
    <phoneticPr fontId="2" type="noConversion"/>
  </si>
  <si>
    <t>치수NG</t>
    <phoneticPr fontId="2" type="noConversion"/>
  </si>
  <si>
    <t>K-JR01933-G02AWA</t>
    <phoneticPr fontId="2" type="noConversion"/>
  </si>
  <si>
    <t>ADAPTER</t>
    <phoneticPr fontId="2" type="noConversion"/>
  </si>
  <si>
    <t>SGF2030</t>
    <phoneticPr fontId="2" type="noConversion"/>
  </si>
  <si>
    <t>옵션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</si>
  <si>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</si>
  <si>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</si>
  <si>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2021년 03월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</si>
  <si>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AMB0244A-KAA-R1</t>
    <phoneticPr fontId="2" type="noConversion"/>
  </si>
  <si>
    <t>AMB1935A-KAA-R1</t>
    <phoneticPr fontId="2" type="noConversion"/>
  </si>
  <si>
    <t>전일 ISSUE 사항(26일)</t>
    <phoneticPr fontId="2" type="noConversion"/>
  </si>
  <si>
    <t>AMB0244A-KAA-R1</t>
    <phoneticPr fontId="2" type="noConversion"/>
  </si>
  <si>
    <t>발주분양산-&gt;1C파손 막음</t>
    <phoneticPr fontId="2" type="noConversion"/>
  </si>
  <si>
    <t>HDB08PL-96B1</t>
    <phoneticPr fontId="2" type="noConversion"/>
  </si>
  <si>
    <t>수리후양산-&gt;코아파손수리-&gt;긁힘1C막음</t>
    <phoneticPr fontId="2" type="noConversion"/>
  </si>
  <si>
    <t>제품눌리수리</t>
    <phoneticPr fontId="2" type="noConversion"/>
  </si>
  <si>
    <t>당일 진행 사항(27일)</t>
    <phoneticPr fontId="2" type="noConversion"/>
  </si>
  <si>
    <t>AMB20E4A-KAA-R9</t>
    <phoneticPr fontId="2" type="noConversion"/>
  </si>
  <si>
    <t>AMB0187A-KAA-R1</t>
    <phoneticPr fontId="2" type="noConversion"/>
  </si>
  <si>
    <t>SAMPLE 진행 사항(26일)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</si>
  <si>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</si>
  <si>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</si>
  <si>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2021년 03월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</si>
  <si>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K-JR01928-B01AZE</t>
    <phoneticPr fontId="2" type="noConversion"/>
  </si>
  <si>
    <t>전일 ISSUE 사항(27일)</t>
    <phoneticPr fontId="2" type="noConversion"/>
  </si>
  <si>
    <t>발주분양산-&gt;코아파손수리-&gt;코아파손1C막음-&gt;BURR정지</t>
    <phoneticPr fontId="2" type="noConversion"/>
  </si>
  <si>
    <t>당일 진행 사항(29일)</t>
    <phoneticPr fontId="2" type="noConversion"/>
  </si>
  <si>
    <t>K-JR01887-A221ATA</t>
    <phoneticPr fontId="2" type="noConversion"/>
  </si>
  <si>
    <t>SAMPLE 진행 사항(27일)</t>
    <phoneticPr fontId="2" type="noConversion"/>
  </si>
  <si>
    <t>AMB09J3C-KAA-R1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</si>
  <si>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</si>
  <si>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</si>
  <si>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2021년 03월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</si>
  <si>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K-JR01928-G01BWA</t>
    <phoneticPr fontId="2" type="noConversion"/>
  </si>
  <si>
    <t>K-AR3534-1A</t>
    <phoneticPr fontId="2" type="noConversion"/>
  </si>
  <si>
    <t>K-AR3532-1A</t>
    <phoneticPr fontId="2" type="noConversion"/>
  </si>
  <si>
    <t>K-AR3531-1A</t>
    <phoneticPr fontId="2" type="noConversion"/>
  </si>
  <si>
    <t>전일 ISSUE 사항(29일)</t>
    <phoneticPr fontId="2" type="noConversion"/>
  </si>
  <si>
    <t>수리후양산-&gt;1C BURR막음</t>
    <phoneticPr fontId="2" type="noConversion"/>
  </si>
  <si>
    <t>수리후양산-&gt;1C 파손 막음</t>
    <phoneticPr fontId="2" type="noConversion"/>
  </si>
  <si>
    <t>당일 진행 사항(30일)</t>
    <phoneticPr fontId="2" type="noConversion"/>
  </si>
  <si>
    <t>SAMPLE 진행 사항(29일)</t>
    <phoneticPr fontId="2" type="noConversion"/>
  </si>
  <si>
    <t>HDB08PL-96S2</t>
    <phoneticPr fontId="2" type="noConversion"/>
  </si>
  <si>
    <t>K-JR01933-E02AWA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</si>
  <si>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</si>
  <si>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</si>
  <si>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2021년 03월 30일 일일생산현황</t>
    </r>
    <r>
      <rPr>
        <b/>
        <sz val="14"/>
        <color indexed="8"/>
        <rFont val="굴림체"/>
        <family val="3"/>
        <charset val="129"/>
      </rPr>
      <t>(31일 09시 현재)</t>
    </r>
    <phoneticPr fontId="2" type="noConversion"/>
  </si>
  <si>
    <t>SF2255EPR</t>
    <phoneticPr fontId="2" type="noConversion"/>
  </si>
  <si>
    <t>전일 ISSUE 사항(30일)</t>
    <phoneticPr fontId="2" type="noConversion"/>
  </si>
  <si>
    <t>수리후양산-&gt;게이트청소</t>
    <phoneticPr fontId="2" type="noConversion"/>
  </si>
  <si>
    <t>당일 진행 사항(31일)</t>
    <phoneticPr fontId="2" type="noConversion"/>
  </si>
  <si>
    <t>AMB0201C-JAA-R3</t>
    <phoneticPr fontId="2" type="noConversion"/>
  </si>
  <si>
    <t>SAMPLE 진행 사항(30일)</t>
    <phoneticPr fontId="2" type="noConversion"/>
  </si>
  <si>
    <t>K-AR3552-1A</t>
    <phoneticPr fontId="2" type="noConversion"/>
  </si>
  <si>
    <t>AMB20G2B-KAA-R2</t>
    <phoneticPr fontId="2" type="noConversion"/>
  </si>
  <si>
    <t>AMB09J4B-KAA-R3</t>
    <phoneticPr fontId="2" type="noConversion"/>
  </si>
  <si>
    <t>K-AR3553-1A</t>
    <phoneticPr fontId="2" type="noConversion"/>
  </si>
  <si>
    <t>CAM</t>
    <phoneticPr fontId="2" type="noConversion"/>
  </si>
  <si>
    <t>HRCS-00C14-N</t>
    <phoneticPr fontId="2" type="noConversion"/>
  </si>
  <si>
    <t>금형 수리 내역(30일)</t>
    <phoneticPr fontId="2" type="noConversion"/>
  </si>
  <si>
    <t>설비 점검 내역(30일)</t>
    <phoneticPr fontId="2" type="noConversion"/>
  </si>
  <si>
    <r>
      <t>2021년 03월 31일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</si>
  <si>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전일 ISSUE 사항(31일)</t>
    <phoneticPr fontId="2" type="noConversion"/>
  </si>
  <si>
    <t>코아파손2회-&gt;1C 파손 막음</t>
    <phoneticPr fontId="2" type="noConversion"/>
  </si>
  <si>
    <t>설비이상정지</t>
    <phoneticPr fontId="2" type="noConversion"/>
  </si>
  <si>
    <t>AMB20E4A-KAA-R9</t>
    <phoneticPr fontId="2" type="noConversion"/>
  </si>
  <si>
    <t>2</t>
    <phoneticPr fontId="2" type="noConversion"/>
  </si>
  <si>
    <t>F/A</t>
    <phoneticPr fontId="2" type="noConversion"/>
  </si>
  <si>
    <t>AMB0201C-JAA-R3</t>
    <phoneticPr fontId="2" type="noConversion"/>
  </si>
  <si>
    <t>발주분양산-&gt;에젝타봉파손정지</t>
    <phoneticPr fontId="2" type="noConversion"/>
  </si>
  <si>
    <t>8</t>
    <phoneticPr fontId="2" type="noConversion"/>
  </si>
  <si>
    <t>STOPPER</t>
    <phoneticPr fontId="2" type="noConversion"/>
  </si>
  <si>
    <t>K-AR3531-1A</t>
    <phoneticPr fontId="2" type="noConversion"/>
  </si>
  <si>
    <t>세척후양산</t>
    <phoneticPr fontId="2" type="noConversion"/>
  </si>
  <si>
    <t>36</t>
    <phoneticPr fontId="2" type="noConversion"/>
  </si>
  <si>
    <t>당일 진행 사항(01일)</t>
    <phoneticPr fontId="2" type="noConversion"/>
  </si>
  <si>
    <t>설비이동양산</t>
    <phoneticPr fontId="2" type="noConversion"/>
  </si>
  <si>
    <t>KR6458AB456PMA</t>
    <phoneticPr fontId="2" type="noConversion"/>
  </si>
  <si>
    <t>수리후양산</t>
    <phoneticPr fontId="2" type="noConversion"/>
  </si>
  <si>
    <t>SST</t>
    <phoneticPr fontId="2" type="noConversion"/>
  </si>
  <si>
    <t>7</t>
    <phoneticPr fontId="2" type="noConversion"/>
  </si>
  <si>
    <t>BASE</t>
    <phoneticPr fontId="2" type="noConversion"/>
  </si>
  <si>
    <t>KR6197-06KA</t>
    <phoneticPr fontId="2" type="noConversion"/>
  </si>
  <si>
    <t>발주분양산</t>
    <phoneticPr fontId="2" type="noConversion"/>
  </si>
  <si>
    <t>5</t>
    <phoneticPr fontId="2" type="noConversion"/>
  </si>
  <si>
    <t>SHAFT</t>
    <phoneticPr fontId="2" type="noConversion"/>
  </si>
  <si>
    <t>HDB08PL-96T4</t>
    <phoneticPr fontId="2" type="noConversion"/>
  </si>
  <si>
    <t>4</t>
    <phoneticPr fontId="2" type="noConversion"/>
  </si>
  <si>
    <t>SAMPLE 진행 사항(31일)</t>
    <phoneticPr fontId="2" type="noConversion"/>
  </si>
  <si>
    <t>K-AR3548-1A</t>
    <phoneticPr fontId="2" type="noConversion"/>
  </si>
  <si>
    <t>SGF2033 N/P</t>
    <phoneticPr fontId="2" type="noConversion"/>
  </si>
  <si>
    <t>수정</t>
    <phoneticPr fontId="2" type="noConversion"/>
  </si>
  <si>
    <t>LH-01A1</t>
    <phoneticPr fontId="2" type="noConversion"/>
  </si>
  <si>
    <t>HICON</t>
    <phoneticPr fontId="2" type="noConversion"/>
  </si>
  <si>
    <t>LATCH C</t>
    <phoneticPr fontId="2" type="noConversion"/>
  </si>
  <si>
    <t>SGF2050</t>
    <phoneticPr fontId="2" type="noConversion"/>
  </si>
  <si>
    <t>6</t>
    <phoneticPr fontId="2" type="noConversion"/>
  </si>
  <si>
    <t>K-AR3550-1A</t>
    <phoneticPr fontId="2" type="noConversion"/>
  </si>
  <si>
    <t>COVER</t>
    <phoneticPr fontId="2" type="noConversion"/>
  </si>
  <si>
    <t>SGF2033</t>
    <phoneticPr fontId="2" type="noConversion"/>
  </si>
  <si>
    <t>BURR 3회진행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</si>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</sst>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53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3" xfId="0" applyFont="1" applyFill="1" applyBorder="1" applyAlignment="1">
      <alignment horizontal="center" vertical="center"/>
    </xf>
    <xf numFmtId="9" fontId="7" fillId="29" borderId="38" xfId="8" applyFont="1" applyFill="1" applyBorder="1" applyAlignment="1">
      <alignment horizontal="center" vertical="center"/>
    </xf>
    <xf numFmtId="9" fontId="7" fillId="29" borderId="24" xfId="8" applyFont="1" applyFill="1" applyBorder="1" applyAlignment="1">
      <alignment horizontal="center" vertical="center"/>
    </xf>
    <xf numFmtId="9" fontId="7" fillId="29" borderId="33" xfId="8" applyFont="1" applyFill="1" applyBorder="1" applyAlignment="1">
      <alignment horizontal="center" vertical="center"/>
    </xf>
    <xf numFmtId="9" fontId="7" fillId="29" borderId="31" xfId="8" applyFont="1" applyFill="1" applyBorder="1" applyAlignment="1">
      <alignment horizontal="center" vertical="center"/>
    </xf>
    <xf numFmtId="9" fontId="7" fillId="29" borderId="53" xfId="8" applyFont="1" applyFill="1" applyBorder="1" applyAlignment="1">
      <alignment horizontal="center" vertical="center"/>
    </xf>
    <xf numFmtId="9" fontId="7" fillId="29" borderId="3" xfId="8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1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1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1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1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'02'!$D$6:$D$22</c:f>
              <c:strCache>
                <c:ptCount val="16"/>
                <c:pt idx="0">
                  <c:v>FLOATING</c:v>
                </c:pt>
                <c:pt idx="2">
                  <c:v>BASE</c:v>
                </c:pt>
                <c:pt idx="3">
                  <c:v>STOPPPER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'02'!$L$6:$L$22</c:f>
              <c:numCache>
                <c:formatCode>_(* #,##0_);_(* \(#,##0\);_(* "-"_);_(@_)</c:formatCode>
                <c:ptCount val="17"/>
                <c:pt idx="0">
                  <c:v>870</c:v>
                </c:pt>
                <c:pt idx="2">
                  <c:v>1208</c:v>
                </c:pt>
                <c:pt idx="3">
                  <c:v>1323</c:v>
                </c:pt>
                <c:pt idx="4">
                  <c:v>4993</c:v>
                </c:pt>
                <c:pt idx="5">
                  <c:v>6338</c:v>
                </c:pt>
                <c:pt idx="7">
                  <c:v>5233</c:v>
                </c:pt>
                <c:pt idx="11">
                  <c:v>6094</c:v>
                </c:pt>
                <c:pt idx="13">
                  <c:v>5625</c:v>
                </c:pt>
                <c:pt idx="14">
                  <c:v>4516</c:v>
                </c:pt>
                <c:pt idx="16">
                  <c:v>62008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7A-4EEA-BD08-779EB4048194}"/>
            </c:ext>
          </c:extLst>
        </c:ser>
        <c:ser>
          <c:idx val="1"/>
          <c:order val="1"/>
          <c:tx>
            <c:v>계획</c:v>
          </c:tx>
          <c:cat>
            <c:strRef>
              <c:f>'02'!$D$6:$D$22</c:f>
              <c:strCache>
                <c:ptCount val="16"/>
                <c:pt idx="0">
                  <c:v>FLOATING</c:v>
                </c:pt>
                <c:pt idx="2">
                  <c:v>BASE</c:v>
                </c:pt>
                <c:pt idx="3">
                  <c:v>STOPPPER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'02'!$J$6:$J$22</c:f>
              <c:numCache>
                <c:formatCode>_(* #,##0_);_(* \(#,##0\);_(* "-"_);_(@_)</c:formatCode>
                <c:ptCount val="17"/>
                <c:pt idx="0">
                  <c:v>870</c:v>
                </c:pt>
                <c:pt idx="1">
                  <c:v>1457</c:v>
                </c:pt>
                <c:pt idx="2">
                  <c:v>1208</c:v>
                </c:pt>
                <c:pt idx="3">
                  <c:v>1323</c:v>
                </c:pt>
                <c:pt idx="4">
                  <c:v>4993</c:v>
                </c:pt>
                <c:pt idx="5">
                  <c:v>6338</c:v>
                </c:pt>
                <c:pt idx="6">
                  <c:v>15260</c:v>
                </c:pt>
                <c:pt idx="7">
                  <c:v>5233</c:v>
                </c:pt>
                <c:pt idx="8">
                  <c:v>2364</c:v>
                </c:pt>
                <c:pt idx="9">
                  <c:v>275</c:v>
                </c:pt>
                <c:pt idx="10">
                  <c:v>9380</c:v>
                </c:pt>
                <c:pt idx="11">
                  <c:v>6094</c:v>
                </c:pt>
                <c:pt idx="12">
                  <c:v>5194</c:v>
                </c:pt>
                <c:pt idx="13">
                  <c:v>5625</c:v>
                </c:pt>
                <c:pt idx="14">
                  <c:v>4516</c:v>
                </c:pt>
                <c:pt idx="15">
                  <c:v>2105</c:v>
                </c:pt>
                <c:pt idx="16">
                  <c:v>62008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A-4EEA-BD08-779EB4048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'02'!$AD$6:$AD$22</c:f>
              <c:strCache>
                <c:ptCount val="17"/>
                <c:pt idx="0">
                  <c:v>21%</c:v>
                </c:pt>
                <c:pt idx="1">
                  <c:v>0%</c:v>
                </c:pt>
                <c:pt idx="2">
                  <c:v>25%</c:v>
                </c:pt>
                <c:pt idx="3">
                  <c:v>29%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96%</c:v>
                </c:pt>
                <c:pt idx="14">
                  <c:v>100%</c:v>
                </c:pt>
                <c:pt idx="15">
                  <c:v>0%</c:v>
                </c:pt>
                <c:pt idx="16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0">
                  <c:v>FLOATING</c:v>
                </c:pt>
                <c:pt idx="2">
                  <c:v>BASE</c:v>
                </c:pt>
                <c:pt idx="3">
                  <c:v>STOPPPER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'02'!$AD$6:$AD$22</c:f>
              <c:numCache>
                <c:formatCode>0%</c:formatCode>
                <c:ptCount val="17"/>
                <c:pt idx="0">
                  <c:v>0.20833333333333334</c:v>
                </c:pt>
                <c:pt idx="1">
                  <c:v>0</c:v>
                </c:pt>
                <c:pt idx="2">
                  <c:v>0.25</c:v>
                </c:pt>
                <c:pt idx="3">
                  <c:v>0.29166666666666669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0.95833333333333337</c:v>
                </c:pt>
                <c:pt idx="14">
                  <c:v>1</c:v>
                </c:pt>
                <c:pt idx="15">
                  <c:v>0</c:v>
                </c:pt>
                <c:pt idx="16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F2-4E6E-8CF4-ED8B989C6DB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AF2-4E6E-8CF4-ED8B989C6D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0">
                  <c:v>FLOATING</c:v>
                </c:pt>
                <c:pt idx="2">
                  <c:v>BASE</c:v>
                </c:pt>
                <c:pt idx="3">
                  <c:v>STOPPPER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'02'!$AE$6:$AE$22</c:f>
              <c:numCache>
                <c:formatCode>0%</c:formatCode>
                <c:ptCount val="17"/>
                <c:pt idx="0">
                  <c:v>0.4485294117647059</c:v>
                </c:pt>
                <c:pt idx="1">
                  <c:v>0.4485294117647059</c:v>
                </c:pt>
                <c:pt idx="2">
                  <c:v>0.4485294117647059</c:v>
                </c:pt>
                <c:pt idx="3">
                  <c:v>0.4485294117647059</c:v>
                </c:pt>
                <c:pt idx="4">
                  <c:v>0.4485294117647059</c:v>
                </c:pt>
                <c:pt idx="5">
                  <c:v>0.4485294117647059</c:v>
                </c:pt>
                <c:pt idx="6">
                  <c:v>0.4485294117647059</c:v>
                </c:pt>
                <c:pt idx="7">
                  <c:v>0.4485294117647059</c:v>
                </c:pt>
                <c:pt idx="8">
                  <c:v>0.4485294117647059</c:v>
                </c:pt>
                <c:pt idx="9">
                  <c:v>0.4485294117647059</c:v>
                </c:pt>
                <c:pt idx="10">
                  <c:v>0.4485294117647059</c:v>
                </c:pt>
                <c:pt idx="11">
                  <c:v>0.4485294117647059</c:v>
                </c:pt>
                <c:pt idx="12">
                  <c:v>0.4485294117647059</c:v>
                </c:pt>
                <c:pt idx="13">
                  <c:v>0.4485294117647059</c:v>
                </c:pt>
                <c:pt idx="14">
                  <c:v>0.4485294117647059</c:v>
                </c:pt>
                <c:pt idx="15">
                  <c:v>0.4485294117647059</c:v>
                </c:pt>
                <c:pt idx="16">
                  <c:v>0.4485294117647059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F2-4E6E-8CF4-ED8B989C6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'02'!$D$6:$D$22</c:f>
              <c:strCache>
                <c:ptCount val="16"/>
                <c:pt idx="0">
                  <c:v>FLOATING</c:v>
                </c:pt>
                <c:pt idx="2">
                  <c:v>BASE</c:v>
                </c:pt>
                <c:pt idx="3">
                  <c:v>STOPPPER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'02'!$L$6:$L$22</c:f>
              <c:numCache>
                <c:formatCode>_(* #,##0_);_(* \(#,##0\);_(* "-"_);_(@_)</c:formatCode>
                <c:ptCount val="17"/>
                <c:pt idx="0">
                  <c:v>870</c:v>
                </c:pt>
                <c:pt idx="2">
                  <c:v>1208</c:v>
                </c:pt>
                <c:pt idx="3">
                  <c:v>1323</c:v>
                </c:pt>
                <c:pt idx="4">
                  <c:v>4993</c:v>
                </c:pt>
                <c:pt idx="5">
                  <c:v>6338</c:v>
                </c:pt>
                <c:pt idx="7">
                  <c:v>5233</c:v>
                </c:pt>
                <c:pt idx="11">
                  <c:v>6094</c:v>
                </c:pt>
                <c:pt idx="13">
                  <c:v>5625</c:v>
                </c:pt>
                <c:pt idx="14">
                  <c:v>4516</c:v>
                </c:pt>
                <c:pt idx="16">
                  <c:v>62008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F-4D8B-B931-7D5226FC6F5F}"/>
            </c:ext>
          </c:extLst>
        </c:ser>
        <c:ser>
          <c:idx val="1"/>
          <c:order val="1"/>
          <c:tx>
            <c:v>계획</c:v>
          </c:tx>
          <c:cat>
            <c:strRef>
              <c:f>'02'!$D$6:$D$22</c:f>
              <c:strCache>
                <c:ptCount val="16"/>
                <c:pt idx="0">
                  <c:v>FLOATING</c:v>
                </c:pt>
                <c:pt idx="2">
                  <c:v>BASE</c:v>
                </c:pt>
                <c:pt idx="3">
                  <c:v>STOPPPER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'02'!$J$6:$J$22</c:f>
              <c:numCache>
                <c:formatCode>_(* #,##0_);_(* \(#,##0\);_(* "-"_);_(@_)</c:formatCode>
                <c:ptCount val="17"/>
                <c:pt idx="0">
                  <c:v>870</c:v>
                </c:pt>
                <c:pt idx="1">
                  <c:v>1457</c:v>
                </c:pt>
                <c:pt idx="2">
                  <c:v>1208</c:v>
                </c:pt>
                <c:pt idx="3">
                  <c:v>1323</c:v>
                </c:pt>
                <c:pt idx="4">
                  <c:v>4993</c:v>
                </c:pt>
                <c:pt idx="5">
                  <c:v>6338</c:v>
                </c:pt>
                <c:pt idx="6">
                  <c:v>15260</c:v>
                </c:pt>
                <c:pt idx="7">
                  <c:v>5233</c:v>
                </c:pt>
                <c:pt idx="8">
                  <c:v>2364</c:v>
                </c:pt>
                <c:pt idx="9">
                  <c:v>275</c:v>
                </c:pt>
                <c:pt idx="10">
                  <c:v>9380</c:v>
                </c:pt>
                <c:pt idx="11">
                  <c:v>6094</c:v>
                </c:pt>
                <c:pt idx="12">
                  <c:v>5194</c:v>
                </c:pt>
                <c:pt idx="13">
                  <c:v>5625</c:v>
                </c:pt>
                <c:pt idx="14">
                  <c:v>4516</c:v>
                </c:pt>
                <c:pt idx="15">
                  <c:v>2105</c:v>
                </c:pt>
                <c:pt idx="16">
                  <c:v>62008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2F-4D8B-B931-7D5226FC6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'02'!$AD$6:$AD$22</c:f>
              <c:strCache>
                <c:ptCount val="17"/>
                <c:pt idx="0">
                  <c:v>21%</c:v>
                </c:pt>
                <c:pt idx="1">
                  <c:v>0%</c:v>
                </c:pt>
                <c:pt idx="2">
                  <c:v>25%</c:v>
                </c:pt>
                <c:pt idx="3">
                  <c:v>29%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96%</c:v>
                </c:pt>
                <c:pt idx="14">
                  <c:v>100%</c:v>
                </c:pt>
                <c:pt idx="15">
                  <c:v>0%</c:v>
                </c:pt>
                <c:pt idx="16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0">
                  <c:v>FLOATING</c:v>
                </c:pt>
                <c:pt idx="2">
                  <c:v>BASE</c:v>
                </c:pt>
                <c:pt idx="3">
                  <c:v>STOPPPER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'02'!$AD$6:$AD$22</c:f>
              <c:numCache>
                <c:formatCode>0%</c:formatCode>
                <c:ptCount val="17"/>
                <c:pt idx="0">
                  <c:v>0.20833333333333334</c:v>
                </c:pt>
                <c:pt idx="1">
                  <c:v>0</c:v>
                </c:pt>
                <c:pt idx="2">
                  <c:v>0.25</c:v>
                </c:pt>
                <c:pt idx="3">
                  <c:v>0.29166666666666669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0.95833333333333337</c:v>
                </c:pt>
                <c:pt idx="14">
                  <c:v>1</c:v>
                </c:pt>
                <c:pt idx="15">
                  <c:v>0</c:v>
                </c:pt>
                <c:pt idx="16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9-411E-A1D3-9BB358A9855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C9-411E-A1D3-9BB358A9855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0">
                  <c:v>FLOATING</c:v>
                </c:pt>
                <c:pt idx="2">
                  <c:v>BASE</c:v>
                </c:pt>
                <c:pt idx="3">
                  <c:v>STOPPPER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'02'!$AE$6:$AE$22</c:f>
              <c:numCache>
                <c:formatCode>0%</c:formatCode>
                <c:ptCount val="17"/>
                <c:pt idx="0">
                  <c:v>0.4485294117647059</c:v>
                </c:pt>
                <c:pt idx="1">
                  <c:v>0.4485294117647059</c:v>
                </c:pt>
                <c:pt idx="2">
                  <c:v>0.4485294117647059</c:v>
                </c:pt>
                <c:pt idx="3">
                  <c:v>0.4485294117647059</c:v>
                </c:pt>
                <c:pt idx="4">
                  <c:v>0.4485294117647059</c:v>
                </c:pt>
                <c:pt idx="5">
                  <c:v>0.4485294117647059</c:v>
                </c:pt>
                <c:pt idx="6">
                  <c:v>0.4485294117647059</c:v>
                </c:pt>
                <c:pt idx="7">
                  <c:v>0.4485294117647059</c:v>
                </c:pt>
                <c:pt idx="8">
                  <c:v>0.4485294117647059</c:v>
                </c:pt>
                <c:pt idx="9">
                  <c:v>0.4485294117647059</c:v>
                </c:pt>
                <c:pt idx="10">
                  <c:v>0.4485294117647059</c:v>
                </c:pt>
                <c:pt idx="11">
                  <c:v>0.4485294117647059</c:v>
                </c:pt>
                <c:pt idx="12">
                  <c:v>0.4485294117647059</c:v>
                </c:pt>
                <c:pt idx="13">
                  <c:v>0.4485294117647059</c:v>
                </c:pt>
                <c:pt idx="14">
                  <c:v>0.4485294117647059</c:v>
                </c:pt>
                <c:pt idx="15">
                  <c:v>0.4485294117647059</c:v>
                </c:pt>
                <c:pt idx="16">
                  <c:v>0.4485294117647059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C9-411E-A1D3-9BB358A98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E43-4649-BB24-4C18A3A07E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43-4649-BB24-4C18A3A07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E43-4649-BB24-4C18A3A07E2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43-4649-BB24-4C18A3A07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'03'!$D$6:$D$22</c:f>
              <c:strCache>
                <c:ptCount val="16"/>
                <c:pt idx="0">
                  <c:v>FLOATING</c:v>
                </c:pt>
                <c:pt idx="2">
                  <c:v>ACTUATOR</c:v>
                </c:pt>
                <c:pt idx="3">
                  <c:v>LID/PLUNGER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4">
                  <c:v>COVER</c:v>
                </c:pt>
                <c:pt idx="15">
                  <c:v>STOPPPER</c:v>
                </c:pt>
              </c:strCache>
            </c:strRef>
          </c:cat>
          <c:val>
            <c:numRef>
              <c:f>'03'!$L$6:$L$22</c:f>
              <c:numCache>
                <c:formatCode>_(* #,##0_);_(* \(#,##0\);_(* "-"_);_(@_)</c:formatCode>
                <c:ptCount val="17"/>
                <c:pt idx="0">
                  <c:v>3356</c:v>
                </c:pt>
                <c:pt idx="2">
                  <c:v>660</c:v>
                </c:pt>
                <c:pt idx="3">
                  <c:v>2215</c:v>
                </c:pt>
                <c:pt idx="4">
                  <c:v>5197</c:v>
                </c:pt>
                <c:pt idx="5">
                  <c:v>6604</c:v>
                </c:pt>
                <c:pt idx="7">
                  <c:v>5443</c:v>
                </c:pt>
                <c:pt idx="8">
                  <c:v>5295</c:v>
                </c:pt>
                <c:pt idx="10">
                  <c:v>12356</c:v>
                </c:pt>
                <c:pt idx="11">
                  <c:v>3722</c:v>
                </c:pt>
                <c:pt idx="12">
                  <c:v>3666</c:v>
                </c:pt>
                <c:pt idx="13">
                  <c:v>5616</c:v>
                </c:pt>
                <c:pt idx="14">
                  <c:v>4728</c:v>
                </c:pt>
                <c:pt idx="15">
                  <c:v>1160</c:v>
                </c:pt>
                <c:pt idx="16">
                  <c:v>65280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AC-4728-A31D-245DDC583C84}"/>
            </c:ext>
          </c:extLst>
        </c:ser>
        <c:ser>
          <c:idx val="1"/>
          <c:order val="1"/>
          <c:tx>
            <c:v>계획</c:v>
          </c:tx>
          <c:cat>
            <c:strRef>
              <c:f>'03'!$D$6:$D$22</c:f>
              <c:strCache>
                <c:ptCount val="16"/>
                <c:pt idx="0">
                  <c:v>FLOATING</c:v>
                </c:pt>
                <c:pt idx="2">
                  <c:v>ACTUATOR</c:v>
                </c:pt>
                <c:pt idx="3">
                  <c:v>LID/PLUNGER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4">
                  <c:v>COVER</c:v>
                </c:pt>
                <c:pt idx="15">
                  <c:v>STOPPPER</c:v>
                </c:pt>
              </c:strCache>
            </c:strRef>
          </c:cat>
          <c:val>
            <c:numRef>
              <c:f>'03'!$J$6:$J$22</c:f>
              <c:numCache>
                <c:formatCode>_(* #,##0_);_(* \(#,##0\);_(* "-"_);_(@_)</c:formatCode>
                <c:ptCount val="17"/>
                <c:pt idx="0">
                  <c:v>3356</c:v>
                </c:pt>
                <c:pt idx="1">
                  <c:v>1457</c:v>
                </c:pt>
                <c:pt idx="2">
                  <c:v>660</c:v>
                </c:pt>
                <c:pt idx="3">
                  <c:v>2215</c:v>
                </c:pt>
                <c:pt idx="4">
                  <c:v>5197</c:v>
                </c:pt>
                <c:pt idx="5">
                  <c:v>6604</c:v>
                </c:pt>
                <c:pt idx="6">
                  <c:v>15260</c:v>
                </c:pt>
                <c:pt idx="7">
                  <c:v>5443</c:v>
                </c:pt>
                <c:pt idx="8">
                  <c:v>5295</c:v>
                </c:pt>
                <c:pt idx="9">
                  <c:v>275</c:v>
                </c:pt>
                <c:pt idx="10">
                  <c:v>12356</c:v>
                </c:pt>
                <c:pt idx="11">
                  <c:v>2722</c:v>
                </c:pt>
                <c:pt idx="12">
                  <c:v>3666</c:v>
                </c:pt>
                <c:pt idx="13">
                  <c:v>5616</c:v>
                </c:pt>
                <c:pt idx="14">
                  <c:v>4728</c:v>
                </c:pt>
                <c:pt idx="15">
                  <c:v>1160</c:v>
                </c:pt>
                <c:pt idx="16">
                  <c:v>65280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AC-4728-A31D-245DDC583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'03'!$AD$6:$AD$22</c:f>
              <c:strCache>
                <c:ptCount val="17"/>
                <c:pt idx="0">
                  <c:v>67%</c:v>
                </c:pt>
                <c:pt idx="1">
                  <c:v>0%</c:v>
                </c:pt>
                <c:pt idx="2">
                  <c:v>13%</c:v>
                </c:pt>
                <c:pt idx="3">
                  <c:v>58%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92%</c:v>
                </c:pt>
                <c:pt idx="9">
                  <c:v>0%</c:v>
                </c:pt>
                <c:pt idx="10">
                  <c:v>71%</c:v>
                </c:pt>
                <c:pt idx="11">
                  <c:v>103%</c:v>
                </c:pt>
                <c:pt idx="12">
                  <c:v>75%</c:v>
                </c:pt>
                <c:pt idx="13">
                  <c:v>100%</c:v>
                </c:pt>
                <c:pt idx="14">
                  <c:v>100%</c:v>
                </c:pt>
                <c:pt idx="15">
                  <c:v>21%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'03'!$D$6:$D$22</c:f>
              <c:strCache>
                <c:ptCount val="16"/>
                <c:pt idx="0">
                  <c:v>FLOATING</c:v>
                </c:pt>
                <c:pt idx="2">
                  <c:v>ACTUATOR</c:v>
                </c:pt>
                <c:pt idx="3">
                  <c:v>LID/PLUNGER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4">
                  <c:v>COVER</c:v>
                </c:pt>
                <c:pt idx="15">
                  <c:v>STOPPPER</c:v>
                </c:pt>
              </c:strCache>
            </c:strRef>
          </c:cat>
          <c:val>
            <c:numRef>
              <c:f>'03'!$AD$6:$AD$22</c:f>
              <c:numCache>
                <c:formatCode>0%</c:formatCode>
                <c:ptCount val="17"/>
                <c:pt idx="0">
                  <c:v>0.66666666666666663</c:v>
                </c:pt>
                <c:pt idx="1">
                  <c:v>0</c:v>
                </c:pt>
                <c:pt idx="2">
                  <c:v>0.125</c:v>
                </c:pt>
                <c:pt idx="3">
                  <c:v>0.58333333333333337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0.91666666666666663</c:v>
                </c:pt>
                <c:pt idx="9">
                  <c:v>0</c:v>
                </c:pt>
                <c:pt idx="10">
                  <c:v>0.70833333333333337</c:v>
                </c:pt>
                <c:pt idx="11">
                  <c:v>1.0255326965466569</c:v>
                </c:pt>
                <c:pt idx="12">
                  <c:v>0.75</c:v>
                </c:pt>
                <c:pt idx="13">
                  <c:v>1</c:v>
                </c:pt>
                <c:pt idx="14">
                  <c:v>1</c:v>
                </c:pt>
                <c:pt idx="15">
                  <c:v>0.20833333333333334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27-4925-9D31-6EEB1DD89AE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27-4925-9D31-6EEB1DD89AE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'03'!$D$6:$D$22</c:f>
              <c:strCache>
                <c:ptCount val="16"/>
                <c:pt idx="0">
                  <c:v>FLOATING</c:v>
                </c:pt>
                <c:pt idx="2">
                  <c:v>ACTUATOR</c:v>
                </c:pt>
                <c:pt idx="3">
                  <c:v>LID/PLUNGER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4">
                  <c:v>COVER</c:v>
                </c:pt>
                <c:pt idx="15">
                  <c:v>STOPPPER</c:v>
                </c:pt>
              </c:strCache>
            </c:strRef>
          </c:cat>
          <c:val>
            <c:numRef>
              <c:f>'03'!$AE$6:$AE$22</c:f>
              <c:numCache>
                <c:formatCode>0%</c:formatCode>
                <c:ptCount val="17"/>
                <c:pt idx="0">
                  <c:v>0.64610976646352891</c:v>
                </c:pt>
                <c:pt idx="1">
                  <c:v>0.64610976646352891</c:v>
                </c:pt>
                <c:pt idx="2">
                  <c:v>0.64610976646352891</c:v>
                </c:pt>
                <c:pt idx="3">
                  <c:v>0.64610976646352891</c:v>
                </c:pt>
                <c:pt idx="4">
                  <c:v>0.64610976646352891</c:v>
                </c:pt>
                <c:pt idx="5">
                  <c:v>0.64610976646352891</c:v>
                </c:pt>
                <c:pt idx="6">
                  <c:v>0.64610976646352891</c:v>
                </c:pt>
                <c:pt idx="7">
                  <c:v>0.64610976646352891</c:v>
                </c:pt>
                <c:pt idx="8">
                  <c:v>0.64610976646352891</c:v>
                </c:pt>
                <c:pt idx="9">
                  <c:v>0.64610976646352891</c:v>
                </c:pt>
                <c:pt idx="10">
                  <c:v>0.64610976646352891</c:v>
                </c:pt>
                <c:pt idx="11">
                  <c:v>0.64610976646352891</c:v>
                </c:pt>
                <c:pt idx="12">
                  <c:v>0.64610976646352891</c:v>
                </c:pt>
                <c:pt idx="13">
                  <c:v>0.64610976646352891</c:v>
                </c:pt>
                <c:pt idx="14">
                  <c:v>0.64610976646352891</c:v>
                </c:pt>
                <c:pt idx="15">
                  <c:v>0.64610976646352891</c:v>
                </c:pt>
                <c:pt idx="16">
                  <c:v>0.64610976646352891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27-4925-9D31-6EEB1DD89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'03'!$D$6:$D$22</c:f>
              <c:strCache>
                <c:ptCount val="16"/>
                <c:pt idx="0">
                  <c:v>FLOATING</c:v>
                </c:pt>
                <c:pt idx="2">
                  <c:v>ACTUATOR</c:v>
                </c:pt>
                <c:pt idx="3">
                  <c:v>LID/PLUNGER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4">
                  <c:v>COVER</c:v>
                </c:pt>
                <c:pt idx="15">
                  <c:v>STOPPPER</c:v>
                </c:pt>
              </c:strCache>
            </c:strRef>
          </c:cat>
          <c:val>
            <c:numRef>
              <c:f>'03'!$L$6:$L$22</c:f>
              <c:numCache>
                <c:formatCode>_(* #,##0_);_(* \(#,##0\);_(* "-"_);_(@_)</c:formatCode>
                <c:ptCount val="17"/>
                <c:pt idx="0">
                  <c:v>3356</c:v>
                </c:pt>
                <c:pt idx="2">
                  <c:v>660</c:v>
                </c:pt>
                <c:pt idx="3">
                  <c:v>2215</c:v>
                </c:pt>
                <c:pt idx="4">
                  <c:v>5197</c:v>
                </c:pt>
                <c:pt idx="5">
                  <c:v>6604</c:v>
                </c:pt>
                <c:pt idx="7">
                  <c:v>5443</c:v>
                </c:pt>
                <c:pt idx="8">
                  <c:v>5295</c:v>
                </c:pt>
                <c:pt idx="10">
                  <c:v>12356</c:v>
                </c:pt>
                <c:pt idx="11">
                  <c:v>3722</c:v>
                </c:pt>
                <c:pt idx="12">
                  <c:v>3666</c:v>
                </c:pt>
                <c:pt idx="13">
                  <c:v>5616</c:v>
                </c:pt>
                <c:pt idx="14">
                  <c:v>4728</c:v>
                </c:pt>
                <c:pt idx="15">
                  <c:v>1160</c:v>
                </c:pt>
                <c:pt idx="16">
                  <c:v>65280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3-48B0-914D-0270B0D833EA}"/>
            </c:ext>
          </c:extLst>
        </c:ser>
        <c:ser>
          <c:idx val="1"/>
          <c:order val="1"/>
          <c:tx>
            <c:v>계획</c:v>
          </c:tx>
          <c:cat>
            <c:strRef>
              <c:f>'03'!$D$6:$D$22</c:f>
              <c:strCache>
                <c:ptCount val="16"/>
                <c:pt idx="0">
                  <c:v>FLOATING</c:v>
                </c:pt>
                <c:pt idx="2">
                  <c:v>ACTUATOR</c:v>
                </c:pt>
                <c:pt idx="3">
                  <c:v>LID/PLUNGER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4">
                  <c:v>COVER</c:v>
                </c:pt>
                <c:pt idx="15">
                  <c:v>STOPPPER</c:v>
                </c:pt>
              </c:strCache>
            </c:strRef>
          </c:cat>
          <c:val>
            <c:numRef>
              <c:f>'03'!$J$6:$J$22</c:f>
              <c:numCache>
                <c:formatCode>_(* #,##0_);_(* \(#,##0\);_(* "-"_);_(@_)</c:formatCode>
                <c:ptCount val="17"/>
                <c:pt idx="0">
                  <c:v>3356</c:v>
                </c:pt>
                <c:pt idx="1">
                  <c:v>1457</c:v>
                </c:pt>
                <c:pt idx="2">
                  <c:v>660</c:v>
                </c:pt>
                <c:pt idx="3">
                  <c:v>2215</c:v>
                </c:pt>
                <c:pt idx="4">
                  <c:v>5197</c:v>
                </c:pt>
                <c:pt idx="5">
                  <c:v>6604</c:v>
                </c:pt>
                <c:pt idx="6">
                  <c:v>15260</c:v>
                </c:pt>
                <c:pt idx="7">
                  <c:v>5443</c:v>
                </c:pt>
                <c:pt idx="8">
                  <c:v>5295</c:v>
                </c:pt>
                <c:pt idx="9">
                  <c:v>275</c:v>
                </c:pt>
                <c:pt idx="10">
                  <c:v>12356</c:v>
                </c:pt>
                <c:pt idx="11">
                  <c:v>2722</c:v>
                </c:pt>
                <c:pt idx="12">
                  <c:v>3666</c:v>
                </c:pt>
                <c:pt idx="13">
                  <c:v>5616</c:v>
                </c:pt>
                <c:pt idx="14">
                  <c:v>4728</c:v>
                </c:pt>
                <c:pt idx="15">
                  <c:v>1160</c:v>
                </c:pt>
                <c:pt idx="16">
                  <c:v>65280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E3-48B0-914D-0270B0D83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'03'!$AD$6:$AD$22</c:f>
              <c:strCache>
                <c:ptCount val="17"/>
                <c:pt idx="0">
                  <c:v>67%</c:v>
                </c:pt>
                <c:pt idx="1">
                  <c:v>0%</c:v>
                </c:pt>
                <c:pt idx="2">
                  <c:v>13%</c:v>
                </c:pt>
                <c:pt idx="3">
                  <c:v>58%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92%</c:v>
                </c:pt>
                <c:pt idx="9">
                  <c:v>0%</c:v>
                </c:pt>
                <c:pt idx="10">
                  <c:v>71%</c:v>
                </c:pt>
                <c:pt idx="11">
                  <c:v>103%</c:v>
                </c:pt>
                <c:pt idx="12">
                  <c:v>75%</c:v>
                </c:pt>
                <c:pt idx="13">
                  <c:v>100%</c:v>
                </c:pt>
                <c:pt idx="14">
                  <c:v>100%</c:v>
                </c:pt>
                <c:pt idx="15">
                  <c:v>21%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'03'!$D$6:$D$22</c:f>
              <c:strCache>
                <c:ptCount val="16"/>
                <c:pt idx="0">
                  <c:v>FLOATING</c:v>
                </c:pt>
                <c:pt idx="2">
                  <c:v>ACTUATOR</c:v>
                </c:pt>
                <c:pt idx="3">
                  <c:v>LID/PLUNGER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4">
                  <c:v>COVER</c:v>
                </c:pt>
                <c:pt idx="15">
                  <c:v>STOPPPER</c:v>
                </c:pt>
              </c:strCache>
            </c:strRef>
          </c:cat>
          <c:val>
            <c:numRef>
              <c:f>'03'!$AD$6:$AD$22</c:f>
              <c:numCache>
                <c:formatCode>0%</c:formatCode>
                <c:ptCount val="17"/>
                <c:pt idx="0">
                  <c:v>0.66666666666666663</c:v>
                </c:pt>
                <c:pt idx="1">
                  <c:v>0</c:v>
                </c:pt>
                <c:pt idx="2">
                  <c:v>0.125</c:v>
                </c:pt>
                <c:pt idx="3">
                  <c:v>0.58333333333333337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0.91666666666666663</c:v>
                </c:pt>
                <c:pt idx="9">
                  <c:v>0</c:v>
                </c:pt>
                <c:pt idx="10">
                  <c:v>0.70833333333333337</c:v>
                </c:pt>
                <c:pt idx="11">
                  <c:v>1.0255326965466569</c:v>
                </c:pt>
                <c:pt idx="12">
                  <c:v>0.75</c:v>
                </c:pt>
                <c:pt idx="13">
                  <c:v>1</c:v>
                </c:pt>
                <c:pt idx="14">
                  <c:v>1</c:v>
                </c:pt>
                <c:pt idx="15">
                  <c:v>0.20833333333333334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2-4A5C-B26B-CA40508EA59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392-4A5C-B26B-CA40508EA59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'03'!$D$6:$D$22</c:f>
              <c:strCache>
                <c:ptCount val="16"/>
                <c:pt idx="0">
                  <c:v>FLOATING</c:v>
                </c:pt>
                <c:pt idx="2">
                  <c:v>ACTUATOR</c:v>
                </c:pt>
                <c:pt idx="3">
                  <c:v>LID/PLUNGER</c:v>
                </c:pt>
                <c:pt idx="4">
                  <c:v>BASE</c:v>
                </c:pt>
                <c:pt idx="5">
                  <c:v>STOPPPER</c:v>
                </c:pt>
                <c:pt idx="6">
                  <c:v>SHAFT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4">
                  <c:v>COVER</c:v>
                </c:pt>
                <c:pt idx="15">
                  <c:v>STOPPPER</c:v>
                </c:pt>
              </c:strCache>
            </c:strRef>
          </c:cat>
          <c:val>
            <c:numRef>
              <c:f>'03'!$AE$6:$AE$22</c:f>
              <c:numCache>
                <c:formatCode>0%</c:formatCode>
                <c:ptCount val="17"/>
                <c:pt idx="0">
                  <c:v>0.64610976646352891</c:v>
                </c:pt>
                <c:pt idx="1">
                  <c:v>0.64610976646352891</c:v>
                </c:pt>
                <c:pt idx="2">
                  <c:v>0.64610976646352891</c:v>
                </c:pt>
                <c:pt idx="3">
                  <c:v>0.64610976646352891</c:v>
                </c:pt>
                <c:pt idx="4">
                  <c:v>0.64610976646352891</c:v>
                </c:pt>
                <c:pt idx="5">
                  <c:v>0.64610976646352891</c:v>
                </c:pt>
                <c:pt idx="6">
                  <c:v>0.64610976646352891</c:v>
                </c:pt>
                <c:pt idx="7">
                  <c:v>0.64610976646352891</c:v>
                </c:pt>
                <c:pt idx="8">
                  <c:v>0.64610976646352891</c:v>
                </c:pt>
                <c:pt idx="9">
                  <c:v>0.64610976646352891</c:v>
                </c:pt>
                <c:pt idx="10">
                  <c:v>0.64610976646352891</c:v>
                </c:pt>
                <c:pt idx="11">
                  <c:v>0.64610976646352891</c:v>
                </c:pt>
                <c:pt idx="12">
                  <c:v>0.64610976646352891</c:v>
                </c:pt>
                <c:pt idx="13">
                  <c:v>0.64610976646352891</c:v>
                </c:pt>
                <c:pt idx="14">
                  <c:v>0.64610976646352891</c:v>
                </c:pt>
                <c:pt idx="15">
                  <c:v>0.64610976646352891</c:v>
                </c:pt>
                <c:pt idx="16">
                  <c:v>0.64610976646352891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92-4A5C-B26B-CA40508EA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611-40AC-BA07-4F8661F6D2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11-40AC-BA07-4F8661F6D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611-40AC-BA07-4F8661F6D21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11-40AC-BA07-4F8661F6D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'04'!$D$6:$D$24</c:f>
              <c:strCache>
                <c:ptCount val="18"/>
                <c:pt idx="0">
                  <c:v>FLOATING</c:v>
                </c:pt>
                <c:pt idx="1">
                  <c:v>ACTUATOR</c:v>
                </c:pt>
                <c:pt idx="2">
                  <c:v>ADAPTER</c:v>
                </c:pt>
                <c:pt idx="3">
                  <c:v>COVER</c:v>
                </c:pt>
                <c:pt idx="4">
                  <c:v>BASE</c:v>
                </c:pt>
                <c:pt idx="5">
                  <c:v>BASE</c:v>
                </c:pt>
                <c:pt idx="6">
                  <c:v>STOPPPER</c:v>
                </c:pt>
                <c:pt idx="7">
                  <c:v>SHAFT</c:v>
                </c:pt>
                <c:pt idx="8">
                  <c:v>BASE</c:v>
                </c:pt>
                <c:pt idx="9">
                  <c:v>38P</c:v>
                </c:pt>
                <c:pt idx="10">
                  <c:v>BASE</c:v>
                </c:pt>
                <c:pt idx="11">
                  <c:v>COVER</c:v>
                </c:pt>
                <c:pt idx="12">
                  <c:v>COVER</c:v>
                </c:pt>
                <c:pt idx="15">
                  <c:v>BASE</c:v>
                </c:pt>
                <c:pt idx="16">
                  <c:v>COVER</c:v>
                </c:pt>
                <c:pt idx="17">
                  <c:v>STOPPPER</c:v>
                </c:pt>
              </c:strCache>
            </c:strRef>
          </c:cat>
          <c:val>
            <c:numRef>
              <c:f>'04'!$L$6:$L$24</c:f>
              <c:numCache>
                <c:formatCode>_(* #,##0_);_(* \(#,##0\);_(* "-"_);_(@_)</c:formatCode>
                <c:ptCount val="19"/>
                <c:pt idx="0">
                  <c:v>2238</c:v>
                </c:pt>
                <c:pt idx="1">
                  <c:v>1297</c:v>
                </c:pt>
                <c:pt idx="2">
                  <c:v>4309</c:v>
                </c:pt>
                <c:pt idx="3">
                  <c:v>686</c:v>
                </c:pt>
                <c:pt idx="4">
                  <c:v>644</c:v>
                </c:pt>
                <c:pt idx="5">
                  <c:v>5228</c:v>
                </c:pt>
                <c:pt idx="6">
                  <c:v>6657</c:v>
                </c:pt>
                <c:pt idx="8">
                  <c:v>5490</c:v>
                </c:pt>
                <c:pt idx="12">
                  <c:v>5458</c:v>
                </c:pt>
                <c:pt idx="13">
                  <c:v>1803</c:v>
                </c:pt>
                <c:pt idx="14">
                  <c:v>3052</c:v>
                </c:pt>
                <c:pt idx="15">
                  <c:v>4927</c:v>
                </c:pt>
                <c:pt idx="16">
                  <c:v>4695</c:v>
                </c:pt>
                <c:pt idx="18">
                  <c:v>66156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F-4B13-B5DD-0B3C1933A43E}"/>
            </c:ext>
          </c:extLst>
        </c:ser>
        <c:ser>
          <c:idx val="1"/>
          <c:order val="1"/>
          <c:tx>
            <c:v>계획</c:v>
          </c:tx>
          <c:cat>
            <c:strRef>
              <c:f>'04'!$D$6:$D$24</c:f>
              <c:strCache>
                <c:ptCount val="18"/>
                <c:pt idx="0">
                  <c:v>FLOATING</c:v>
                </c:pt>
                <c:pt idx="1">
                  <c:v>ACTUATOR</c:v>
                </c:pt>
                <c:pt idx="2">
                  <c:v>ADAPTER</c:v>
                </c:pt>
                <c:pt idx="3">
                  <c:v>COVER</c:v>
                </c:pt>
                <c:pt idx="4">
                  <c:v>BASE</c:v>
                </c:pt>
                <c:pt idx="5">
                  <c:v>BASE</c:v>
                </c:pt>
                <c:pt idx="6">
                  <c:v>STOPPPER</c:v>
                </c:pt>
                <c:pt idx="7">
                  <c:v>SHAFT</c:v>
                </c:pt>
                <c:pt idx="8">
                  <c:v>BASE</c:v>
                </c:pt>
                <c:pt idx="9">
                  <c:v>38P</c:v>
                </c:pt>
                <c:pt idx="10">
                  <c:v>BASE</c:v>
                </c:pt>
                <c:pt idx="11">
                  <c:v>COVER</c:v>
                </c:pt>
                <c:pt idx="12">
                  <c:v>COVER</c:v>
                </c:pt>
                <c:pt idx="15">
                  <c:v>BASE</c:v>
                </c:pt>
                <c:pt idx="16">
                  <c:v>COVER</c:v>
                </c:pt>
                <c:pt idx="17">
                  <c:v>STOPPPER</c:v>
                </c:pt>
              </c:strCache>
            </c:strRef>
          </c:cat>
          <c:val>
            <c:numRef>
              <c:f>'04'!$J$6:$J$24</c:f>
              <c:numCache>
                <c:formatCode>_(* #,##0_);_(* \(#,##0\);_(* "-"_);_(@_)</c:formatCode>
                <c:ptCount val="19"/>
                <c:pt idx="0">
                  <c:v>2238</c:v>
                </c:pt>
                <c:pt idx="1">
                  <c:v>1297</c:v>
                </c:pt>
                <c:pt idx="2">
                  <c:v>4309</c:v>
                </c:pt>
                <c:pt idx="3">
                  <c:v>686</c:v>
                </c:pt>
                <c:pt idx="4">
                  <c:v>644</c:v>
                </c:pt>
                <c:pt idx="5">
                  <c:v>5228</c:v>
                </c:pt>
                <c:pt idx="6">
                  <c:v>6657</c:v>
                </c:pt>
                <c:pt idx="7">
                  <c:v>15260</c:v>
                </c:pt>
                <c:pt idx="8">
                  <c:v>5490</c:v>
                </c:pt>
                <c:pt idx="9">
                  <c:v>5295</c:v>
                </c:pt>
                <c:pt idx="10">
                  <c:v>275</c:v>
                </c:pt>
                <c:pt idx="11">
                  <c:v>12356</c:v>
                </c:pt>
                <c:pt idx="12">
                  <c:v>5458</c:v>
                </c:pt>
                <c:pt idx="13">
                  <c:v>1803</c:v>
                </c:pt>
                <c:pt idx="14">
                  <c:v>3052</c:v>
                </c:pt>
                <c:pt idx="15">
                  <c:v>4927</c:v>
                </c:pt>
                <c:pt idx="16">
                  <c:v>4695</c:v>
                </c:pt>
                <c:pt idx="17">
                  <c:v>1160</c:v>
                </c:pt>
                <c:pt idx="18">
                  <c:v>66156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FF-4B13-B5DD-0B3C1933A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'04'!$AD$6:$AD$24</c:f>
              <c:strCache>
                <c:ptCount val="19"/>
                <c:pt idx="0">
                  <c:v>42%</c:v>
                </c:pt>
                <c:pt idx="1">
                  <c:v>29%</c:v>
                </c:pt>
                <c:pt idx="2">
                  <c:v>88%</c:v>
                </c:pt>
                <c:pt idx="3">
                  <c:v>13%</c:v>
                </c:pt>
                <c:pt idx="4">
                  <c:v>13%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33%</c:v>
                </c:pt>
                <c:pt idx="14">
                  <c:v>58%</c:v>
                </c:pt>
                <c:pt idx="15">
                  <c:v>100%</c:v>
                </c:pt>
                <c:pt idx="16">
                  <c:v>100%</c:v>
                </c:pt>
                <c:pt idx="17">
                  <c:v>0%</c:v>
                </c:pt>
                <c:pt idx="18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'04'!$D$6:$D$24</c:f>
              <c:strCache>
                <c:ptCount val="18"/>
                <c:pt idx="0">
                  <c:v>FLOATING</c:v>
                </c:pt>
                <c:pt idx="1">
                  <c:v>ACTUATOR</c:v>
                </c:pt>
                <c:pt idx="2">
                  <c:v>ADAPTER</c:v>
                </c:pt>
                <c:pt idx="3">
                  <c:v>COVER</c:v>
                </c:pt>
                <c:pt idx="4">
                  <c:v>BASE</c:v>
                </c:pt>
                <c:pt idx="5">
                  <c:v>BASE</c:v>
                </c:pt>
                <c:pt idx="6">
                  <c:v>STOPPPER</c:v>
                </c:pt>
                <c:pt idx="7">
                  <c:v>SHAFT</c:v>
                </c:pt>
                <c:pt idx="8">
                  <c:v>BASE</c:v>
                </c:pt>
                <c:pt idx="9">
                  <c:v>38P</c:v>
                </c:pt>
                <c:pt idx="10">
                  <c:v>BASE</c:v>
                </c:pt>
                <c:pt idx="11">
                  <c:v>COVER</c:v>
                </c:pt>
                <c:pt idx="12">
                  <c:v>COVER</c:v>
                </c:pt>
                <c:pt idx="15">
                  <c:v>BASE</c:v>
                </c:pt>
                <c:pt idx="16">
                  <c:v>COVER</c:v>
                </c:pt>
                <c:pt idx="17">
                  <c:v>STOPPPER</c:v>
                </c:pt>
              </c:strCache>
            </c:strRef>
          </c:cat>
          <c:val>
            <c:numRef>
              <c:f>'04'!$AD$6:$AD$24</c:f>
              <c:numCache>
                <c:formatCode>0%</c:formatCode>
                <c:ptCount val="19"/>
                <c:pt idx="0">
                  <c:v>0.41666666666666669</c:v>
                </c:pt>
                <c:pt idx="1">
                  <c:v>0.29166666666666669</c:v>
                </c:pt>
                <c:pt idx="2">
                  <c:v>0.875</c:v>
                </c:pt>
                <c:pt idx="3">
                  <c:v>0.125</c:v>
                </c:pt>
                <c:pt idx="4">
                  <c:v>0.125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0.33333333333333331</c:v>
                </c:pt>
                <c:pt idx="14">
                  <c:v>0.58333333333333337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97-4E1B-83B2-49B7B023A95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597-4E1B-83B2-49B7B023A95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'04'!$D$6:$D$24</c:f>
              <c:strCache>
                <c:ptCount val="18"/>
                <c:pt idx="0">
                  <c:v>FLOATING</c:v>
                </c:pt>
                <c:pt idx="1">
                  <c:v>ACTUATOR</c:v>
                </c:pt>
                <c:pt idx="2">
                  <c:v>ADAPTER</c:v>
                </c:pt>
                <c:pt idx="3">
                  <c:v>COVER</c:v>
                </c:pt>
                <c:pt idx="4">
                  <c:v>BASE</c:v>
                </c:pt>
                <c:pt idx="5">
                  <c:v>BASE</c:v>
                </c:pt>
                <c:pt idx="6">
                  <c:v>STOPPPER</c:v>
                </c:pt>
                <c:pt idx="7">
                  <c:v>SHAFT</c:v>
                </c:pt>
                <c:pt idx="8">
                  <c:v>BASE</c:v>
                </c:pt>
                <c:pt idx="9">
                  <c:v>38P</c:v>
                </c:pt>
                <c:pt idx="10">
                  <c:v>BASE</c:v>
                </c:pt>
                <c:pt idx="11">
                  <c:v>COVER</c:v>
                </c:pt>
                <c:pt idx="12">
                  <c:v>COVER</c:v>
                </c:pt>
                <c:pt idx="15">
                  <c:v>BASE</c:v>
                </c:pt>
                <c:pt idx="16">
                  <c:v>COVER</c:v>
                </c:pt>
                <c:pt idx="17">
                  <c:v>STOPPPER</c:v>
                </c:pt>
              </c:strCache>
            </c:strRef>
          </c:cat>
          <c:val>
            <c:numRef>
              <c:f>'04'!$AE$6:$AE$24</c:f>
              <c:numCache>
                <c:formatCode>0%</c:formatCode>
                <c:ptCount val="19"/>
                <c:pt idx="0">
                  <c:v>0.51315789473684215</c:v>
                </c:pt>
                <c:pt idx="1">
                  <c:v>0.51315789473684215</c:v>
                </c:pt>
                <c:pt idx="2">
                  <c:v>0.51315789473684215</c:v>
                </c:pt>
                <c:pt idx="3">
                  <c:v>0.51315789473684215</c:v>
                </c:pt>
                <c:pt idx="4">
                  <c:v>0.51315789473684215</c:v>
                </c:pt>
                <c:pt idx="5">
                  <c:v>0.51315789473684215</c:v>
                </c:pt>
                <c:pt idx="6">
                  <c:v>0.51315789473684215</c:v>
                </c:pt>
                <c:pt idx="7">
                  <c:v>0.51315789473684215</c:v>
                </c:pt>
                <c:pt idx="8">
                  <c:v>0.51315789473684215</c:v>
                </c:pt>
                <c:pt idx="9">
                  <c:v>0.51315789473684215</c:v>
                </c:pt>
                <c:pt idx="10">
                  <c:v>0.51315789473684215</c:v>
                </c:pt>
                <c:pt idx="11">
                  <c:v>0.51315789473684215</c:v>
                </c:pt>
                <c:pt idx="12">
                  <c:v>0.51315789473684215</c:v>
                </c:pt>
                <c:pt idx="13">
                  <c:v>0.51315789473684215</c:v>
                </c:pt>
                <c:pt idx="14">
                  <c:v>0.51315789473684215</c:v>
                </c:pt>
                <c:pt idx="15">
                  <c:v>0.51315789473684215</c:v>
                </c:pt>
                <c:pt idx="16">
                  <c:v>0.51315789473684215</c:v>
                </c:pt>
                <c:pt idx="17">
                  <c:v>0.51315789473684215</c:v>
                </c:pt>
                <c:pt idx="18">
                  <c:v>0.51315789473684215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97-4E1B-83B2-49B7B023A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'04'!$D$6:$D$24</c:f>
              <c:strCache>
                <c:ptCount val="18"/>
                <c:pt idx="0">
                  <c:v>FLOATING</c:v>
                </c:pt>
                <c:pt idx="1">
                  <c:v>ACTUATOR</c:v>
                </c:pt>
                <c:pt idx="2">
                  <c:v>ADAPTER</c:v>
                </c:pt>
                <c:pt idx="3">
                  <c:v>COVER</c:v>
                </c:pt>
                <c:pt idx="4">
                  <c:v>BASE</c:v>
                </c:pt>
                <c:pt idx="5">
                  <c:v>BASE</c:v>
                </c:pt>
                <c:pt idx="6">
                  <c:v>STOPPPER</c:v>
                </c:pt>
                <c:pt idx="7">
                  <c:v>SHAFT</c:v>
                </c:pt>
                <c:pt idx="8">
                  <c:v>BASE</c:v>
                </c:pt>
                <c:pt idx="9">
                  <c:v>38P</c:v>
                </c:pt>
                <c:pt idx="10">
                  <c:v>BASE</c:v>
                </c:pt>
                <c:pt idx="11">
                  <c:v>COVER</c:v>
                </c:pt>
                <c:pt idx="12">
                  <c:v>COVER</c:v>
                </c:pt>
                <c:pt idx="15">
                  <c:v>BASE</c:v>
                </c:pt>
                <c:pt idx="16">
                  <c:v>COVER</c:v>
                </c:pt>
                <c:pt idx="17">
                  <c:v>STOPPPER</c:v>
                </c:pt>
              </c:strCache>
            </c:strRef>
          </c:cat>
          <c:val>
            <c:numRef>
              <c:f>'04'!$L$6:$L$24</c:f>
              <c:numCache>
                <c:formatCode>_(* #,##0_);_(* \(#,##0\);_(* "-"_);_(@_)</c:formatCode>
                <c:ptCount val="19"/>
                <c:pt idx="0">
                  <c:v>2238</c:v>
                </c:pt>
                <c:pt idx="1">
                  <c:v>1297</c:v>
                </c:pt>
                <c:pt idx="2">
                  <c:v>4309</c:v>
                </c:pt>
                <c:pt idx="3">
                  <c:v>686</c:v>
                </c:pt>
                <c:pt idx="4">
                  <c:v>644</c:v>
                </c:pt>
                <c:pt idx="5">
                  <c:v>5228</c:v>
                </c:pt>
                <c:pt idx="6">
                  <c:v>6657</c:v>
                </c:pt>
                <c:pt idx="8">
                  <c:v>5490</c:v>
                </c:pt>
                <c:pt idx="12">
                  <c:v>5458</c:v>
                </c:pt>
                <c:pt idx="13">
                  <c:v>1803</c:v>
                </c:pt>
                <c:pt idx="14">
                  <c:v>3052</c:v>
                </c:pt>
                <c:pt idx="15">
                  <c:v>4927</c:v>
                </c:pt>
                <c:pt idx="16">
                  <c:v>4695</c:v>
                </c:pt>
                <c:pt idx="18">
                  <c:v>66156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65-4A91-9990-9B4DD3AFA201}"/>
            </c:ext>
          </c:extLst>
        </c:ser>
        <c:ser>
          <c:idx val="1"/>
          <c:order val="1"/>
          <c:tx>
            <c:v>계획</c:v>
          </c:tx>
          <c:cat>
            <c:strRef>
              <c:f>'04'!$D$6:$D$24</c:f>
              <c:strCache>
                <c:ptCount val="18"/>
                <c:pt idx="0">
                  <c:v>FLOATING</c:v>
                </c:pt>
                <c:pt idx="1">
                  <c:v>ACTUATOR</c:v>
                </c:pt>
                <c:pt idx="2">
                  <c:v>ADAPTER</c:v>
                </c:pt>
                <c:pt idx="3">
                  <c:v>COVER</c:v>
                </c:pt>
                <c:pt idx="4">
                  <c:v>BASE</c:v>
                </c:pt>
                <c:pt idx="5">
                  <c:v>BASE</c:v>
                </c:pt>
                <c:pt idx="6">
                  <c:v>STOPPPER</c:v>
                </c:pt>
                <c:pt idx="7">
                  <c:v>SHAFT</c:v>
                </c:pt>
                <c:pt idx="8">
                  <c:v>BASE</c:v>
                </c:pt>
                <c:pt idx="9">
                  <c:v>38P</c:v>
                </c:pt>
                <c:pt idx="10">
                  <c:v>BASE</c:v>
                </c:pt>
                <c:pt idx="11">
                  <c:v>COVER</c:v>
                </c:pt>
                <c:pt idx="12">
                  <c:v>COVER</c:v>
                </c:pt>
                <c:pt idx="15">
                  <c:v>BASE</c:v>
                </c:pt>
                <c:pt idx="16">
                  <c:v>COVER</c:v>
                </c:pt>
                <c:pt idx="17">
                  <c:v>STOPPPER</c:v>
                </c:pt>
              </c:strCache>
            </c:strRef>
          </c:cat>
          <c:val>
            <c:numRef>
              <c:f>'04'!$J$6:$J$24</c:f>
              <c:numCache>
                <c:formatCode>_(* #,##0_);_(* \(#,##0\);_(* "-"_);_(@_)</c:formatCode>
                <c:ptCount val="19"/>
                <c:pt idx="0">
                  <c:v>2238</c:v>
                </c:pt>
                <c:pt idx="1">
                  <c:v>1297</c:v>
                </c:pt>
                <c:pt idx="2">
                  <c:v>4309</c:v>
                </c:pt>
                <c:pt idx="3">
                  <c:v>686</c:v>
                </c:pt>
                <c:pt idx="4">
                  <c:v>644</c:v>
                </c:pt>
                <c:pt idx="5">
                  <c:v>5228</c:v>
                </c:pt>
                <c:pt idx="6">
                  <c:v>6657</c:v>
                </c:pt>
                <c:pt idx="7">
                  <c:v>15260</c:v>
                </c:pt>
                <c:pt idx="8">
                  <c:v>5490</c:v>
                </c:pt>
                <c:pt idx="9">
                  <c:v>5295</c:v>
                </c:pt>
                <c:pt idx="10">
                  <c:v>275</c:v>
                </c:pt>
                <c:pt idx="11">
                  <c:v>12356</c:v>
                </c:pt>
                <c:pt idx="12">
                  <c:v>5458</c:v>
                </c:pt>
                <c:pt idx="13">
                  <c:v>1803</c:v>
                </c:pt>
                <c:pt idx="14">
                  <c:v>3052</c:v>
                </c:pt>
                <c:pt idx="15">
                  <c:v>4927</c:v>
                </c:pt>
                <c:pt idx="16">
                  <c:v>4695</c:v>
                </c:pt>
                <c:pt idx="17">
                  <c:v>1160</c:v>
                </c:pt>
                <c:pt idx="18">
                  <c:v>66156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65-4A91-9990-9B4DD3AFA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'04'!$AD$6:$AD$24</c:f>
              <c:strCache>
                <c:ptCount val="19"/>
                <c:pt idx="0">
                  <c:v>42%</c:v>
                </c:pt>
                <c:pt idx="1">
                  <c:v>29%</c:v>
                </c:pt>
                <c:pt idx="2">
                  <c:v>88%</c:v>
                </c:pt>
                <c:pt idx="3">
                  <c:v>13%</c:v>
                </c:pt>
                <c:pt idx="4">
                  <c:v>13%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33%</c:v>
                </c:pt>
                <c:pt idx="14">
                  <c:v>58%</c:v>
                </c:pt>
                <c:pt idx="15">
                  <c:v>100%</c:v>
                </c:pt>
                <c:pt idx="16">
                  <c:v>100%</c:v>
                </c:pt>
                <c:pt idx="17">
                  <c:v>0%</c:v>
                </c:pt>
                <c:pt idx="18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'04'!$D$6:$D$24</c:f>
              <c:strCache>
                <c:ptCount val="18"/>
                <c:pt idx="0">
                  <c:v>FLOATING</c:v>
                </c:pt>
                <c:pt idx="1">
                  <c:v>ACTUATOR</c:v>
                </c:pt>
                <c:pt idx="2">
                  <c:v>ADAPTER</c:v>
                </c:pt>
                <c:pt idx="3">
                  <c:v>COVER</c:v>
                </c:pt>
                <c:pt idx="4">
                  <c:v>BASE</c:v>
                </c:pt>
                <c:pt idx="5">
                  <c:v>BASE</c:v>
                </c:pt>
                <c:pt idx="6">
                  <c:v>STOPPPER</c:v>
                </c:pt>
                <c:pt idx="7">
                  <c:v>SHAFT</c:v>
                </c:pt>
                <c:pt idx="8">
                  <c:v>BASE</c:v>
                </c:pt>
                <c:pt idx="9">
                  <c:v>38P</c:v>
                </c:pt>
                <c:pt idx="10">
                  <c:v>BASE</c:v>
                </c:pt>
                <c:pt idx="11">
                  <c:v>COVER</c:v>
                </c:pt>
                <c:pt idx="12">
                  <c:v>COVER</c:v>
                </c:pt>
                <c:pt idx="15">
                  <c:v>BASE</c:v>
                </c:pt>
                <c:pt idx="16">
                  <c:v>COVER</c:v>
                </c:pt>
                <c:pt idx="17">
                  <c:v>STOPPPER</c:v>
                </c:pt>
              </c:strCache>
            </c:strRef>
          </c:cat>
          <c:val>
            <c:numRef>
              <c:f>'04'!$AD$6:$AD$24</c:f>
              <c:numCache>
                <c:formatCode>0%</c:formatCode>
                <c:ptCount val="19"/>
                <c:pt idx="0">
                  <c:v>0.41666666666666669</c:v>
                </c:pt>
                <c:pt idx="1">
                  <c:v>0.29166666666666669</c:v>
                </c:pt>
                <c:pt idx="2">
                  <c:v>0.875</c:v>
                </c:pt>
                <c:pt idx="3">
                  <c:v>0.125</c:v>
                </c:pt>
                <c:pt idx="4">
                  <c:v>0.125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0.33333333333333331</c:v>
                </c:pt>
                <c:pt idx="14">
                  <c:v>0.58333333333333337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BA-4EF4-B5E5-9555EE5699B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1BA-4EF4-B5E5-9555EE5699B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'04'!$D$6:$D$24</c:f>
              <c:strCache>
                <c:ptCount val="18"/>
                <c:pt idx="0">
                  <c:v>FLOATING</c:v>
                </c:pt>
                <c:pt idx="1">
                  <c:v>ACTUATOR</c:v>
                </c:pt>
                <c:pt idx="2">
                  <c:v>ADAPTER</c:v>
                </c:pt>
                <c:pt idx="3">
                  <c:v>COVER</c:v>
                </c:pt>
                <c:pt idx="4">
                  <c:v>BASE</c:v>
                </c:pt>
                <c:pt idx="5">
                  <c:v>BASE</c:v>
                </c:pt>
                <c:pt idx="6">
                  <c:v>STOPPPER</c:v>
                </c:pt>
                <c:pt idx="7">
                  <c:v>SHAFT</c:v>
                </c:pt>
                <c:pt idx="8">
                  <c:v>BASE</c:v>
                </c:pt>
                <c:pt idx="9">
                  <c:v>38P</c:v>
                </c:pt>
                <c:pt idx="10">
                  <c:v>BASE</c:v>
                </c:pt>
                <c:pt idx="11">
                  <c:v>COVER</c:v>
                </c:pt>
                <c:pt idx="12">
                  <c:v>COVER</c:v>
                </c:pt>
                <c:pt idx="15">
                  <c:v>BASE</c:v>
                </c:pt>
                <c:pt idx="16">
                  <c:v>COVER</c:v>
                </c:pt>
                <c:pt idx="17">
                  <c:v>STOPPPER</c:v>
                </c:pt>
              </c:strCache>
            </c:strRef>
          </c:cat>
          <c:val>
            <c:numRef>
              <c:f>'04'!$AE$6:$AE$24</c:f>
              <c:numCache>
                <c:formatCode>0%</c:formatCode>
                <c:ptCount val="19"/>
                <c:pt idx="0">
                  <c:v>0.51315789473684215</c:v>
                </c:pt>
                <c:pt idx="1">
                  <c:v>0.51315789473684215</c:v>
                </c:pt>
                <c:pt idx="2">
                  <c:v>0.51315789473684215</c:v>
                </c:pt>
                <c:pt idx="3">
                  <c:v>0.51315789473684215</c:v>
                </c:pt>
                <c:pt idx="4">
                  <c:v>0.51315789473684215</c:v>
                </c:pt>
                <c:pt idx="5">
                  <c:v>0.51315789473684215</c:v>
                </c:pt>
                <c:pt idx="6">
                  <c:v>0.51315789473684215</c:v>
                </c:pt>
                <c:pt idx="7">
                  <c:v>0.51315789473684215</c:v>
                </c:pt>
                <c:pt idx="8">
                  <c:v>0.51315789473684215</c:v>
                </c:pt>
                <c:pt idx="9">
                  <c:v>0.51315789473684215</c:v>
                </c:pt>
                <c:pt idx="10">
                  <c:v>0.51315789473684215</c:v>
                </c:pt>
                <c:pt idx="11">
                  <c:v>0.51315789473684215</c:v>
                </c:pt>
                <c:pt idx="12">
                  <c:v>0.51315789473684215</c:v>
                </c:pt>
                <c:pt idx="13">
                  <c:v>0.51315789473684215</c:v>
                </c:pt>
                <c:pt idx="14">
                  <c:v>0.51315789473684215</c:v>
                </c:pt>
                <c:pt idx="15">
                  <c:v>0.51315789473684215</c:v>
                </c:pt>
                <c:pt idx="16">
                  <c:v>0.51315789473684215</c:v>
                </c:pt>
                <c:pt idx="17">
                  <c:v>0.51315789473684215</c:v>
                </c:pt>
                <c:pt idx="18">
                  <c:v>0.51315789473684215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BA-4EF4-B5E5-9555EE569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75E-4611-9A17-A02553F3F6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5E-4611-9A17-A02553F3F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75E-4611-9A17-A02553F3F67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5E-4611-9A17-A02553F3F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'05'!$D$6:$D$21</c:f>
              <c:strCache>
                <c:ptCount val="15"/>
                <c:pt idx="0">
                  <c:v>ACTUATOR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TOP</c:v>
                </c:pt>
              </c:strCache>
            </c:strRef>
          </c:cat>
          <c:val>
            <c:numRef>
              <c:f>'05'!$L$6:$L$21</c:f>
              <c:numCache>
                <c:formatCode>_(* #,##0_);_(* \(#,##0\);_(* "-"_);_(@_)</c:formatCode>
                <c:ptCount val="16"/>
                <c:pt idx="3">
                  <c:v>2437</c:v>
                </c:pt>
                <c:pt idx="4">
                  <c:v>3122</c:v>
                </c:pt>
                <c:pt idx="6">
                  <c:v>2615</c:v>
                </c:pt>
                <c:pt idx="8">
                  <c:v>850</c:v>
                </c:pt>
                <c:pt idx="12">
                  <c:v>731</c:v>
                </c:pt>
                <c:pt idx="13">
                  <c:v>2256</c:v>
                </c:pt>
                <c:pt idx="14">
                  <c:v>1509</c:v>
                </c:pt>
                <c:pt idx="15">
                  <c:v>31132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3-4172-A8E0-BDE736B4BF01}"/>
            </c:ext>
          </c:extLst>
        </c:ser>
        <c:ser>
          <c:idx val="1"/>
          <c:order val="1"/>
          <c:tx>
            <c:v>계획</c:v>
          </c:tx>
          <c:cat>
            <c:strRef>
              <c:f>'05'!$D$6:$D$21</c:f>
              <c:strCache>
                <c:ptCount val="15"/>
                <c:pt idx="0">
                  <c:v>ACTUATOR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TOP</c:v>
                </c:pt>
              </c:strCache>
            </c:strRef>
          </c:cat>
          <c:val>
            <c:numRef>
              <c:f>'05'!$J$6:$J$21</c:f>
              <c:numCache>
                <c:formatCode>_(* #,##0_);_(* \(#,##0\);_(* "-"_);_(@_)</c:formatCode>
                <c:ptCount val="16"/>
                <c:pt idx="0">
                  <c:v>1297</c:v>
                </c:pt>
                <c:pt idx="1">
                  <c:v>4309</c:v>
                </c:pt>
                <c:pt idx="2">
                  <c:v>644</c:v>
                </c:pt>
                <c:pt idx="3">
                  <c:v>5228</c:v>
                </c:pt>
                <c:pt idx="4">
                  <c:v>3122</c:v>
                </c:pt>
                <c:pt idx="5">
                  <c:v>15260</c:v>
                </c:pt>
                <c:pt idx="6">
                  <c:v>2615</c:v>
                </c:pt>
                <c:pt idx="7">
                  <c:v>5295</c:v>
                </c:pt>
                <c:pt idx="8">
                  <c:v>850</c:v>
                </c:pt>
                <c:pt idx="9">
                  <c:v>12356</c:v>
                </c:pt>
                <c:pt idx="10">
                  <c:v>5458</c:v>
                </c:pt>
                <c:pt idx="11">
                  <c:v>3052</c:v>
                </c:pt>
                <c:pt idx="12">
                  <c:v>731</c:v>
                </c:pt>
                <c:pt idx="13">
                  <c:v>2256</c:v>
                </c:pt>
                <c:pt idx="14">
                  <c:v>1509</c:v>
                </c:pt>
                <c:pt idx="15">
                  <c:v>31132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23-4172-A8E0-BDE736B4B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21%</c:v>
                </c:pt>
                <c:pt idx="4">
                  <c:v>46%</c:v>
                </c:pt>
                <c:pt idx="5">
                  <c:v>0%</c:v>
                </c:pt>
                <c:pt idx="6">
                  <c:v>46%</c:v>
                </c:pt>
                <c:pt idx="7">
                  <c:v>0%</c:v>
                </c:pt>
                <c:pt idx="8">
                  <c:v>33%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46%</c:v>
                </c:pt>
                <c:pt idx="14">
                  <c:v>33%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ACTUATOR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TOP</c:v>
                </c:pt>
              </c:strCache>
            </c:strRef>
          </c:cat>
          <c:val>
            <c:numRef>
              <c:f>'05'!$AD$6:$AD$21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0.21364926039275692</c:v>
                </c:pt>
                <c:pt idx="4">
                  <c:v>0.45833333333333331</c:v>
                </c:pt>
                <c:pt idx="5">
                  <c:v>0</c:v>
                </c:pt>
                <c:pt idx="6">
                  <c:v>0.45833333333333331</c:v>
                </c:pt>
                <c:pt idx="7">
                  <c:v>0</c:v>
                </c:pt>
                <c:pt idx="8">
                  <c:v>0.33333333333333331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0.45833333333333331</c:v>
                </c:pt>
                <c:pt idx="14">
                  <c:v>0.33333333333333331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A6-4A18-987A-887AF02B645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A6-4A18-987A-887AF02B645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ACTUATOR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TOP</c:v>
                </c:pt>
              </c:strCache>
            </c:strRef>
          </c:cat>
          <c:val>
            <c:numRef>
              <c:f>'05'!$AE$6:$AE$21</c:f>
              <c:numCache>
                <c:formatCode>0%</c:formatCode>
                <c:ptCount val="16"/>
                <c:pt idx="0">
                  <c:v>0.18001974544121399</c:v>
                </c:pt>
                <c:pt idx="1">
                  <c:v>0.18001974544121399</c:v>
                </c:pt>
                <c:pt idx="2">
                  <c:v>0.18001974544121399</c:v>
                </c:pt>
                <c:pt idx="3">
                  <c:v>0.18001974544121399</c:v>
                </c:pt>
                <c:pt idx="4">
                  <c:v>0.18001974544121399</c:v>
                </c:pt>
                <c:pt idx="5">
                  <c:v>0.18001974544121399</c:v>
                </c:pt>
                <c:pt idx="6">
                  <c:v>0.18001974544121399</c:v>
                </c:pt>
                <c:pt idx="7">
                  <c:v>0.18001974544121399</c:v>
                </c:pt>
                <c:pt idx="8">
                  <c:v>0.18001974544121399</c:v>
                </c:pt>
                <c:pt idx="9">
                  <c:v>0.18001974544121399</c:v>
                </c:pt>
                <c:pt idx="10">
                  <c:v>0.18001974544121399</c:v>
                </c:pt>
                <c:pt idx="11">
                  <c:v>0.18001974544121399</c:v>
                </c:pt>
                <c:pt idx="12">
                  <c:v>0.18001974544121399</c:v>
                </c:pt>
                <c:pt idx="13">
                  <c:v>0.18001974544121399</c:v>
                </c:pt>
                <c:pt idx="14">
                  <c:v>0.18001974544121399</c:v>
                </c:pt>
                <c:pt idx="15">
                  <c:v>0.18001974544121399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A6-4A18-987A-887AF02B6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'05'!$D$6:$D$21</c:f>
              <c:strCache>
                <c:ptCount val="15"/>
                <c:pt idx="0">
                  <c:v>ACTUATOR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TOP</c:v>
                </c:pt>
              </c:strCache>
            </c:strRef>
          </c:cat>
          <c:val>
            <c:numRef>
              <c:f>'05'!$L$6:$L$21</c:f>
              <c:numCache>
                <c:formatCode>_(* #,##0_);_(* \(#,##0\);_(* "-"_);_(@_)</c:formatCode>
                <c:ptCount val="16"/>
                <c:pt idx="3">
                  <c:v>2437</c:v>
                </c:pt>
                <c:pt idx="4">
                  <c:v>3122</c:v>
                </c:pt>
                <c:pt idx="6">
                  <c:v>2615</c:v>
                </c:pt>
                <c:pt idx="8">
                  <c:v>850</c:v>
                </c:pt>
                <c:pt idx="12">
                  <c:v>731</c:v>
                </c:pt>
                <c:pt idx="13">
                  <c:v>2256</c:v>
                </c:pt>
                <c:pt idx="14">
                  <c:v>1509</c:v>
                </c:pt>
                <c:pt idx="15">
                  <c:v>31132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A9-4268-A2AB-62A15DDE899C}"/>
            </c:ext>
          </c:extLst>
        </c:ser>
        <c:ser>
          <c:idx val="1"/>
          <c:order val="1"/>
          <c:tx>
            <c:v>계획</c:v>
          </c:tx>
          <c:cat>
            <c:strRef>
              <c:f>'05'!$D$6:$D$21</c:f>
              <c:strCache>
                <c:ptCount val="15"/>
                <c:pt idx="0">
                  <c:v>ACTUATOR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TOP</c:v>
                </c:pt>
              </c:strCache>
            </c:strRef>
          </c:cat>
          <c:val>
            <c:numRef>
              <c:f>'05'!$J$6:$J$21</c:f>
              <c:numCache>
                <c:formatCode>_(* #,##0_);_(* \(#,##0\);_(* "-"_);_(@_)</c:formatCode>
                <c:ptCount val="16"/>
                <c:pt idx="0">
                  <c:v>1297</c:v>
                </c:pt>
                <c:pt idx="1">
                  <c:v>4309</c:v>
                </c:pt>
                <c:pt idx="2">
                  <c:v>644</c:v>
                </c:pt>
                <c:pt idx="3">
                  <c:v>5228</c:v>
                </c:pt>
                <c:pt idx="4">
                  <c:v>3122</c:v>
                </c:pt>
                <c:pt idx="5">
                  <c:v>15260</c:v>
                </c:pt>
                <c:pt idx="6">
                  <c:v>2615</c:v>
                </c:pt>
                <c:pt idx="7">
                  <c:v>5295</c:v>
                </c:pt>
                <c:pt idx="8">
                  <c:v>850</c:v>
                </c:pt>
                <c:pt idx="9">
                  <c:v>12356</c:v>
                </c:pt>
                <c:pt idx="10">
                  <c:v>5458</c:v>
                </c:pt>
                <c:pt idx="11">
                  <c:v>3052</c:v>
                </c:pt>
                <c:pt idx="12">
                  <c:v>731</c:v>
                </c:pt>
                <c:pt idx="13">
                  <c:v>2256</c:v>
                </c:pt>
                <c:pt idx="14">
                  <c:v>1509</c:v>
                </c:pt>
                <c:pt idx="15">
                  <c:v>31132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A9-4268-A2AB-62A15DD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21%</c:v>
                </c:pt>
                <c:pt idx="4">
                  <c:v>46%</c:v>
                </c:pt>
                <c:pt idx="5">
                  <c:v>0%</c:v>
                </c:pt>
                <c:pt idx="6">
                  <c:v>46%</c:v>
                </c:pt>
                <c:pt idx="7">
                  <c:v>0%</c:v>
                </c:pt>
                <c:pt idx="8">
                  <c:v>33%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46%</c:v>
                </c:pt>
                <c:pt idx="14">
                  <c:v>33%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ACTUATOR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TOP</c:v>
                </c:pt>
              </c:strCache>
            </c:strRef>
          </c:cat>
          <c:val>
            <c:numRef>
              <c:f>'05'!$AD$6:$AD$21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0.21364926039275692</c:v>
                </c:pt>
                <c:pt idx="4">
                  <c:v>0.45833333333333331</c:v>
                </c:pt>
                <c:pt idx="5">
                  <c:v>0</c:v>
                </c:pt>
                <c:pt idx="6">
                  <c:v>0.45833333333333331</c:v>
                </c:pt>
                <c:pt idx="7">
                  <c:v>0</c:v>
                </c:pt>
                <c:pt idx="8">
                  <c:v>0.33333333333333331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0.45833333333333331</c:v>
                </c:pt>
                <c:pt idx="14">
                  <c:v>0.33333333333333331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B-4DA8-872E-B37705474F2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4B-4DA8-872E-B37705474F2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ACTUATOR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TOP</c:v>
                </c:pt>
              </c:strCache>
            </c:strRef>
          </c:cat>
          <c:val>
            <c:numRef>
              <c:f>'05'!$AE$6:$AE$21</c:f>
              <c:numCache>
                <c:formatCode>0%</c:formatCode>
                <c:ptCount val="16"/>
                <c:pt idx="0">
                  <c:v>0.18001974544121399</c:v>
                </c:pt>
                <c:pt idx="1">
                  <c:v>0.18001974544121399</c:v>
                </c:pt>
                <c:pt idx="2">
                  <c:v>0.18001974544121399</c:v>
                </c:pt>
                <c:pt idx="3">
                  <c:v>0.18001974544121399</c:v>
                </c:pt>
                <c:pt idx="4">
                  <c:v>0.18001974544121399</c:v>
                </c:pt>
                <c:pt idx="5">
                  <c:v>0.18001974544121399</c:v>
                </c:pt>
                <c:pt idx="6">
                  <c:v>0.18001974544121399</c:v>
                </c:pt>
                <c:pt idx="7">
                  <c:v>0.18001974544121399</c:v>
                </c:pt>
                <c:pt idx="8">
                  <c:v>0.18001974544121399</c:v>
                </c:pt>
                <c:pt idx="9">
                  <c:v>0.18001974544121399</c:v>
                </c:pt>
                <c:pt idx="10">
                  <c:v>0.18001974544121399</c:v>
                </c:pt>
                <c:pt idx="11">
                  <c:v>0.18001974544121399</c:v>
                </c:pt>
                <c:pt idx="12">
                  <c:v>0.18001974544121399</c:v>
                </c:pt>
                <c:pt idx="13">
                  <c:v>0.18001974544121399</c:v>
                </c:pt>
                <c:pt idx="14">
                  <c:v>0.18001974544121399</c:v>
                </c:pt>
                <c:pt idx="15">
                  <c:v>0.18001974544121399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B-4DA8-872E-B37705474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859-4C2E-8AF4-97358FD0A3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59-4C2E-8AF4-97358FD0A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859-4C2E-8AF4-97358FD0A3A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9-4C2E-8AF4-97358FD0A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0">
                  <c:v>ACTUATOR</c:v>
                </c:pt>
                <c:pt idx="1">
                  <c:v>SLIDER</c:v>
                </c:pt>
                <c:pt idx="2">
                  <c:v>LEAD GUIDER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TOP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0">
                  <c:v>5268</c:v>
                </c:pt>
                <c:pt idx="1">
                  <c:v>9238</c:v>
                </c:pt>
                <c:pt idx="2">
                  <c:v>10252</c:v>
                </c:pt>
                <c:pt idx="3">
                  <c:v>2504</c:v>
                </c:pt>
                <c:pt idx="4">
                  <c:v>6284</c:v>
                </c:pt>
                <c:pt idx="6">
                  <c:v>5249</c:v>
                </c:pt>
                <c:pt idx="7">
                  <c:v>11292</c:v>
                </c:pt>
                <c:pt idx="10">
                  <c:v>10276</c:v>
                </c:pt>
                <c:pt idx="12">
                  <c:v>5514</c:v>
                </c:pt>
                <c:pt idx="13">
                  <c:v>4538</c:v>
                </c:pt>
                <c:pt idx="14">
                  <c:v>3719</c:v>
                </c:pt>
                <c:pt idx="15">
                  <c:v>60100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96-487E-AA41-90620AA97D68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0">
                  <c:v>ACTUATOR</c:v>
                </c:pt>
                <c:pt idx="1">
                  <c:v>SLIDER</c:v>
                </c:pt>
                <c:pt idx="2">
                  <c:v>LEAD GUIDER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TOP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5268</c:v>
                </c:pt>
                <c:pt idx="1">
                  <c:v>9238</c:v>
                </c:pt>
                <c:pt idx="2">
                  <c:v>10252</c:v>
                </c:pt>
                <c:pt idx="3">
                  <c:v>2504</c:v>
                </c:pt>
                <c:pt idx="4">
                  <c:v>6284</c:v>
                </c:pt>
                <c:pt idx="5">
                  <c:v>15260</c:v>
                </c:pt>
                <c:pt idx="6">
                  <c:v>5249</c:v>
                </c:pt>
                <c:pt idx="7">
                  <c:v>11292</c:v>
                </c:pt>
                <c:pt idx="8">
                  <c:v>850</c:v>
                </c:pt>
                <c:pt idx="9">
                  <c:v>12356</c:v>
                </c:pt>
                <c:pt idx="10">
                  <c:v>10276</c:v>
                </c:pt>
                <c:pt idx="11">
                  <c:v>3052</c:v>
                </c:pt>
                <c:pt idx="12">
                  <c:v>5514</c:v>
                </c:pt>
                <c:pt idx="13">
                  <c:v>4538</c:v>
                </c:pt>
                <c:pt idx="14">
                  <c:v>3719</c:v>
                </c:pt>
                <c:pt idx="15">
                  <c:v>60100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96-487E-AA41-90620AA97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100%</c:v>
                </c:pt>
                <c:pt idx="1">
                  <c:v>58%</c:v>
                </c:pt>
                <c:pt idx="2">
                  <c:v>58%</c:v>
                </c:pt>
                <c:pt idx="3">
                  <c:v>54%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58%</c:v>
                </c:pt>
                <c:pt idx="11">
                  <c:v>0%</c:v>
                </c:pt>
                <c:pt idx="12">
                  <c:v>83%</c:v>
                </c:pt>
                <c:pt idx="13">
                  <c:v>100%</c:v>
                </c:pt>
                <c:pt idx="14">
                  <c:v>83%</c:v>
                </c:pt>
                <c:pt idx="15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ACTUATOR</c:v>
                </c:pt>
                <c:pt idx="1">
                  <c:v>SLIDER</c:v>
                </c:pt>
                <c:pt idx="2">
                  <c:v>LEAD GUIDER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TOP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1</c:v>
                </c:pt>
                <c:pt idx="1">
                  <c:v>0.58333333333333337</c:v>
                </c:pt>
                <c:pt idx="2">
                  <c:v>0.58333333333333337</c:v>
                </c:pt>
                <c:pt idx="3">
                  <c:v>0.54166666666666663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0</c:v>
                </c:pt>
                <c:pt idx="12">
                  <c:v>0.83333333333333337</c:v>
                </c:pt>
                <c:pt idx="13">
                  <c:v>1</c:v>
                </c:pt>
                <c:pt idx="14">
                  <c:v>0.83333333333333337</c:v>
                </c:pt>
                <c:pt idx="15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BE-44BD-A171-3C9E6A51CC0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BE-44BD-A171-3C9E6A51CC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ACTUATOR</c:v>
                </c:pt>
                <c:pt idx="1">
                  <c:v>SLIDER</c:v>
                </c:pt>
                <c:pt idx="2">
                  <c:v>LEAD GUIDER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TOP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0.61458333333333326</c:v>
                </c:pt>
                <c:pt idx="1">
                  <c:v>0.61458333333333326</c:v>
                </c:pt>
                <c:pt idx="2">
                  <c:v>0.61458333333333326</c:v>
                </c:pt>
                <c:pt idx="3">
                  <c:v>0.61458333333333326</c:v>
                </c:pt>
                <c:pt idx="4">
                  <c:v>0.61458333333333326</c:v>
                </c:pt>
                <c:pt idx="5">
                  <c:v>0.61458333333333326</c:v>
                </c:pt>
                <c:pt idx="6">
                  <c:v>0.61458333333333326</c:v>
                </c:pt>
                <c:pt idx="7">
                  <c:v>0.61458333333333326</c:v>
                </c:pt>
                <c:pt idx="8">
                  <c:v>0.61458333333333326</c:v>
                </c:pt>
                <c:pt idx="9">
                  <c:v>0.61458333333333326</c:v>
                </c:pt>
                <c:pt idx="10">
                  <c:v>0.61458333333333326</c:v>
                </c:pt>
                <c:pt idx="11">
                  <c:v>0.61458333333333326</c:v>
                </c:pt>
                <c:pt idx="12">
                  <c:v>0.61458333333333326</c:v>
                </c:pt>
                <c:pt idx="13">
                  <c:v>0.61458333333333326</c:v>
                </c:pt>
                <c:pt idx="14">
                  <c:v>0.61458333333333326</c:v>
                </c:pt>
                <c:pt idx="15">
                  <c:v>0.61458333333333326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BE-44BD-A171-3C9E6A51C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0">
                  <c:v>ACTUATOR</c:v>
                </c:pt>
                <c:pt idx="1">
                  <c:v>SLIDER</c:v>
                </c:pt>
                <c:pt idx="2">
                  <c:v>LEAD GUIDER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TOP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0">
                  <c:v>5268</c:v>
                </c:pt>
                <c:pt idx="1">
                  <c:v>9238</c:v>
                </c:pt>
                <c:pt idx="2">
                  <c:v>10252</c:v>
                </c:pt>
                <c:pt idx="3">
                  <c:v>2504</c:v>
                </c:pt>
                <c:pt idx="4">
                  <c:v>6284</c:v>
                </c:pt>
                <c:pt idx="6">
                  <c:v>5249</c:v>
                </c:pt>
                <c:pt idx="7">
                  <c:v>11292</c:v>
                </c:pt>
                <c:pt idx="10">
                  <c:v>10276</c:v>
                </c:pt>
                <c:pt idx="12">
                  <c:v>5514</c:v>
                </c:pt>
                <c:pt idx="13">
                  <c:v>4538</c:v>
                </c:pt>
                <c:pt idx="14">
                  <c:v>3719</c:v>
                </c:pt>
                <c:pt idx="15">
                  <c:v>60100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9-49BB-B469-849C16FD9F03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0">
                  <c:v>ACTUATOR</c:v>
                </c:pt>
                <c:pt idx="1">
                  <c:v>SLIDER</c:v>
                </c:pt>
                <c:pt idx="2">
                  <c:v>LEAD GUIDER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TOP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5268</c:v>
                </c:pt>
                <c:pt idx="1">
                  <c:v>9238</c:v>
                </c:pt>
                <c:pt idx="2">
                  <c:v>10252</c:v>
                </c:pt>
                <c:pt idx="3">
                  <c:v>2504</c:v>
                </c:pt>
                <c:pt idx="4">
                  <c:v>6284</c:v>
                </c:pt>
                <c:pt idx="5">
                  <c:v>15260</c:v>
                </c:pt>
                <c:pt idx="6">
                  <c:v>5249</c:v>
                </c:pt>
                <c:pt idx="7">
                  <c:v>11292</c:v>
                </c:pt>
                <c:pt idx="8">
                  <c:v>850</c:v>
                </c:pt>
                <c:pt idx="9">
                  <c:v>12356</c:v>
                </c:pt>
                <c:pt idx="10">
                  <c:v>10276</c:v>
                </c:pt>
                <c:pt idx="11">
                  <c:v>3052</c:v>
                </c:pt>
                <c:pt idx="12">
                  <c:v>5514</c:v>
                </c:pt>
                <c:pt idx="13">
                  <c:v>4538</c:v>
                </c:pt>
                <c:pt idx="14">
                  <c:v>3719</c:v>
                </c:pt>
                <c:pt idx="15">
                  <c:v>60100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9-49BB-B469-849C16FD9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100%</c:v>
                </c:pt>
                <c:pt idx="1">
                  <c:v>58%</c:v>
                </c:pt>
                <c:pt idx="2">
                  <c:v>58%</c:v>
                </c:pt>
                <c:pt idx="3">
                  <c:v>54%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58%</c:v>
                </c:pt>
                <c:pt idx="11">
                  <c:v>0%</c:v>
                </c:pt>
                <c:pt idx="12">
                  <c:v>83%</c:v>
                </c:pt>
                <c:pt idx="13">
                  <c:v>100%</c:v>
                </c:pt>
                <c:pt idx="14">
                  <c:v>83%</c:v>
                </c:pt>
                <c:pt idx="15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ACTUATOR</c:v>
                </c:pt>
                <c:pt idx="1">
                  <c:v>SLIDER</c:v>
                </c:pt>
                <c:pt idx="2">
                  <c:v>LEAD GUIDER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TOP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1</c:v>
                </c:pt>
                <c:pt idx="1">
                  <c:v>0.58333333333333337</c:v>
                </c:pt>
                <c:pt idx="2">
                  <c:v>0.58333333333333337</c:v>
                </c:pt>
                <c:pt idx="3">
                  <c:v>0.54166666666666663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0</c:v>
                </c:pt>
                <c:pt idx="12">
                  <c:v>0.83333333333333337</c:v>
                </c:pt>
                <c:pt idx="13">
                  <c:v>1</c:v>
                </c:pt>
                <c:pt idx="14">
                  <c:v>0.83333333333333337</c:v>
                </c:pt>
                <c:pt idx="15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58-446B-8AD8-0A79896CD66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58-446B-8AD8-0A79896CD66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ACTUATOR</c:v>
                </c:pt>
                <c:pt idx="1">
                  <c:v>SLIDER</c:v>
                </c:pt>
                <c:pt idx="2">
                  <c:v>LEAD GUIDER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TOP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0.61458333333333326</c:v>
                </c:pt>
                <c:pt idx="1">
                  <c:v>0.61458333333333326</c:v>
                </c:pt>
                <c:pt idx="2">
                  <c:v>0.61458333333333326</c:v>
                </c:pt>
                <c:pt idx="3">
                  <c:v>0.61458333333333326</c:v>
                </c:pt>
                <c:pt idx="4">
                  <c:v>0.61458333333333326</c:v>
                </c:pt>
                <c:pt idx="5">
                  <c:v>0.61458333333333326</c:v>
                </c:pt>
                <c:pt idx="6">
                  <c:v>0.61458333333333326</c:v>
                </c:pt>
                <c:pt idx="7">
                  <c:v>0.61458333333333326</c:v>
                </c:pt>
                <c:pt idx="8">
                  <c:v>0.61458333333333326</c:v>
                </c:pt>
                <c:pt idx="9">
                  <c:v>0.61458333333333326</c:v>
                </c:pt>
                <c:pt idx="10">
                  <c:v>0.61458333333333326</c:v>
                </c:pt>
                <c:pt idx="11">
                  <c:v>0.61458333333333326</c:v>
                </c:pt>
                <c:pt idx="12">
                  <c:v>0.61458333333333326</c:v>
                </c:pt>
                <c:pt idx="13">
                  <c:v>0.61458333333333326</c:v>
                </c:pt>
                <c:pt idx="14">
                  <c:v>0.61458333333333326</c:v>
                </c:pt>
                <c:pt idx="15">
                  <c:v>0.61458333333333326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58-446B-8AD8-0A79896CD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6F1-4350-807C-9D5A1EBB61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F1-4350-807C-9D5A1EBB6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6F1-4350-807C-9D5A1EBB61C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F1-4350-807C-9D5A1EBB6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F/B</c:v>
                </c:pt>
                <c:pt idx="1">
                  <c:v>ADAPTER</c:v>
                </c:pt>
                <c:pt idx="2">
                  <c:v>480TOP/BOTTOM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 BRACKET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3924</c:v>
                </c:pt>
                <c:pt idx="1">
                  <c:v>2184</c:v>
                </c:pt>
                <c:pt idx="2">
                  <c:v>500</c:v>
                </c:pt>
                <c:pt idx="4">
                  <c:v>6647</c:v>
                </c:pt>
                <c:pt idx="6">
                  <c:v>5478</c:v>
                </c:pt>
                <c:pt idx="7">
                  <c:v>11544</c:v>
                </c:pt>
                <c:pt idx="8">
                  <c:v>946</c:v>
                </c:pt>
                <c:pt idx="10">
                  <c:v>3806</c:v>
                </c:pt>
                <c:pt idx="12">
                  <c:v>7008</c:v>
                </c:pt>
                <c:pt idx="13">
                  <c:v>4359</c:v>
                </c:pt>
                <c:pt idx="14">
                  <c:v>10132</c:v>
                </c:pt>
                <c:pt idx="15">
                  <c:v>67104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67-4F82-973D-D3D3343CBF24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F/B</c:v>
                </c:pt>
                <c:pt idx="1">
                  <c:v>ADAPTER</c:v>
                </c:pt>
                <c:pt idx="2">
                  <c:v>480TOP/BOTTOM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 BRACKET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3924</c:v>
                </c:pt>
                <c:pt idx="1">
                  <c:v>2184</c:v>
                </c:pt>
                <c:pt idx="2">
                  <c:v>500</c:v>
                </c:pt>
                <c:pt idx="3">
                  <c:v>2504</c:v>
                </c:pt>
                <c:pt idx="4">
                  <c:v>6647</c:v>
                </c:pt>
                <c:pt idx="5">
                  <c:v>15260</c:v>
                </c:pt>
                <c:pt idx="6">
                  <c:v>5478</c:v>
                </c:pt>
                <c:pt idx="7">
                  <c:v>11544</c:v>
                </c:pt>
                <c:pt idx="8">
                  <c:v>946</c:v>
                </c:pt>
                <c:pt idx="9">
                  <c:v>12356</c:v>
                </c:pt>
                <c:pt idx="10">
                  <c:v>3806</c:v>
                </c:pt>
                <c:pt idx="11">
                  <c:v>3052</c:v>
                </c:pt>
                <c:pt idx="12">
                  <c:v>7008</c:v>
                </c:pt>
                <c:pt idx="13">
                  <c:v>4359</c:v>
                </c:pt>
                <c:pt idx="14">
                  <c:v>10132</c:v>
                </c:pt>
                <c:pt idx="15">
                  <c:v>67104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67-4F82-973D-D3D3343CB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58%</c:v>
                </c:pt>
                <c:pt idx="1">
                  <c:v>33%</c:v>
                </c:pt>
                <c:pt idx="2">
                  <c:v>17%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46%</c:v>
                </c:pt>
                <c:pt idx="9">
                  <c:v>0%</c:v>
                </c:pt>
                <c:pt idx="10">
                  <c:v>75%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63%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F/B</c:v>
                </c:pt>
                <c:pt idx="1">
                  <c:v>ADAPTER</c:v>
                </c:pt>
                <c:pt idx="2">
                  <c:v>480TOP/BOTTOM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 BRACKET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0.58333333333333337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0.45833333333333331</c:v>
                </c:pt>
                <c:pt idx="9">
                  <c:v>0</c:v>
                </c:pt>
                <c:pt idx="10">
                  <c:v>0.75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0.625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6-454E-B888-4CF366C8CEF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66-454E-B888-4CF366C8CEF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F/B</c:v>
                </c:pt>
                <c:pt idx="1">
                  <c:v>ADAPTER</c:v>
                </c:pt>
                <c:pt idx="2">
                  <c:v>480TOP/BOTTOM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 BRACKET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0.55729166666666674</c:v>
                </c:pt>
                <c:pt idx="1">
                  <c:v>0.55729166666666674</c:v>
                </c:pt>
                <c:pt idx="2">
                  <c:v>0.55729166666666674</c:v>
                </c:pt>
                <c:pt idx="3">
                  <c:v>0.55729166666666674</c:v>
                </c:pt>
                <c:pt idx="4">
                  <c:v>0.55729166666666674</c:v>
                </c:pt>
                <c:pt idx="5">
                  <c:v>0.55729166666666674</c:v>
                </c:pt>
                <c:pt idx="6">
                  <c:v>0.55729166666666674</c:v>
                </c:pt>
                <c:pt idx="7">
                  <c:v>0.55729166666666674</c:v>
                </c:pt>
                <c:pt idx="8">
                  <c:v>0.55729166666666674</c:v>
                </c:pt>
                <c:pt idx="9">
                  <c:v>0.55729166666666674</c:v>
                </c:pt>
                <c:pt idx="10">
                  <c:v>0.55729166666666674</c:v>
                </c:pt>
                <c:pt idx="11">
                  <c:v>0.55729166666666674</c:v>
                </c:pt>
                <c:pt idx="12">
                  <c:v>0.55729166666666674</c:v>
                </c:pt>
                <c:pt idx="13">
                  <c:v>0.55729166666666674</c:v>
                </c:pt>
                <c:pt idx="14">
                  <c:v>0.55729166666666674</c:v>
                </c:pt>
                <c:pt idx="15">
                  <c:v>0.55729166666666674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66-454E-B888-4CF366C8C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F/B</c:v>
                </c:pt>
                <c:pt idx="1">
                  <c:v>ADAPTER</c:v>
                </c:pt>
                <c:pt idx="2">
                  <c:v>480TOP/BOTTOM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 BRACKET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3924</c:v>
                </c:pt>
                <c:pt idx="1">
                  <c:v>2184</c:v>
                </c:pt>
                <c:pt idx="2">
                  <c:v>500</c:v>
                </c:pt>
                <c:pt idx="4">
                  <c:v>6647</c:v>
                </c:pt>
                <c:pt idx="6">
                  <c:v>5478</c:v>
                </c:pt>
                <c:pt idx="7">
                  <c:v>11544</c:v>
                </c:pt>
                <c:pt idx="8">
                  <c:v>946</c:v>
                </c:pt>
                <c:pt idx="10">
                  <c:v>3806</c:v>
                </c:pt>
                <c:pt idx="12">
                  <c:v>7008</c:v>
                </c:pt>
                <c:pt idx="13">
                  <c:v>4359</c:v>
                </c:pt>
                <c:pt idx="14">
                  <c:v>10132</c:v>
                </c:pt>
                <c:pt idx="15">
                  <c:v>67104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4-4BFC-8E7C-392C93783BC5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F/B</c:v>
                </c:pt>
                <c:pt idx="1">
                  <c:v>ADAPTER</c:v>
                </c:pt>
                <c:pt idx="2">
                  <c:v>480TOP/BOTTOM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 BRACKET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3924</c:v>
                </c:pt>
                <c:pt idx="1">
                  <c:v>2184</c:v>
                </c:pt>
                <c:pt idx="2">
                  <c:v>500</c:v>
                </c:pt>
                <c:pt idx="3">
                  <c:v>2504</c:v>
                </c:pt>
                <c:pt idx="4">
                  <c:v>6647</c:v>
                </c:pt>
                <c:pt idx="5">
                  <c:v>15260</c:v>
                </c:pt>
                <c:pt idx="6">
                  <c:v>5478</c:v>
                </c:pt>
                <c:pt idx="7">
                  <c:v>11544</c:v>
                </c:pt>
                <c:pt idx="8">
                  <c:v>946</c:v>
                </c:pt>
                <c:pt idx="9">
                  <c:v>12356</c:v>
                </c:pt>
                <c:pt idx="10">
                  <c:v>3806</c:v>
                </c:pt>
                <c:pt idx="11">
                  <c:v>3052</c:v>
                </c:pt>
                <c:pt idx="12">
                  <c:v>7008</c:v>
                </c:pt>
                <c:pt idx="13">
                  <c:v>4359</c:v>
                </c:pt>
                <c:pt idx="14">
                  <c:v>10132</c:v>
                </c:pt>
                <c:pt idx="15">
                  <c:v>67104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4-4BFC-8E7C-392C93783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58%</c:v>
                </c:pt>
                <c:pt idx="1">
                  <c:v>33%</c:v>
                </c:pt>
                <c:pt idx="2">
                  <c:v>17%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46%</c:v>
                </c:pt>
                <c:pt idx="9">
                  <c:v>0%</c:v>
                </c:pt>
                <c:pt idx="10">
                  <c:v>75%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63%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F/B</c:v>
                </c:pt>
                <c:pt idx="1">
                  <c:v>ADAPTER</c:v>
                </c:pt>
                <c:pt idx="2">
                  <c:v>480TOP/BOTTOM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 BRACKET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0.58333333333333337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0.45833333333333331</c:v>
                </c:pt>
                <c:pt idx="9">
                  <c:v>0</c:v>
                </c:pt>
                <c:pt idx="10">
                  <c:v>0.75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0.625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B-4F60-8F88-A67ABED6F0A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FB-4F60-8F88-A67ABED6F0A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F/B</c:v>
                </c:pt>
                <c:pt idx="1">
                  <c:v>ADAPTER</c:v>
                </c:pt>
                <c:pt idx="2">
                  <c:v>480TOP/BOTTOM</c:v>
                </c:pt>
                <c:pt idx="3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 BRACKET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0.55729166666666674</c:v>
                </c:pt>
                <c:pt idx="1">
                  <c:v>0.55729166666666674</c:v>
                </c:pt>
                <c:pt idx="2">
                  <c:v>0.55729166666666674</c:v>
                </c:pt>
                <c:pt idx="3">
                  <c:v>0.55729166666666674</c:v>
                </c:pt>
                <c:pt idx="4">
                  <c:v>0.55729166666666674</c:v>
                </c:pt>
                <c:pt idx="5">
                  <c:v>0.55729166666666674</c:v>
                </c:pt>
                <c:pt idx="6">
                  <c:v>0.55729166666666674</c:v>
                </c:pt>
                <c:pt idx="7">
                  <c:v>0.55729166666666674</c:v>
                </c:pt>
                <c:pt idx="8">
                  <c:v>0.55729166666666674</c:v>
                </c:pt>
                <c:pt idx="9">
                  <c:v>0.55729166666666674</c:v>
                </c:pt>
                <c:pt idx="10">
                  <c:v>0.55729166666666674</c:v>
                </c:pt>
                <c:pt idx="11">
                  <c:v>0.55729166666666674</c:v>
                </c:pt>
                <c:pt idx="12">
                  <c:v>0.55729166666666674</c:v>
                </c:pt>
                <c:pt idx="13">
                  <c:v>0.55729166666666674</c:v>
                </c:pt>
                <c:pt idx="14">
                  <c:v>0.55729166666666674</c:v>
                </c:pt>
                <c:pt idx="15">
                  <c:v>0.55729166666666674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FB-4F60-8F88-A67ABED6F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55A-4283-91ED-0E988CD276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5A-4283-91ED-0E988CD27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55A-4283-91ED-0E988CD276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5A-4283-91ED-0E988CD27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'10'!$D$6:$D$22</c:f>
              <c:strCache>
                <c:ptCount val="16"/>
                <c:pt idx="0">
                  <c:v>F/A</c:v>
                </c:pt>
                <c:pt idx="1">
                  <c:v>ACTUATOR</c:v>
                </c:pt>
                <c:pt idx="2">
                  <c:v>480TOP/BOTTOM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 BRACKET</c:v>
                </c:pt>
                <c:pt idx="11">
                  <c:v>4LEAD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'10'!$L$6:$L$22</c:f>
              <c:numCache>
                <c:formatCode>_(* #,##0_);_(* \(#,##0\);_(* "-"_);_(@_)</c:formatCode>
                <c:ptCount val="17"/>
                <c:pt idx="0">
                  <c:v>1288</c:v>
                </c:pt>
                <c:pt idx="1">
                  <c:v>4944</c:v>
                </c:pt>
                <c:pt idx="3">
                  <c:v>3626</c:v>
                </c:pt>
                <c:pt idx="4">
                  <c:v>6648</c:v>
                </c:pt>
                <c:pt idx="6">
                  <c:v>3816</c:v>
                </c:pt>
                <c:pt idx="8">
                  <c:v>711</c:v>
                </c:pt>
                <c:pt idx="10">
                  <c:v>1614</c:v>
                </c:pt>
                <c:pt idx="11">
                  <c:v>3617</c:v>
                </c:pt>
                <c:pt idx="13">
                  <c:v>6453</c:v>
                </c:pt>
                <c:pt idx="14">
                  <c:v>385</c:v>
                </c:pt>
                <c:pt idx="16">
                  <c:v>64940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99-4AEE-BFB5-96053EE06642}"/>
            </c:ext>
          </c:extLst>
        </c:ser>
        <c:ser>
          <c:idx val="1"/>
          <c:order val="1"/>
          <c:tx>
            <c:v>계획</c:v>
          </c:tx>
          <c:cat>
            <c:strRef>
              <c:f>'10'!$D$6:$D$22</c:f>
              <c:strCache>
                <c:ptCount val="16"/>
                <c:pt idx="0">
                  <c:v>F/A</c:v>
                </c:pt>
                <c:pt idx="1">
                  <c:v>ACTUATOR</c:v>
                </c:pt>
                <c:pt idx="2">
                  <c:v>480TOP/BOTTOM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 BRACKET</c:v>
                </c:pt>
                <c:pt idx="11">
                  <c:v>4LEAD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'10'!$J$6:$J$22</c:f>
              <c:numCache>
                <c:formatCode>_(* #,##0_);_(* \(#,##0\);_(* "-"_);_(@_)</c:formatCode>
                <c:ptCount val="17"/>
                <c:pt idx="0">
                  <c:v>1288</c:v>
                </c:pt>
                <c:pt idx="1">
                  <c:v>4944</c:v>
                </c:pt>
                <c:pt idx="2">
                  <c:v>500</c:v>
                </c:pt>
                <c:pt idx="3">
                  <c:v>3626</c:v>
                </c:pt>
                <c:pt idx="4">
                  <c:v>6648</c:v>
                </c:pt>
                <c:pt idx="5">
                  <c:v>15260</c:v>
                </c:pt>
                <c:pt idx="6">
                  <c:v>3816</c:v>
                </c:pt>
                <c:pt idx="7">
                  <c:v>11544</c:v>
                </c:pt>
                <c:pt idx="8">
                  <c:v>711</c:v>
                </c:pt>
                <c:pt idx="9">
                  <c:v>12356</c:v>
                </c:pt>
                <c:pt idx="10">
                  <c:v>1614</c:v>
                </c:pt>
                <c:pt idx="11">
                  <c:v>3617</c:v>
                </c:pt>
                <c:pt idx="12">
                  <c:v>3052</c:v>
                </c:pt>
                <c:pt idx="13">
                  <c:v>6453</c:v>
                </c:pt>
                <c:pt idx="14">
                  <c:v>385</c:v>
                </c:pt>
                <c:pt idx="15">
                  <c:v>10132</c:v>
                </c:pt>
                <c:pt idx="16">
                  <c:v>64940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99-4AEE-BFB5-96053EE06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'10'!$AD$6:$AD$22</c:f>
              <c:strCache>
                <c:ptCount val="17"/>
                <c:pt idx="0">
                  <c:v>29%</c:v>
                </c:pt>
                <c:pt idx="1">
                  <c:v>92%</c:v>
                </c:pt>
                <c:pt idx="2">
                  <c:v>0%</c:v>
                </c:pt>
                <c:pt idx="3">
                  <c:v>75%</c:v>
                </c:pt>
                <c:pt idx="4">
                  <c:v>100%</c:v>
                </c:pt>
                <c:pt idx="5">
                  <c:v>0%</c:v>
                </c:pt>
                <c:pt idx="6">
                  <c:v>75%</c:v>
                </c:pt>
                <c:pt idx="7">
                  <c:v>0%</c:v>
                </c:pt>
                <c:pt idx="8">
                  <c:v>38%</c:v>
                </c:pt>
                <c:pt idx="9">
                  <c:v>0%</c:v>
                </c:pt>
                <c:pt idx="10">
                  <c:v>25%</c:v>
                </c:pt>
                <c:pt idx="11">
                  <c:v>67%</c:v>
                </c:pt>
                <c:pt idx="12">
                  <c:v>0%</c:v>
                </c:pt>
                <c:pt idx="13">
                  <c:v>100%</c:v>
                </c:pt>
                <c:pt idx="14">
                  <c:v>21%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'10'!$D$6:$D$22</c:f>
              <c:strCache>
                <c:ptCount val="16"/>
                <c:pt idx="0">
                  <c:v>F/A</c:v>
                </c:pt>
                <c:pt idx="1">
                  <c:v>ACTUATOR</c:v>
                </c:pt>
                <c:pt idx="2">
                  <c:v>480TOP/BOTTOM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 BRACKET</c:v>
                </c:pt>
                <c:pt idx="11">
                  <c:v>4LEAD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'10'!$AD$6:$AD$22</c:f>
              <c:numCache>
                <c:formatCode>0%</c:formatCode>
                <c:ptCount val="17"/>
                <c:pt idx="0">
                  <c:v>0.29166666666666669</c:v>
                </c:pt>
                <c:pt idx="1">
                  <c:v>0.91666666666666663</c:v>
                </c:pt>
                <c:pt idx="2">
                  <c:v>0</c:v>
                </c:pt>
                <c:pt idx="3">
                  <c:v>0.75</c:v>
                </c:pt>
                <c:pt idx="4">
                  <c:v>1</c:v>
                </c:pt>
                <c:pt idx="5">
                  <c:v>0</c:v>
                </c:pt>
                <c:pt idx="6">
                  <c:v>0.75</c:v>
                </c:pt>
                <c:pt idx="7">
                  <c:v>0</c:v>
                </c:pt>
                <c:pt idx="8">
                  <c:v>0.375</c:v>
                </c:pt>
                <c:pt idx="9">
                  <c:v>0</c:v>
                </c:pt>
                <c:pt idx="10">
                  <c:v>0.25</c:v>
                </c:pt>
                <c:pt idx="11">
                  <c:v>0.66666666666666663</c:v>
                </c:pt>
                <c:pt idx="12">
                  <c:v>0</c:v>
                </c:pt>
                <c:pt idx="13">
                  <c:v>1</c:v>
                </c:pt>
                <c:pt idx="14">
                  <c:v>0.20833333333333334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A4-4DC8-BAE5-63E85797179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A4-4DC8-BAE5-63E85797179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'10'!$D$6:$D$22</c:f>
              <c:strCache>
                <c:ptCount val="16"/>
                <c:pt idx="0">
                  <c:v>F/A</c:v>
                </c:pt>
                <c:pt idx="1">
                  <c:v>ACTUATOR</c:v>
                </c:pt>
                <c:pt idx="2">
                  <c:v>480TOP/BOTTOM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 BRACKET</c:v>
                </c:pt>
                <c:pt idx="11">
                  <c:v>4LEAD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'10'!$AE$6:$AE$22</c:f>
              <c:numCache>
                <c:formatCode>0%</c:formatCode>
                <c:ptCount val="17"/>
                <c:pt idx="0">
                  <c:v>0.42401960784313725</c:v>
                </c:pt>
                <c:pt idx="1">
                  <c:v>0.42401960784313725</c:v>
                </c:pt>
                <c:pt idx="2">
                  <c:v>0.42401960784313725</c:v>
                </c:pt>
                <c:pt idx="3">
                  <c:v>0.42401960784313725</c:v>
                </c:pt>
                <c:pt idx="4">
                  <c:v>0.42401960784313725</c:v>
                </c:pt>
                <c:pt idx="5">
                  <c:v>0.42401960784313725</c:v>
                </c:pt>
                <c:pt idx="6">
                  <c:v>0.42401960784313725</c:v>
                </c:pt>
                <c:pt idx="7">
                  <c:v>0.42401960784313725</c:v>
                </c:pt>
                <c:pt idx="8">
                  <c:v>0.42401960784313725</c:v>
                </c:pt>
                <c:pt idx="9">
                  <c:v>0.42401960784313725</c:v>
                </c:pt>
                <c:pt idx="10">
                  <c:v>0.42401960784313725</c:v>
                </c:pt>
                <c:pt idx="11">
                  <c:v>0.42401960784313725</c:v>
                </c:pt>
                <c:pt idx="12">
                  <c:v>0.42401960784313725</c:v>
                </c:pt>
                <c:pt idx="13">
                  <c:v>0.42401960784313725</c:v>
                </c:pt>
                <c:pt idx="14">
                  <c:v>0.42401960784313725</c:v>
                </c:pt>
                <c:pt idx="15">
                  <c:v>0.42401960784313725</c:v>
                </c:pt>
                <c:pt idx="16">
                  <c:v>0.42401960784313725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A4-4DC8-BAE5-63E857971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'10'!$D$6:$D$22</c:f>
              <c:strCache>
                <c:ptCount val="16"/>
                <c:pt idx="0">
                  <c:v>F/A</c:v>
                </c:pt>
                <c:pt idx="1">
                  <c:v>ACTUATOR</c:v>
                </c:pt>
                <c:pt idx="2">
                  <c:v>480TOP/BOTTOM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 BRACKET</c:v>
                </c:pt>
                <c:pt idx="11">
                  <c:v>4LEAD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'10'!$L$6:$L$22</c:f>
              <c:numCache>
                <c:formatCode>_(* #,##0_);_(* \(#,##0\);_(* "-"_);_(@_)</c:formatCode>
                <c:ptCount val="17"/>
                <c:pt idx="0">
                  <c:v>1288</c:v>
                </c:pt>
                <c:pt idx="1">
                  <c:v>4944</c:v>
                </c:pt>
                <c:pt idx="3">
                  <c:v>3626</c:v>
                </c:pt>
                <c:pt idx="4">
                  <c:v>6648</c:v>
                </c:pt>
                <c:pt idx="6">
                  <c:v>3816</c:v>
                </c:pt>
                <c:pt idx="8">
                  <c:v>711</c:v>
                </c:pt>
                <c:pt idx="10">
                  <c:v>1614</c:v>
                </c:pt>
                <c:pt idx="11">
                  <c:v>3617</c:v>
                </c:pt>
                <c:pt idx="13">
                  <c:v>6453</c:v>
                </c:pt>
                <c:pt idx="14">
                  <c:v>385</c:v>
                </c:pt>
                <c:pt idx="16">
                  <c:v>64940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F-433B-B3F7-2F894FA70C63}"/>
            </c:ext>
          </c:extLst>
        </c:ser>
        <c:ser>
          <c:idx val="1"/>
          <c:order val="1"/>
          <c:tx>
            <c:v>계획</c:v>
          </c:tx>
          <c:cat>
            <c:strRef>
              <c:f>'10'!$D$6:$D$22</c:f>
              <c:strCache>
                <c:ptCount val="16"/>
                <c:pt idx="0">
                  <c:v>F/A</c:v>
                </c:pt>
                <c:pt idx="1">
                  <c:v>ACTUATOR</c:v>
                </c:pt>
                <c:pt idx="2">
                  <c:v>480TOP/BOTTOM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 BRACKET</c:v>
                </c:pt>
                <c:pt idx="11">
                  <c:v>4LEAD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'10'!$J$6:$J$22</c:f>
              <c:numCache>
                <c:formatCode>_(* #,##0_);_(* \(#,##0\);_(* "-"_);_(@_)</c:formatCode>
                <c:ptCount val="17"/>
                <c:pt idx="0">
                  <c:v>1288</c:v>
                </c:pt>
                <c:pt idx="1">
                  <c:v>4944</c:v>
                </c:pt>
                <c:pt idx="2">
                  <c:v>500</c:v>
                </c:pt>
                <c:pt idx="3">
                  <c:v>3626</c:v>
                </c:pt>
                <c:pt idx="4">
                  <c:v>6648</c:v>
                </c:pt>
                <c:pt idx="5">
                  <c:v>15260</c:v>
                </c:pt>
                <c:pt idx="6">
                  <c:v>3816</c:v>
                </c:pt>
                <c:pt idx="7">
                  <c:v>11544</c:v>
                </c:pt>
                <c:pt idx="8">
                  <c:v>711</c:v>
                </c:pt>
                <c:pt idx="9">
                  <c:v>12356</c:v>
                </c:pt>
                <c:pt idx="10">
                  <c:v>1614</c:v>
                </c:pt>
                <c:pt idx="11">
                  <c:v>3617</c:v>
                </c:pt>
                <c:pt idx="12">
                  <c:v>3052</c:v>
                </c:pt>
                <c:pt idx="13">
                  <c:v>6453</c:v>
                </c:pt>
                <c:pt idx="14">
                  <c:v>385</c:v>
                </c:pt>
                <c:pt idx="15">
                  <c:v>10132</c:v>
                </c:pt>
                <c:pt idx="16">
                  <c:v>64940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0F-433B-B3F7-2F894FA70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'10'!$AD$6:$AD$22</c:f>
              <c:strCache>
                <c:ptCount val="17"/>
                <c:pt idx="0">
                  <c:v>29%</c:v>
                </c:pt>
                <c:pt idx="1">
                  <c:v>92%</c:v>
                </c:pt>
                <c:pt idx="2">
                  <c:v>0%</c:v>
                </c:pt>
                <c:pt idx="3">
                  <c:v>75%</c:v>
                </c:pt>
                <c:pt idx="4">
                  <c:v>100%</c:v>
                </c:pt>
                <c:pt idx="5">
                  <c:v>0%</c:v>
                </c:pt>
                <c:pt idx="6">
                  <c:v>75%</c:v>
                </c:pt>
                <c:pt idx="7">
                  <c:v>0%</c:v>
                </c:pt>
                <c:pt idx="8">
                  <c:v>38%</c:v>
                </c:pt>
                <c:pt idx="9">
                  <c:v>0%</c:v>
                </c:pt>
                <c:pt idx="10">
                  <c:v>25%</c:v>
                </c:pt>
                <c:pt idx="11">
                  <c:v>67%</c:v>
                </c:pt>
                <c:pt idx="12">
                  <c:v>0%</c:v>
                </c:pt>
                <c:pt idx="13">
                  <c:v>100%</c:v>
                </c:pt>
                <c:pt idx="14">
                  <c:v>21%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'10'!$D$6:$D$22</c:f>
              <c:strCache>
                <c:ptCount val="16"/>
                <c:pt idx="0">
                  <c:v>F/A</c:v>
                </c:pt>
                <c:pt idx="1">
                  <c:v>ACTUATOR</c:v>
                </c:pt>
                <c:pt idx="2">
                  <c:v>480TOP/BOTTOM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 BRACKET</c:v>
                </c:pt>
                <c:pt idx="11">
                  <c:v>4LEAD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'10'!$AD$6:$AD$22</c:f>
              <c:numCache>
                <c:formatCode>0%</c:formatCode>
                <c:ptCount val="17"/>
                <c:pt idx="0">
                  <c:v>0.29166666666666669</c:v>
                </c:pt>
                <c:pt idx="1">
                  <c:v>0.91666666666666663</c:v>
                </c:pt>
                <c:pt idx="2">
                  <c:v>0</c:v>
                </c:pt>
                <c:pt idx="3">
                  <c:v>0.75</c:v>
                </c:pt>
                <c:pt idx="4">
                  <c:v>1</c:v>
                </c:pt>
                <c:pt idx="5">
                  <c:v>0</c:v>
                </c:pt>
                <c:pt idx="6">
                  <c:v>0.75</c:v>
                </c:pt>
                <c:pt idx="7">
                  <c:v>0</c:v>
                </c:pt>
                <c:pt idx="8">
                  <c:v>0.375</c:v>
                </c:pt>
                <c:pt idx="9">
                  <c:v>0</c:v>
                </c:pt>
                <c:pt idx="10">
                  <c:v>0.25</c:v>
                </c:pt>
                <c:pt idx="11">
                  <c:v>0.66666666666666663</c:v>
                </c:pt>
                <c:pt idx="12">
                  <c:v>0</c:v>
                </c:pt>
                <c:pt idx="13">
                  <c:v>1</c:v>
                </c:pt>
                <c:pt idx="14">
                  <c:v>0.20833333333333334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04-4F02-8250-CE215BDAAAA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04-4F02-8250-CE215BDAAAA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'10'!$D$6:$D$22</c:f>
              <c:strCache>
                <c:ptCount val="16"/>
                <c:pt idx="0">
                  <c:v>F/A</c:v>
                </c:pt>
                <c:pt idx="1">
                  <c:v>ACTUATOR</c:v>
                </c:pt>
                <c:pt idx="2">
                  <c:v>480TOP/BOTTOM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 BRACKET</c:v>
                </c:pt>
                <c:pt idx="11">
                  <c:v>4LEAD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'10'!$AE$6:$AE$22</c:f>
              <c:numCache>
                <c:formatCode>0%</c:formatCode>
                <c:ptCount val="17"/>
                <c:pt idx="0">
                  <c:v>0.42401960784313725</c:v>
                </c:pt>
                <c:pt idx="1">
                  <c:v>0.42401960784313725</c:v>
                </c:pt>
                <c:pt idx="2">
                  <c:v>0.42401960784313725</c:v>
                </c:pt>
                <c:pt idx="3">
                  <c:v>0.42401960784313725</c:v>
                </c:pt>
                <c:pt idx="4">
                  <c:v>0.42401960784313725</c:v>
                </c:pt>
                <c:pt idx="5">
                  <c:v>0.42401960784313725</c:v>
                </c:pt>
                <c:pt idx="6">
                  <c:v>0.42401960784313725</c:v>
                </c:pt>
                <c:pt idx="7">
                  <c:v>0.42401960784313725</c:v>
                </c:pt>
                <c:pt idx="8">
                  <c:v>0.42401960784313725</c:v>
                </c:pt>
                <c:pt idx="9">
                  <c:v>0.42401960784313725</c:v>
                </c:pt>
                <c:pt idx="10">
                  <c:v>0.42401960784313725</c:v>
                </c:pt>
                <c:pt idx="11">
                  <c:v>0.42401960784313725</c:v>
                </c:pt>
                <c:pt idx="12">
                  <c:v>0.42401960784313725</c:v>
                </c:pt>
                <c:pt idx="13">
                  <c:v>0.42401960784313725</c:v>
                </c:pt>
                <c:pt idx="14">
                  <c:v>0.42401960784313725</c:v>
                </c:pt>
                <c:pt idx="15">
                  <c:v>0.42401960784313725</c:v>
                </c:pt>
                <c:pt idx="16">
                  <c:v>0.42401960784313725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04-4F02-8250-CE215BDAA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D60-4603-BF06-3863C0485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60-4603-BF06-3863C0485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D60-4603-BF06-3863C0485DF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60-4603-BF06-3863C0485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0">
                  <c:v>F/B</c:v>
                </c:pt>
                <c:pt idx="1">
                  <c:v>ACTUATOR</c:v>
                </c:pt>
                <c:pt idx="2">
                  <c:v>BODY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BASE/BOTTOM</c:v>
                </c:pt>
                <c:pt idx="8">
                  <c:v>BASE</c:v>
                </c:pt>
                <c:pt idx="9">
                  <c:v>COVER</c:v>
                </c:pt>
                <c:pt idx="10">
                  <c:v>4LEAD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0">
                  <c:v>4348</c:v>
                </c:pt>
                <c:pt idx="1">
                  <c:v>6055</c:v>
                </c:pt>
                <c:pt idx="2">
                  <c:v>2528</c:v>
                </c:pt>
                <c:pt idx="3">
                  <c:v>5561</c:v>
                </c:pt>
                <c:pt idx="4">
                  <c:v>6619</c:v>
                </c:pt>
                <c:pt idx="6">
                  <c:v>5458</c:v>
                </c:pt>
                <c:pt idx="7">
                  <c:v>2745</c:v>
                </c:pt>
                <c:pt idx="10">
                  <c:v>5509</c:v>
                </c:pt>
                <c:pt idx="11">
                  <c:v>1061</c:v>
                </c:pt>
                <c:pt idx="12">
                  <c:v>5022</c:v>
                </c:pt>
                <c:pt idx="13">
                  <c:v>150</c:v>
                </c:pt>
                <c:pt idx="14">
                  <c:v>2453</c:v>
                </c:pt>
                <c:pt idx="15">
                  <c:v>66996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A-4493-AA03-C89EAE126F72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0">
                  <c:v>F/B</c:v>
                </c:pt>
                <c:pt idx="1">
                  <c:v>ACTUATOR</c:v>
                </c:pt>
                <c:pt idx="2">
                  <c:v>BODY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BASE/BOTTOM</c:v>
                </c:pt>
                <c:pt idx="8">
                  <c:v>BASE</c:v>
                </c:pt>
                <c:pt idx="9">
                  <c:v>COVER</c:v>
                </c:pt>
                <c:pt idx="10">
                  <c:v>4LEAD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4348</c:v>
                </c:pt>
                <c:pt idx="1">
                  <c:v>6055</c:v>
                </c:pt>
                <c:pt idx="2">
                  <c:v>2528</c:v>
                </c:pt>
                <c:pt idx="3">
                  <c:v>5561</c:v>
                </c:pt>
                <c:pt idx="4">
                  <c:v>6619</c:v>
                </c:pt>
                <c:pt idx="5">
                  <c:v>15260</c:v>
                </c:pt>
                <c:pt idx="6">
                  <c:v>5458</c:v>
                </c:pt>
                <c:pt idx="7">
                  <c:v>2745</c:v>
                </c:pt>
                <c:pt idx="8">
                  <c:v>711</c:v>
                </c:pt>
                <c:pt idx="9">
                  <c:v>12356</c:v>
                </c:pt>
                <c:pt idx="10">
                  <c:v>5509</c:v>
                </c:pt>
                <c:pt idx="11">
                  <c:v>1061</c:v>
                </c:pt>
                <c:pt idx="12">
                  <c:v>5022</c:v>
                </c:pt>
                <c:pt idx="13">
                  <c:v>150</c:v>
                </c:pt>
                <c:pt idx="14">
                  <c:v>2453</c:v>
                </c:pt>
                <c:pt idx="15">
                  <c:v>66996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EA-4493-AA03-C89EAE126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88%</c:v>
                </c:pt>
                <c:pt idx="1">
                  <c:v>100%</c:v>
                </c:pt>
                <c:pt idx="2">
                  <c:v>58%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58%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21%</c:v>
                </c:pt>
                <c:pt idx="12">
                  <c:v>100%</c:v>
                </c:pt>
                <c:pt idx="13">
                  <c:v>17%</c:v>
                </c:pt>
                <c:pt idx="14">
                  <c:v>54%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F/B</c:v>
                </c:pt>
                <c:pt idx="1">
                  <c:v>ACTUATOR</c:v>
                </c:pt>
                <c:pt idx="2">
                  <c:v>BODY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BASE/BOTTOM</c:v>
                </c:pt>
                <c:pt idx="8">
                  <c:v>BASE</c:v>
                </c:pt>
                <c:pt idx="9">
                  <c:v>COVER</c:v>
                </c:pt>
                <c:pt idx="10">
                  <c:v>4LEAD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0.875</c:v>
                </c:pt>
                <c:pt idx="1">
                  <c:v>1</c:v>
                </c:pt>
                <c:pt idx="2">
                  <c:v>0.58333333333333337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0.20833333333333334</c:v>
                </c:pt>
                <c:pt idx="12">
                  <c:v>1</c:v>
                </c:pt>
                <c:pt idx="13">
                  <c:v>0.16666666666666666</c:v>
                </c:pt>
                <c:pt idx="14">
                  <c:v>0.54166666666666663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D-43C4-8E52-17BB9CC616B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6D-43C4-8E52-17BB9CC616B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F/B</c:v>
                </c:pt>
                <c:pt idx="1">
                  <c:v>ACTUATOR</c:v>
                </c:pt>
                <c:pt idx="2">
                  <c:v>BODY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BASE/BOTTOM</c:v>
                </c:pt>
                <c:pt idx="8">
                  <c:v>BASE</c:v>
                </c:pt>
                <c:pt idx="9">
                  <c:v>COVER</c:v>
                </c:pt>
                <c:pt idx="10">
                  <c:v>4LEAD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0.62239583333333326</c:v>
                </c:pt>
                <c:pt idx="1">
                  <c:v>0.62239583333333326</c:v>
                </c:pt>
                <c:pt idx="2">
                  <c:v>0.62239583333333326</c:v>
                </c:pt>
                <c:pt idx="3">
                  <c:v>0.62239583333333326</c:v>
                </c:pt>
                <c:pt idx="4">
                  <c:v>0.62239583333333326</c:v>
                </c:pt>
                <c:pt idx="5">
                  <c:v>0.62239583333333326</c:v>
                </c:pt>
                <c:pt idx="6">
                  <c:v>0.62239583333333326</c:v>
                </c:pt>
                <c:pt idx="7">
                  <c:v>0.62239583333333326</c:v>
                </c:pt>
                <c:pt idx="8">
                  <c:v>0.62239583333333326</c:v>
                </c:pt>
                <c:pt idx="9">
                  <c:v>0.62239583333333326</c:v>
                </c:pt>
                <c:pt idx="10">
                  <c:v>0.62239583333333326</c:v>
                </c:pt>
                <c:pt idx="11">
                  <c:v>0.62239583333333326</c:v>
                </c:pt>
                <c:pt idx="12">
                  <c:v>0.62239583333333326</c:v>
                </c:pt>
                <c:pt idx="13">
                  <c:v>0.62239583333333326</c:v>
                </c:pt>
                <c:pt idx="14">
                  <c:v>0.62239583333333326</c:v>
                </c:pt>
                <c:pt idx="15">
                  <c:v>0.62239583333333326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6D-43C4-8E52-17BB9CC61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0">
                  <c:v>F/B</c:v>
                </c:pt>
                <c:pt idx="1">
                  <c:v>ACTUATOR</c:v>
                </c:pt>
                <c:pt idx="2">
                  <c:v>BODY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BASE/BOTTOM</c:v>
                </c:pt>
                <c:pt idx="8">
                  <c:v>BASE</c:v>
                </c:pt>
                <c:pt idx="9">
                  <c:v>COVER</c:v>
                </c:pt>
                <c:pt idx="10">
                  <c:v>4LEAD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0">
                  <c:v>4348</c:v>
                </c:pt>
                <c:pt idx="1">
                  <c:v>6055</c:v>
                </c:pt>
                <c:pt idx="2">
                  <c:v>2528</c:v>
                </c:pt>
                <c:pt idx="3">
                  <c:v>5561</c:v>
                </c:pt>
                <c:pt idx="4">
                  <c:v>6619</c:v>
                </c:pt>
                <c:pt idx="6">
                  <c:v>5458</c:v>
                </c:pt>
                <c:pt idx="7">
                  <c:v>2745</c:v>
                </c:pt>
                <c:pt idx="10">
                  <c:v>5509</c:v>
                </c:pt>
                <c:pt idx="11">
                  <c:v>1061</c:v>
                </c:pt>
                <c:pt idx="12">
                  <c:v>5022</c:v>
                </c:pt>
                <c:pt idx="13">
                  <c:v>150</c:v>
                </c:pt>
                <c:pt idx="14">
                  <c:v>2453</c:v>
                </c:pt>
                <c:pt idx="15">
                  <c:v>66996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B-4B9D-AC67-8BC9EA2FF413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0">
                  <c:v>F/B</c:v>
                </c:pt>
                <c:pt idx="1">
                  <c:v>ACTUATOR</c:v>
                </c:pt>
                <c:pt idx="2">
                  <c:v>BODY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BASE/BOTTOM</c:v>
                </c:pt>
                <c:pt idx="8">
                  <c:v>BASE</c:v>
                </c:pt>
                <c:pt idx="9">
                  <c:v>COVER</c:v>
                </c:pt>
                <c:pt idx="10">
                  <c:v>4LEAD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4348</c:v>
                </c:pt>
                <c:pt idx="1">
                  <c:v>6055</c:v>
                </c:pt>
                <c:pt idx="2">
                  <c:v>2528</c:v>
                </c:pt>
                <c:pt idx="3">
                  <c:v>5561</c:v>
                </c:pt>
                <c:pt idx="4">
                  <c:v>6619</c:v>
                </c:pt>
                <c:pt idx="5">
                  <c:v>15260</c:v>
                </c:pt>
                <c:pt idx="6">
                  <c:v>5458</c:v>
                </c:pt>
                <c:pt idx="7">
                  <c:v>2745</c:v>
                </c:pt>
                <c:pt idx="8">
                  <c:v>711</c:v>
                </c:pt>
                <c:pt idx="9">
                  <c:v>12356</c:v>
                </c:pt>
                <c:pt idx="10">
                  <c:v>5509</c:v>
                </c:pt>
                <c:pt idx="11">
                  <c:v>1061</c:v>
                </c:pt>
                <c:pt idx="12">
                  <c:v>5022</c:v>
                </c:pt>
                <c:pt idx="13">
                  <c:v>150</c:v>
                </c:pt>
                <c:pt idx="14">
                  <c:v>2453</c:v>
                </c:pt>
                <c:pt idx="15">
                  <c:v>66996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AB-4B9D-AC67-8BC9EA2FF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88%</c:v>
                </c:pt>
                <c:pt idx="1">
                  <c:v>100%</c:v>
                </c:pt>
                <c:pt idx="2">
                  <c:v>58%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58%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21%</c:v>
                </c:pt>
                <c:pt idx="12">
                  <c:v>100%</c:v>
                </c:pt>
                <c:pt idx="13">
                  <c:v>17%</c:v>
                </c:pt>
                <c:pt idx="14">
                  <c:v>54%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F/B</c:v>
                </c:pt>
                <c:pt idx="1">
                  <c:v>ACTUATOR</c:v>
                </c:pt>
                <c:pt idx="2">
                  <c:v>BODY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BASE/BOTTOM</c:v>
                </c:pt>
                <c:pt idx="8">
                  <c:v>BASE</c:v>
                </c:pt>
                <c:pt idx="9">
                  <c:v>COVER</c:v>
                </c:pt>
                <c:pt idx="10">
                  <c:v>4LEAD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0.875</c:v>
                </c:pt>
                <c:pt idx="1">
                  <c:v>1</c:v>
                </c:pt>
                <c:pt idx="2">
                  <c:v>0.58333333333333337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0.20833333333333334</c:v>
                </c:pt>
                <c:pt idx="12">
                  <c:v>1</c:v>
                </c:pt>
                <c:pt idx="13">
                  <c:v>0.16666666666666666</c:v>
                </c:pt>
                <c:pt idx="14">
                  <c:v>0.54166666666666663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2-4869-92FC-0C975946229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62-4869-92FC-0C975946229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F/B</c:v>
                </c:pt>
                <c:pt idx="1">
                  <c:v>ACTUATOR</c:v>
                </c:pt>
                <c:pt idx="2">
                  <c:v>BODY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BASE/BOTTOM</c:v>
                </c:pt>
                <c:pt idx="8">
                  <c:v>BASE</c:v>
                </c:pt>
                <c:pt idx="9">
                  <c:v>COVER</c:v>
                </c:pt>
                <c:pt idx="10">
                  <c:v>4LEAD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0.62239583333333326</c:v>
                </c:pt>
                <c:pt idx="1">
                  <c:v>0.62239583333333326</c:v>
                </c:pt>
                <c:pt idx="2">
                  <c:v>0.62239583333333326</c:v>
                </c:pt>
                <c:pt idx="3">
                  <c:v>0.62239583333333326</c:v>
                </c:pt>
                <c:pt idx="4">
                  <c:v>0.62239583333333326</c:v>
                </c:pt>
                <c:pt idx="5">
                  <c:v>0.62239583333333326</c:v>
                </c:pt>
                <c:pt idx="6">
                  <c:v>0.62239583333333326</c:v>
                </c:pt>
                <c:pt idx="7">
                  <c:v>0.62239583333333326</c:v>
                </c:pt>
                <c:pt idx="8">
                  <c:v>0.62239583333333326</c:v>
                </c:pt>
                <c:pt idx="9">
                  <c:v>0.62239583333333326</c:v>
                </c:pt>
                <c:pt idx="10">
                  <c:v>0.62239583333333326</c:v>
                </c:pt>
                <c:pt idx="11">
                  <c:v>0.62239583333333326</c:v>
                </c:pt>
                <c:pt idx="12">
                  <c:v>0.62239583333333326</c:v>
                </c:pt>
                <c:pt idx="13">
                  <c:v>0.62239583333333326</c:v>
                </c:pt>
                <c:pt idx="14">
                  <c:v>0.62239583333333326</c:v>
                </c:pt>
                <c:pt idx="15">
                  <c:v>0.62239583333333326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62-4869-92FC-0C9759462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83D-49BF-9D06-3201E908D8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3D-49BF-9D06-3201E908D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83D-49BF-9D06-3201E908D83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3D-49BF-9D06-3201E908D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0">
                  <c:v>F/B</c:v>
                </c:pt>
                <c:pt idx="1">
                  <c:v>ACTUATOR</c:v>
                </c:pt>
                <c:pt idx="2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BASE/BOTTOM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0">
                  <c:v>4565</c:v>
                </c:pt>
                <c:pt idx="1">
                  <c:v>5647</c:v>
                </c:pt>
                <c:pt idx="2">
                  <c:v>3942</c:v>
                </c:pt>
                <c:pt idx="3">
                  <c:v>5299</c:v>
                </c:pt>
                <c:pt idx="4">
                  <c:v>4015</c:v>
                </c:pt>
                <c:pt idx="6">
                  <c:v>5462</c:v>
                </c:pt>
                <c:pt idx="7">
                  <c:v>3433</c:v>
                </c:pt>
                <c:pt idx="10">
                  <c:v>6100</c:v>
                </c:pt>
                <c:pt idx="11">
                  <c:v>705</c:v>
                </c:pt>
                <c:pt idx="12">
                  <c:v>4855</c:v>
                </c:pt>
                <c:pt idx="13">
                  <c:v>3889</c:v>
                </c:pt>
                <c:pt idx="14">
                  <c:v>8090</c:v>
                </c:pt>
                <c:pt idx="15">
                  <c:v>38324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3-4888-816D-DC9B0D7AF50C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0">
                  <c:v>F/B</c:v>
                </c:pt>
                <c:pt idx="1">
                  <c:v>ACTUATOR</c:v>
                </c:pt>
                <c:pt idx="2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BASE/BOTTOM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4565</c:v>
                </c:pt>
                <c:pt idx="1">
                  <c:v>5647</c:v>
                </c:pt>
                <c:pt idx="2">
                  <c:v>3942</c:v>
                </c:pt>
                <c:pt idx="3">
                  <c:v>5299</c:v>
                </c:pt>
                <c:pt idx="4">
                  <c:v>4015</c:v>
                </c:pt>
                <c:pt idx="5">
                  <c:v>15260</c:v>
                </c:pt>
                <c:pt idx="6">
                  <c:v>5462</c:v>
                </c:pt>
                <c:pt idx="7">
                  <c:v>3433</c:v>
                </c:pt>
                <c:pt idx="8">
                  <c:v>711</c:v>
                </c:pt>
                <c:pt idx="9">
                  <c:v>12356</c:v>
                </c:pt>
                <c:pt idx="10">
                  <c:v>6100</c:v>
                </c:pt>
                <c:pt idx="11">
                  <c:v>705</c:v>
                </c:pt>
                <c:pt idx="12">
                  <c:v>4855</c:v>
                </c:pt>
                <c:pt idx="13">
                  <c:v>3889</c:v>
                </c:pt>
                <c:pt idx="14">
                  <c:v>8090</c:v>
                </c:pt>
                <c:pt idx="15">
                  <c:v>38324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B3-4888-816D-DC9B0D7AF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88%</c:v>
                </c:pt>
                <c:pt idx="1">
                  <c:v>100%</c:v>
                </c:pt>
                <c:pt idx="2">
                  <c:v>79%</c:v>
                </c:pt>
                <c:pt idx="3">
                  <c:v>100%</c:v>
                </c:pt>
                <c:pt idx="4">
                  <c:v>67%</c:v>
                </c:pt>
                <c:pt idx="5">
                  <c:v>0%</c:v>
                </c:pt>
                <c:pt idx="6">
                  <c:v>100%</c:v>
                </c:pt>
                <c:pt idx="7">
                  <c:v>63%</c:v>
                </c:pt>
                <c:pt idx="8">
                  <c:v>0%</c:v>
                </c:pt>
                <c:pt idx="9">
                  <c:v>0%</c:v>
                </c:pt>
                <c:pt idx="10">
                  <c:v>63%</c:v>
                </c:pt>
                <c:pt idx="11">
                  <c:v>25%</c:v>
                </c:pt>
                <c:pt idx="12">
                  <c:v>83%</c:v>
                </c:pt>
                <c:pt idx="13">
                  <c:v>79%</c:v>
                </c:pt>
                <c:pt idx="14">
                  <c:v>79%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F/B</c:v>
                </c:pt>
                <c:pt idx="1">
                  <c:v>ACTUATOR</c:v>
                </c:pt>
                <c:pt idx="2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BASE/BOTTOM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0.875</c:v>
                </c:pt>
                <c:pt idx="1">
                  <c:v>1</c:v>
                </c:pt>
                <c:pt idx="2">
                  <c:v>0.79166666666666663</c:v>
                </c:pt>
                <c:pt idx="3">
                  <c:v>1</c:v>
                </c:pt>
                <c:pt idx="4">
                  <c:v>0.66666666666666663</c:v>
                </c:pt>
                <c:pt idx="5">
                  <c:v>0</c:v>
                </c:pt>
                <c:pt idx="6">
                  <c:v>1</c:v>
                </c:pt>
                <c:pt idx="7">
                  <c:v>0.625</c:v>
                </c:pt>
                <c:pt idx="8">
                  <c:v>0</c:v>
                </c:pt>
                <c:pt idx="9">
                  <c:v>0</c:v>
                </c:pt>
                <c:pt idx="10">
                  <c:v>0.625</c:v>
                </c:pt>
                <c:pt idx="11">
                  <c:v>0.25</c:v>
                </c:pt>
                <c:pt idx="12">
                  <c:v>0.83333333333333337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7-4655-B0BE-32B3CBF68DE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27-4655-B0BE-32B3CBF68DE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F/B</c:v>
                </c:pt>
                <c:pt idx="1">
                  <c:v>ACTUATOR</c:v>
                </c:pt>
                <c:pt idx="2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BASE/BOTTOM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0.61458333333333326</c:v>
                </c:pt>
                <c:pt idx="1">
                  <c:v>0.61458333333333326</c:v>
                </c:pt>
                <c:pt idx="2">
                  <c:v>0.61458333333333326</c:v>
                </c:pt>
                <c:pt idx="3">
                  <c:v>0.61458333333333326</c:v>
                </c:pt>
                <c:pt idx="4">
                  <c:v>0.61458333333333326</c:v>
                </c:pt>
                <c:pt idx="5">
                  <c:v>0.61458333333333326</c:v>
                </c:pt>
                <c:pt idx="6">
                  <c:v>0.61458333333333326</c:v>
                </c:pt>
                <c:pt idx="7">
                  <c:v>0.61458333333333326</c:v>
                </c:pt>
                <c:pt idx="8">
                  <c:v>0.61458333333333326</c:v>
                </c:pt>
                <c:pt idx="9">
                  <c:v>0.61458333333333326</c:v>
                </c:pt>
                <c:pt idx="10">
                  <c:v>0.61458333333333326</c:v>
                </c:pt>
                <c:pt idx="11">
                  <c:v>0.61458333333333326</c:v>
                </c:pt>
                <c:pt idx="12">
                  <c:v>0.61458333333333326</c:v>
                </c:pt>
                <c:pt idx="13">
                  <c:v>0.61458333333333326</c:v>
                </c:pt>
                <c:pt idx="14">
                  <c:v>0.61458333333333326</c:v>
                </c:pt>
                <c:pt idx="15">
                  <c:v>0.61458333333333326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27-4655-B0BE-32B3CBF68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0">
                  <c:v>F/B</c:v>
                </c:pt>
                <c:pt idx="1">
                  <c:v>ACTUATOR</c:v>
                </c:pt>
                <c:pt idx="2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BASE/BOTTOM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0">
                  <c:v>4565</c:v>
                </c:pt>
                <c:pt idx="1">
                  <c:v>5647</c:v>
                </c:pt>
                <c:pt idx="2">
                  <c:v>3942</c:v>
                </c:pt>
                <c:pt idx="3">
                  <c:v>5299</c:v>
                </c:pt>
                <c:pt idx="4">
                  <c:v>4015</c:v>
                </c:pt>
                <c:pt idx="6">
                  <c:v>5462</c:v>
                </c:pt>
                <c:pt idx="7">
                  <c:v>3433</c:v>
                </c:pt>
                <c:pt idx="10">
                  <c:v>6100</c:v>
                </c:pt>
                <c:pt idx="11">
                  <c:v>705</c:v>
                </c:pt>
                <c:pt idx="12">
                  <c:v>4855</c:v>
                </c:pt>
                <c:pt idx="13">
                  <c:v>3889</c:v>
                </c:pt>
                <c:pt idx="14">
                  <c:v>8090</c:v>
                </c:pt>
                <c:pt idx="15">
                  <c:v>38324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F-4D83-9A40-3C54FEEC9621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0">
                  <c:v>F/B</c:v>
                </c:pt>
                <c:pt idx="1">
                  <c:v>ACTUATOR</c:v>
                </c:pt>
                <c:pt idx="2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BASE/BOTTOM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4565</c:v>
                </c:pt>
                <c:pt idx="1">
                  <c:v>5647</c:v>
                </c:pt>
                <c:pt idx="2">
                  <c:v>3942</c:v>
                </c:pt>
                <c:pt idx="3">
                  <c:v>5299</c:v>
                </c:pt>
                <c:pt idx="4">
                  <c:v>4015</c:v>
                </c:pt>
                <c:pt idx="5">
                  <c:v>15260</c:v>
                </c:pt>
                <c:pt idx="6">
                  <c:v>5462</c:v>
                </c:pt>
                <c:pt idx="7">
                  <c:v>3433</c:v>
                </c:pt>
                <c:pt idx="8">
                  <c:v>711</c:v>
                </c:pt>
                <c:pt idx="9">
                  <c:v>12356</c:v>
                </c:pt>
                <c:pt idx="10">
                  <c:v>6100</c:v>
                </c:pt>
                <c:pt idx="11">
                  <c:v>705</c:v>
                </c:pt>
                <c:pt idx="12">
                  <c:v>4855</c:v>
                </c:pt>
                <c:pt idx="13">
                  <c:v>3889</c:v>
                </c:pt>
                <c:pt idx="14">
                  <c:v>8090</c:v>
                </c:pt>
                <c:pt idx="15">
                  <c:v>38324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BF-4D83-9A40-3C54FEEC9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88%</c:v>
                </c:pt>
                <c:pt idx="1">
                  <c:v>100%</c:v>
                </c:pt>
                <c:pt idx="2">
                  <c:v>79%</c:v>
                </c:pt>
                <c:pt idx="3">
                  <c:v>100%</c:v>
                </c:pt>
                <c:pt idx="4">
                  <c:v>67%</c:v>
                </c:pt>
                <c:pt idx="5">
                  <c:v>0%</c:v>
                </c:pt>
                <c:pt idx="6">
                  <c:v>100%</c:v>
                </c:pt>
                <c:pt idx="7">
                  <c:v>63%</c:v>
                </c:pt>
                <c:pt idx="8">
                  <c:v>0%</c:v>
                </c:pt>
                <c:pt idx="9">
                  <c:v>0%</c:v>
                </c:pt>
                <c:pt idx="10">
                  <c:v>63%</c:v>
                </c:pt>
                <c:pt idx="11">
                  <c:v>25%</c:v>
                </c:pt>
                <c:pt idx="12">
                  <c:v>83%</c:v>
                </c:pt>
                <c:pt idx="13">
                  <c:v>79%</c:v>
                </c:pt>
                <c:pt idx="14">
                  <c:v>79%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F/B</c:v>
                </c:pt>
                <c:pt idx="1">
                  <c:v>ACTUATOR</c:v>
                </c:pt>
                <c:pt idx="2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BASE/BOTTOM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0.875</c:v>
                </c:pt>
                <c:pt idx="1">
                  <c:v>1</c:v>
                </c:pt>
                <c:pt idx="2">
                  <c:v>0.79166666666666663</c:v>
                </c:pt>
                <c:pt idx="3">
                  <c:v>1</c:v>
                </c:pt>
                <c:pt idx="4">
                  <c:v>0.66666666666666663</c:v>
                </c:pt>
                <c:pt idx="5">
                  <c:v>0</c:v>
                </c:pt>
                <c:pt idx="6">
                  <c:v>1</c:v>
                </c:pt>
                <c:pt idx="7">
                  <c:v>0.625</c:v>
                </c:pt>
                <c:pt idx="8">
                  <c:v>0</c:v>
                </c:pt>
                <c:pt idx="9">
                  <c:v>0</c:v>
                </c:pt>
                <c:pt idx="10">
                  <c:v>0.625</c:v>
                </c:pt>
                <c:pt idx="11">
                  <c:v>0.25</c:v>
                </c:pt>
                <c:pt idx="12">
                  <c:v>0.83333333333333337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02-4A3D-8419-2DF5B4BE1FC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02-4A3D-8419-2DF5B4BE1FC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F/B</c:v>
                </c:pt>
                <c:pt idx="1">
                  <c:v>ACTUATOR</c:v>
                </c:pt>
                <c:pt idx="2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BASE/BOTTOM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0.61458333333333326</c:v>
                </c:pt>
                <c:pt idx="1">
                  <c:v>0.61458333333333326</c:v>
                </c:pt>
                <c:pt idx="2">
                  <c:v>0.61458333333333326</c:v>
                </c:pt>
                <c:pt idx="3">
                  <c:v>0.61458333333333326</c:v>
                </c:pt>
                <c:pt idx="4">
                  <c:v>0.61458333333333326</c:v>
                </c:pt>
                <c:pt idx="5">
                  <c:v>0.61458333333333326</c:v>
                </c:pt>
                <c:pt idx="6">
                  <c:v>0.61458333333333326</c:v>
                </c:pt>
                <c:pt idx="7">
                  <c:v>0.61458333333333326</c:v>
                </c:pt>
                <c:pt idx="8">
                  <c:v>0.61458333333333326</c:v>
                </c:pt>
                <c:pt idx="9">
                  <c:v>0.61458333333333326</c:v>
                </c:pt>
                <c:pt idx="10">
                  <c:v>0.61458333333333326</c:v>
                </c:pt>
                <c:pt idx="11">
                  <c:v>0.61458333333333326</c:v>
                </c:pt>
                <c:pt idx="12">
                  <c:v>0.61458333333333326</c:v>
                </c:pt>
                <c:pt idx="13">
                  <c:v>0.61458333333333326</c:v>
                </c:pt>
                <c:pt idx="14">
                  <c:v>0.61458333333333326</c:v>
                </c:pt>
                <c:pt idx="15">
                  <c:v>0.61458333333333326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02-4A3D-8419-2DF5B4BE1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F91-42A2-B583-30ABC212E9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91-42A2-B583-30ABC212E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F91-42A2-B583-30ABC212E93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91-42A2-B583-30ABC212E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'13'!$D$6:$D$21</c:f>
              <c:strCache>
                <c:ptCount val="15"/>
                <c:pt idx="0">
                  <c:v>FRONT</c:v>
                </c:pt>
                <c:pt idx="1">
                  <c:v>ACTUATOR</c:v>
                </c:pt>
                <c:pt idx="2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'13'!$L$6:$L$21</c:f>
              <c:numCache>
                <c:formatCode>_(* #,##0_);_(* \(#,##0\);_(* "-"_);_(@_)</c:formatCode>
                <c:ptCount val="16"/>
                <c:pt idx="0">
                  <c:v>2161</c:v>
                </c:pt>
                <c:pt idx="1">
                  <c:v>3827</c:v>
                </c:pt>
                <c:pt idx="2">
                  <c:v>2351</c:v>
                </c:pt>
                <c:pt idx="3">
                  <c:v>5408</c:v>
                </c:pt>
                <c:pt idx="6">
                  <c:v>5155</c:v>
                </c:pt>
                <c:pt idx="7">
                  <c:v>5383</c:v>
                </c:pt>
                <c:pt idx="10">
                  <c:v>5663</c:v>
                </c:pt>
                <c:pt idx="11">
                  <c:v>3892</c:v>
                </c:pt>
                <c:pt idx="12">
                  <c:v>5800</c:v>
                </c:pt>
                <c:pt idx="13">
                  <c:v>5105</c:v>
                </c:pt>
                <c:pt idx="14">
                  <c:v>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B-4AE6-90FF-D0B16BF04EF9}"/>
            </c:ext>
          </c:extLst>
        </c:ser>
        <c:ser>
          <c:idx val="1"/>
          <c:order val="1"/>
          <c:tx>
            <c:v>계획</c:v>
          </c:tx>
          <c:cat>
            <c:strRef>
              <c:f>'13'!$D$6:$D$21</c:f>
              <c:strCache>
                <c:ptCount val="15"/>
                <c:pt idx="0">
                  <c:v>FRONT</c:v>
                </c:pt>
                <c:pt idx="1">
                  <c:v>ACTUATOR</c:v>
                </c:pt>
                <c:pt idx="2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'13'!$J$6:$J$21</c:f>
              <c:numCache>
                <c:formatCode>_(* #,##0_);_(* \(#,##0\);_(* "-"_);_(@_)</c:formatCode>
                <c:ptCount val="16"/>
                <c:pt idx="0">
                  <c:v>2161</c:v>
                </c:pt>
                <c:pt idx="1">
                  <c:v>3827</c:v>
                </c:pt>
                <c:pt idx="2">
                  <c:v>2351</c:v>
                </c:pt>
                <c:pt idx="3">
                  <c:v>5408</c:v>
                </c:pt>
                <c:pt idx="4">
                  <c:v>4015</c:v>
                </c:pt>
                <c:pt idx="5">
                  <c:v>15260</c:v>
                </c:pt>
                <c:pt idx="6">
                  <c:v>5155</c:v>
                </c:pt>
                <c:pt idx="7">
                  <c:v>5383</c:v>
                </c:pt>
                <c:pt idx="8">
                  <c:v>711</c:v>
                </c:pt>
                <c:pt idx="9">
                  <c:v>12356</c:v>
                </c:pt>
                <c:pt idx="10">
                  <c:v>5663</c:v>
                </c:pt>
                <c:pt idx="11">
                  <c:v>3892</c:v>
                </c:pt>
                <c:pt idx="12">
                  <c:v>5800</c:v>
                </c:pt>
                <c:pt idx="13">
                  <c:v>5105</c:v>
                </c:pt>
                <c:pt idx="14">
                  <c:v>9864</c:v>
                </c:pt>
                <c:pt idx="15">
                  <c:v>38324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FB-4AE6-90FF-D0B16BF04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'13'!$AD$6:$AD$21</c:f>
              <c:strCache>
                <c:ptCount val="16"/>
                <c:pt idx="0">
                  <c:v>38%</c:v>
                </c:pt>
                <c:pt idx="1">
                  <c:v>75%</c:v>
                </c:pt>
                <c:pt idx="2">
                  <c:v>42%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92%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92%</c:v>
                </c:pt>
                <c:pt idx="11">
                  <c:v>79%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0">
                  <c:v>FRONT</c:v>
                </c:pt>
                <c:pt idx="1">
                  <c:v>ACTUATOR</c:v>
                </c:pt>
                <c:pt idx="2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'13'!$AD$6:$AD$21</c:f>
              <c:numCache>
                <c:formatCode>0%</c:formatCode>
                <c:ptCount val="16"/>
                <c:pt idx="0">
                  <c:v>0.375</c:v>
                </c:pt>
                <c:pt idx="1">
                  <c:v>0.75</c:v>
                </c:pt>
                <c:pt idx="2">
                  <c:v>0.41666666666666669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0.91666666666666663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0.91666666666666663</c:v>
                </c:pt>
                <c:pt idx="11">
                  <c:v>0.79166666666666663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DB-40D2-9432-A435AEADC40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DB-40D2-9432-A435AEADC40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0">
                  <c:v>FRONT</c:v>
                </c:pt>
                <c:pt idx="1">
                  <c:v>ACTUATOR</c:v>
                </c:pt>
                <c:pt idx="2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'13'!$AE$6:$AE$21</c:f>
              <c:numCache>
                <c:formatCode>0%</c:formatCode>
                <c:ptCount val="16"/>
                <c:pt idx="0">
                  <c:v>0.57291666666666674</c:v>
                </c:pt>
                <c:pt idx="1">
                  <c:v>0.57291666666666674</c:v>
                </c:pt>
                <c:pt idx="2">
                  <c:v>0.57291666666666674</c:v>
                </c:pt>
                <c:pt idx="3">
                  <c:v>0.57291666666666674</c:v>
                </c:pt>
                <c:pt idx="4">
                  <c:v>0.57291666666666674</c:v>
                </c:pt>
                <c:pt idx="5">
                  <c:v>0.57291666666666674</c:v>
                </c:pt>
                <c:pt idx="6">
                  <c:v>0.57291666666666674</c:v>
                </c:pt>
                <c:pt idx="7">
                  <c:v>0.57291666666666674</c:v>
                </c:pt>
                <c:pt idx="8">
                  <c:v>0.57291666666666674</c:v>
                </c:pt>
                <c:pt idx="9">
                  <c:v>0.57291666666666674</c:v>
                </c:pt>
                <c:pt idx="10">
                  <c:v>0.57291666666666674</c:v>
                </c:pt>
                <c:pt idx="11">
                  <c:v>0.57291666666666674</c:v>
                </c:pt>
                <c:pt idx="12">
                  <c:v>0.57291666666666674</c:v>
                </c:pt>
                <c:pt idx="13">
                  <c:v>0.57291666666666674</c:v>
                </c:pt>
                <c:pt idx="14">
                  <c:v>0.57291666666666674</c:v>
                </c:pt>
                <c:pt idx="15">
                  <c:v>0.57291666666666674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DB-40D2-9432-A435AEADC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'13'!$D$6:$D$21</c:f>
              <c:strCache>
                <c:ptCount val="15"/>
                <c:pt idx="0">
                  <c:v>FRONT</c:v>
                </c:pt>
                <c:pt idx="1">
                  <c:v>ACTUATOR</c:v>
                </c:pt>
                <c:pt idx="2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'13'!$L$6:$L$21</c:f>
              <c:numCache>
                <c:formatCode>_(* #,##0_);_(* \(#,##0\);_(* "-"_);_(@_)</c:formatCode>
                <c:ptCount val="16"/>
                <c:pt idx="0">
                  <c:v>2161</c:v>
                </c:pt>
                <c:pt idx="1">
                  <c:v>3827</c:v>
                </c:pt>
                <c:pt idx="2">
                  <c:v>2351</c:v>
                </c:pt>
                <c:pt idx="3">
                  <c:v>5408</c:v>
                </c:pt>
                <c:pt idx="6">
                  <c:v>5155</c:v>
                </c:pt>
                <c:pt idx="7">
                  <c:v>5383</c:v>
                </c:pt>
                <c:pt idx="10">
                  <c:v>5663</c:v>
                </c:pt>
                <c:pt idx="11">
                  <c:v>3892</c:v>
                </c:pt>
                <c:pt idx="12">
                  <c:v>5800</c:v>
                </c:pt>
                <c:pt idx="13">
                  <c:v>5105</c:v>
                </c:pt>
                <c:pt idx="14">
                  <c:v>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E9-407A-B0CD-A24AE5365FE9}"/>
            </c:ext>
          </c:extLst>
        </c:ser>
        <c:ser>
          <c:idx val="1"/>
          <c:order val="1"/>
          <c:tx>
            <c:v>계획</c:v>
          </c:tx>
          <c:cat>
            <c:strRef>
              <c:f>'13'!$D$6:$D$21</c:f>
              <c:strCache>
                <c:ptCount val="15"/>
                <c:pt idx="0">
                  <c:v>FRONT</c:v>
                </c:pt>
                <c:pt idx="1">
                  <c:v>ACTUATOR</c:v>
                </c:pt>
                <c:pt idx="2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'13'!$J$6:$J$21</c:f>
              <c:numCache>
                <c:formatCode>_(* #,##0_);_(* \(#,##0\);_(* "-"_);_(@_)</c:formatCode>
                <c:ptCount val="16"/>
                <c:pt idx="0">
                  <c:v>2161</c:v>
                </c:pt>
                <c:pt idx="1">
                  <c:v>3827</c:v>
                </c:pt>
                <c:pt idx="2">
                  <c:v>2351</c:v>
                </c:pt>
                <c:pt idx="3">
                  <c:v>5408</c:v>
                </c:pt>
                <c:pt idx="4">
                  <c:v>4015</c:v>
                </c:pt>
                <c:pt idx="5">
                  <c:v>15260</c:v>
                </c:pt>
                <c:pt idx="6">
                  <c:v>5155</c:v>
                </c:pt>
                <c:pt idx="7">
                  <c:v>5383</c:v>
                </c:pt>
                <c:pt idx="8">
                  <c:v>711</c:v>
                </c:pt>
                <c:pt idx="9">
                  <c:v>12356</c:v>
                </c:pt>
                <c:pt idx="10">
                  <c:v>5663</c:v>
                </c:pt>
                <c:pt idx="11">
                  <c:v>3892</c:v>
                </c:pt>
                <c:pt idx="12">
                  <c:v>5800</c:v>
                </c:pt>
                <c:pt idx="13">
                  <c:v>5105</c:v>
                </c:pt>
                <c:pt idx="14">
                  <c:v>9864</c:v>
                </c:pt>
                <c:pt idx="15">
                  <c:v>38324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E9-407A-B0CD-A24AE5365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'13'!$AD$6:$AD$21</c:f>
              <c:strCache>
                <c:ptCount val="16"/>
                <c:pt idx="0">
                  <c:v>38%</c:v>
                </c:pt>
                <c:pt idx="1">
                  <c:v>75%</c:v>
                </c:pt>
                <c:pt idx="2">
                  <c:v>42%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92%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92%</c:v>
                </c:pt>
                <c:pt idx="11">
                  <c:v>79%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0">
                  <c:v>FRONT</c:v>
                </c:pt>
                <c:pt idx="1">
                  <c:v>ACTUATOR</c:v>
                </c:pt>
                <c:pt idx="2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'13'!$AD$6:$AD$21</c:f>
              <c:numCache>
                <c:formatCode>0%</c:formatCode>
                <c:ptCount val="16"/>
                <c:pt idx="0">
                  <c:v>0.375</c:v>
                </c:pt>
                <c:pt idx="1">
                  <c:v>0.75</c:v>
                </c:pt>
                <c:pt idx="2">
                  <c:v>0.41666666666666669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0.91666666666666663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0.91666666666666663</c:v>
                </c:pt>
                <c:pt idx="11">
                  <c:v>0.79166666666666663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A7-4610-A567-793D557EE66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A7-4610-A567-793D557EE66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0">
                  <c:v>FRONT</c:v>
                </c:pt>
                <c:pt idx="1">
                  <c:v>ACTUATOR</c:v>
                </c:pt>
                <c:pt idx="2">
                  <c:v>BASE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'13'!$AE$6:$AE$21</c:f>
              <c:numCache>
                <c:formatCode>0%</c:formatCode>
                <c:ptCount val="16"/>
                <c:pt idx="0">
                  <c:v>0.57291666666666674</c:v>
                </c:pt>
                <c:pt idx="1">
                  <c:v>0.57291666666666674</c:v>
                </c:pt>
                <c:pt idx="2">
                  <c:v>0.57291666666666674</c:v>
                </c:pt>
                <c:pt idx="3">
                  <c:v>0.57291666666666674</c:v>
                </c:pt>
                <c:pt idx="4">
                  <c:v>0.57291666666666674</c:v>
                </c:pt>
                <c:pt idx="5">
                  <c:v>0.57291666666666674</c:v>
                </c:pt>
                <c:pt idx="6">
                  <c:v>0.57291666666666674</c:v>
                </c:pt>
                <c:pt idx="7">
                  <c:v>0.57291666666666674</c:v>
                </c:pt>
                <c:pt idx="8">
                  <c:v>0.57291666666666674</c:v>
                </c:pt>
                <c:pt idx="9">
                  <c:v>0.57291666666666674</c:v>
                </c:pt>
                <c:pt idx="10">
                  <c:v>0.57291666666666674</c:v>
                </c:pt>
                <c:pt idx="11">
                  <c:v>0.57291666666666674</c:v>
                </c:pt>
                <c:pt idx="12">
                  <c:v>0.57291666666666674</c:v>
                </c:pt>
                <c:pt idx="13">
                  <c:v>0.57291666666666674</c:v>
                </c:pt>
                <c:pt idx="14">
                  <c:v>0.57291666666666674</c:v>
                </c:pt>
                <c:pt idx="15">
                  <c:v>0.57291666666666674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A7-4610-A567-793D557EE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721-453A-9190-9FD22C67C8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1-453A-9190-9FD22C67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721-453A-9190-9FD22C67C86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21-453A-9190-9FD22C67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'15'!$D$6:$D$22</c:f>
              <c:strCache>
                <c:ptCount val="16"/>
                <c:pt idx="0">
                  <c:v>FLOATING</c:v>
                </c:pt>
                <c:pt idx="1">
                  <c:v>ACTUATOR</c:v>
                </c:pt>
                <c:pt idx="2">
                  <c:v>BASE</c:v>
                </c:pt>
                <c:pt idx="3">
                  <c:v>SLIDER</c:v>
                </c:pt>
                <c:pt idx="4">
                  <c:v>BASE</c:v>
                </c:pt>
                <c:pt idx="5">
                  <c:v>LID/PLUNGER</c:v>
                </c:pt>
                <c:pt idx="6">
                  <c:v>SP-A/B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SLIDER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'15'!$L$6:$L$22</c:f>
              <c:numCache>
                <c:formatCode>_(* #,##0_);_(* \(#,##0\);_(* "-"_);_(@_)</c:formatCode>
                <c:ptCount val="17"/>
                <c:pt idx="0">
                  <c:v>4395</c:v>
                </c:pt>
                <c:pt idx="1">
                  <c:v>5705</c:v>
                </c:pt>
                <c:pt idx="2">
                  <c:v>3153</c:v>
                </c:pt>
                <c:pt idx="4">
                  <c:v>2382</c:v>
                </c:pt>
                <c:pt idx="5">
                  <c:v>4043</c:v>
                </c:pt>
                <c:pt idx="6">
                  <c:v>3352</c:v>
                </c:pt>
                <c:pt idx="7">
                  <c:v>5274</c:v>
                </c:pt>
                <c:pt idx="8">
                  <c:v>5677</c:v>
                </c:pt>
                <c:pt idx="11">
                  <c:v>2419</c:v>
                </c:pt>
                <c:pt idx="13">
                  <c:v>5572</c:v>
                </c:pt>
                <c:pt idx="14">
                  <c:v>4142</c:v>
                </c:pt>
                <c:pt idx="15">
                  <c:v>2115</c:v>
                </c:pt>
                <c:pt idx="16">
                  <c:v>18548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3B-404A-8789-ABE9E076AF6E}"/>
            </c:ext>
          </c:extLst>
        </c:ser>
        <c:ser>
          <c:idx val="1"/>
          <c:order val="1"/>
          <c:tx>
            <c:v>계획</c:v>
          </c:tx>
          <c:cat>
            <c:strRef>
              <c:f>'15'!$D$6:$D$22</c:f>
              <c:strCache>
                <c:ptCount val="16"/>
                <c:pt idx="0">
                  <c:v>FLOATING</c:v>
                </c:pt>
                <c:pt idx="1">
                  <c:v>ACTUATOR</c:v>
                </c:pt>
                <c:pt idx="2">
                  <c:v>BASE</c:v>
                </c:pt>
                <c:pt idx="3">
                  <c:v>SLIDER</c:v>
                </c:pt>
                <c:pt idx="4">
                  <c:v>BASE</c:v>
                </c:pt>
                <c:pt idx="5">
                  <c:v>LID/PLUNGER</c:v>
                </c:pt>
                <c:pt idx="6">
                  <c:v>SP-A/B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SLIDER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'15'!$J$6:$J$22</c:f>
              <c:numCache>
                <c:formatCode>_(* #,##0_);_(* \(#,##0\);_(* "-"_);_(@_)</c:formatCode>
                <c:ptCount val="17"/>
                <c:pt idx="0">
                  <c:v>4395</c:v>
                </c:pt>
                <c:pt idx="1">
                  <c:v>5705</c:v>
                </c:pt>
                <c:pt idx="2">
                  <c:v>3153</c:v>
                </c:pt>
                <c:pt idx="3">
                  <c:v>5408</c:v>
                </c:pt>
                <c:pt idx="4">
                  <c:v>2382</c:v>
                </c:pt>
                <c:pt idx="5">
                  <c:v>4043</c:v>
                </c:pt>
                <c:pt idx="6">
                  <c:v>3352</c:v>
                </c:pt>
                <c:pt idx="7">
                  <c:v>5274</c:v>
                </c:pt>
                <c:pt idx="8">
                  <c:v>5677</c:v>
                </c:pt>
                <c:pt idx="9">
                  <c:v>711</c:v>
                </c:pt>
                <c:pt idx="10">
                  <c:v>12356</c:v>
                </c:pt>
                <c:pt idx="11">
                  <c:v>2419</c:v>
                </c:pt>
                <c:pt idx="12">
                  <c:v>3892</c:v>
                </c:pt>
                <c:pt idx="13">
                  <c:v>5572</c:v>
                </c:pt>
                <c:pt idx="14">
                  <c:v>4142</c:v>
                </c:pt>
                <c:pt idx="15">
                  <c:v>2115</c:v>
                </c:pt>
                <c:pt idx="16">
                  <c:v>18548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3B-404A-8789-ABE9E076A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'15'!$AD$6:$AD$22</c:f>
              <c:strCache>
                <c:ptCount val="17"/>
                <c:pt idx="0">
                  <c:v>88%</c:v>
                </c:pt>
                <c:pt idx="1">
                  <c:v>100%</c:v>
                </c:pt>
                <c:pt idx="2">
                  <c:v>71%</c:v>
                </c:pt>
                <c:pt idx="3">
                  <c:v>0%</c:v>
                </c:pt>
                <c:pt idx="4">
                  <c:v>50%</c:v>
                </c:pt>
                <c:pt idx="5">
                  <c:v>92%</c:v>
                </c:pt>
                <c:pt idx="6">
                  <c:v>67%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46%</c:v>
                </c:pt>
                <c:pt idx="12">
                  <c:v>0%</c:v>
                </c:pt>
                <c:pt idx="13">
                  <c:v>100%</c:v>
                </c:pt>
                <c:pt idx="14">
                  <c:v>88%</c:v>
                </c:pt>
                <c:pt idx="15">
                  <c:v>38%</c:v>
                </c:pt>
                <c:pt idx="16">
                  <c:v>38%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'15'!$D$6:$D$22</c:f>
              <c:strCache>
                <c:ptCount val="16"/>
                <c:pt idx="0">
                  <c:v>FLOATING</c:v>
                </c:pt>
                <c:pt idx="1">
                  <c:v>ACTUATOR</c:v>
                </c:pt>
                <c:pt idx="2">
                  <c:v>BASE</c:v>
                </c:pt>
                <c:pt idx="3">
                  <c:v>SLIDER</c:v>
                </c:pt>
                <c:pt idx="4">
                  <c:v>BASE</c:v>
                </c:pt>
                <c:pt idx="5">
                  <c:v>LID/PLUNGER</c:v>
                </c:pt>
                <c:pt idx="6">
                  <c:v>SP-A/B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SLIDER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'15'!$AD$6:$AD$22</c:f>
              <c:numCache>
                <c:formatCode>0%</c:formatCode>
                <c:ptCount val="17"/>
                <c:pt idx="0">
                  <c:v>0.875</c:v>
                </c:pt>
                <c:pt idx="1">
                  <c:v>1</c:v>
                </c:pt>
                <c:pt idx="2">
                  <c:v>0.70833333333333337</c:v>
                </c:pt>
                <c:pt idx="3">
                  <c:v>0</c:v>
                </c:pt>
                <c:pt idx="4">
                  <c:v>0.5</c:v>
                </c:pt>
                <c:pt idx="5">
                  <c:v>0.91666666666666663</c:v>
                </c:pt>
                <c:pt idx="6">
                  <c:v>0.66666666666666663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0.45833333333333331</c:v>
                </c:pt>
                <c:pt idx="12">
                  <c:v>0</c:v>
                </c:pt>
                <c:pt idx="13">
                  <c:v>1</c:v>
                </c:pt>
                <c:pt idx="14">
                  <c:v>0.875</c:v>
                </c:pt>
                <c:pt idx="15">
                  <c:v>0.375</c:v>
                </c:pt>
                <c:pt idx="16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8F-4387-B1FA-E5859543CD6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8F-4387-B1FA-E5859543CD6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'15'!$D$6:$D$22</c:f>
              <c:strCache>
                <c:ptCount val="16"/>
                <c:pt idx="0">
                  <c:v>FLOATING</c:v>
                </c:pt>
                <c:pt idx="1">
                  <c:v>ACTUATOR</c:v>
                </c:pt>
                <c:pt idx="2">
                  <c:v>BASE</c:v>
                </c:pt>
                <c:pt idx="3">
                  <c:v>SLIDER</c:v>
                </c:pt>
                <c:pt idx="4">
                  <c:v>BASE</c:v>
                </c:pt>
                <c:pt idx="5">
                  <c:v>LID/PLUNGER</c:v>
                </c:pt>
                <c:pt idx="6">
                  <c:v>SP-A/B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SLIDER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'15'!$AE$6:$AE$22</c:f>
              <c:numCache>
                <c:formatCode>0%</c:formatCode>
                <c:ptCount val="17"/>
                <c:pt idx="0">
                  <c:v>0.57352941176470584</c:v>
                </c:pt>
                <c:pt idx="1">
                  <c:v>0.57352941176470584</c:v>
                </c:pt>
                <c:pt idx="2">
                  <c:v>0.57352941176470584</c:v>
                </c:pt>
                <c:pt idx="3">
                  <c:v>0.57352941176470584</c:v>
                </c:pt>
                <c:pt idx="4">
                  <c:v>0.57352941176470584</c:v>
                </c:pt>
                <c:pt idx="5">
                  <c:v>0.57352941176470584</c:v>
                </c:pt>
                <c:pt idx="6">
                  <c:v>0.57352941176470584</c:v>
                </c:pt>
                <c:pt idx="7">
                  <c:v>0.57352941176470584</c:v>
                </c:pt>
                <c:pt idx="8">
                  <c:v>0.57352941176470584</c:v>
                </c:pt>
                <c:pt idx="9">
                  <c:v>0.57352941176470584</c:v>
                </c:pt>
                <c:pt idx="10">
                  <c:v>0.57352941176470584</c:v>
                </c:pt>
                <c:pt idx="11">
                  <c:v>0.57352941176470584</c:v>
                </c:pt>
                <c:pt idx="12">
                  <c:v>0.57352941176470584</c:v>
                </c:pt>
                <c:pt idx="13">
                  <c:v>0.57352941176470584</c:v>
                </c:pt>
                <c:pt idx="14">
                  <c:v>0.57352941176470584</c:v>
                </c:pt>
                <c:pt idx="15">
                  <c:v>0.57352941176470584</c:v>
                </c:pt>
                <c:pt idx="16">
                  <c:v>0.57352941176470584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8F-4387-B1FA-E5859543C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'15'!$D$6:$D$22</c:f>
              <c:strCache>
                <c:ptCount val="16"/>
                <c:pt idx="0">
                  <c:v>FLOATING</c:v>
                </c:pt>
                <c:pt idx="1">
                  <c:v>ACTUATOR</c:v>
                </c:pt>
                <c:pt idx="2">
                  <c:v>BASE</c:v>
                </c:pt>
                <c:pt idx="3">
                  <c:v>SLIDER</c:v>
                </c:pt>
                <c:pt idx="4">
                  <c:v>BASE</c:v>
                </c:pt>
                <c:pt idx="5">
                  <c:v>LID/PLUNGER</c:v>
                </c:pt>
                <c:pt idx="6">
                  <c:v>SP-A/B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SLIDER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'15'!$L$6:$L$22</c:f>
              <c:numCache>
                <c:formatCode>_(* #,##0_);_(* \(#,##0\);_(* "-"_);_(@_)</c:formatCode>
                <c:ptCount val="17"/>
                <c:pt idx="0">
                  <c:v>4395</c:v>
                </c:pt>
                <c:pt idx="1">
                  <c:v>5705</c:v>
                </c:pt>
                <c:pt idx="2">
                  <c:v>3153</c:v>
                </c:pt>
                <c:pt idx="4">
                  <c:v>2382</c:v>
                </c:pt>
                <c:pt idx="5">
                  <c:v>4043</c:v>
                </c:pt>
                <c:pt idx="6">
                  <c:v>3352</c:v>
                </c:pt>
                <c:pt idx="7">
                  <c:v>5274</c:v>
                </c:pt>
                <c:pt idx="8">
                  <c:v>5677</c:v>
                </c:pt>
                <c:pt idx="11">
                  <c:v>2419</c:v>
                </c:pt>
                <c:pt idx="13">
                  <c:v>5572</c:v>
                </c:pt>
                <c:pt idx="14">
                  <c:v>4142</c:v>
                </c:pt>
                <c:pt idx="15">
                  <c:v>2115</c:v>
                </c:pt>
                <c:pt idx="16">
                  <c:v>18548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6-4EBC-B1C5-46F60F81AB5E}"/>
            </c:ext>
          </c:extLst>
        </c:ser>
        <c:ser>
          <c:idx val="1"/>
          <c:order val="1"/>
          <c:tx>
            <c:v>계획</c:v>
          </c:tx>
          <c:cat>
            <c:strRef>
              <c:f>'15'!$D$6:$D$22</c:f>
              <c:strCache>
                <c:ptCount val="16"/>
                <c:pt idx="0">
                  <c:v>FLOATING</c:v>
                </c:pt>
                <c:pt idx="1">
                  <c:v>ACTUATOR</c:v>
                </c:pt>
                <c:pt idx="2">
                  <c:v>BASE</c:v>
                </c:pt>
                <c:pt idx="3">
                  <c:v>SLIDER</c:v>
                </c:pt>
                <c:pt idx="4">
                  <c:v>BASE</c:v>
                </c:pt>
                <c:pt idx="5">
                  <c:v>LID/PLUNGER</c:v>
                </c:pt>
                <c:pt idx="6">
                  <c:v>SP-A/B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SLIDER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'15'!$J$6:$J$22</c:f>
              <c:numCache>
                <c:formatCode>_(* #,##0_);_(* \(#,##0\);_(* "-"_);_(@_)</c:formatCode>
                <c:ptCount val="17"/>
                <c:pt idx="0">
                  <c:v>4395</c:v>
                </c:pt>
                <c:pt idx="1">
                  <c:v>5705</c:v>
                </c:pt>
                <c:pt idx="2">
                  <c:v>3153</c:v>
                </c:pt>
                <c:pt idx="3">
                  <c:v>5408</c:v>
                </c:pt>
                <c:pt idx="4">
                  <c:v>2382</c:v>
                </c:pt>
                <c:pt idx="5">
                  <c:v>4043</c:v>
                </c:pt>
                <c:pt idx="6">
                  <c:v>3352</c:v>
                </c:pt>
                <c:pt idx="7">
                  <c:v>5274</c:v>
                </c:pt>
                <c:pt idx="8">
                  <c:v>5677</c:v>
                </c:pt>
                <c:pt idx="9">
                  <c:v>711</c:v>
                </c:pt>
                <c:pt idx="10">
                  <c:v>12356</c:v>
                </c:pt>
                <c:pt idx="11">
                  <c:v>2419</c:v>
                </c:pt>
                <c:pt idx="12">
                  <c:v>3892</c:v>
                </c:pt>
                <c:pt idx="13">
                  <c:v>5572</c:v>
                </c:pt>
                <c:pt idx="14">
                  <c:v>4142</c:v>
                </c:pt>
                <c:pt idx="15">
                  <c:v>2115</c:v>
                </c:pt>
                <c:pt idx="16">
                  <c:v>18548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6-4EBC-B1C5-46F60F81A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'15'!$AD$6:$AD$22</c:f>
              <c:strCache>
                <c:ptCount val="17"/>
                <c:pt idx="0">
                  <c:v>88%</c:v>
                </c:pt>
                <c:pt idx="1">
                  <c:v>100%</c:v>
                </c:pt>
                <c:pt idx="2">
                  <c:v>71%</c:v>
                </c:pt>
                <c:pt idx="3">
                  <c:v>0%</c:v>
                </c:pt>
                <c:pt idx="4">
                  <c:v>50%</c:v>
                </c:pt>
                <c:pt idx="5">
                  <c:v>92%</c:v>
                </c:pt>
                <c:pt idx="6">
                  <c:v>67%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46%</c:v>
                </c:pt>
                <c:pt idx="12">
                  <c:v>0%</c:v>
                </c:pt>
                <c:pt idx="13">
                  <c:v>100%</c:v>
                </c:pt>
                <c:pt idx="14">
                  <c:v>88%</c:v>
                </c:pt>
                <c:pt idx="15">
                  <c:v>38%</c:v>
                </c:pt>
                <c:pt idx="16">
                  <c:v>38%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'15'!$D$6:$D$22</c:f>
              <c:strCache>
                <c:ptCount val="16"/>
                <c:pt idx="0">
                  <c:v>FLOATING</c:v>
                </c:pt>
                <c:pt idx="1">
                  <c:v>ACTUATOR</c:v>
                </c:pt>
                <c:pt idx="2">
                  <c:v>BASE</c:v>
                </c:pt>
                <c:pt idx="3">
                  <c:v>SLIDER</c:v>
                </c:pt>
                <c:pt idx="4">
                  <c:v>BASE</c:v>
                </c:pt>
                <c:pt idx="5">
                  <c:v>LID/PLUNGER</c:v>
                </c:pt>
                <c:pt idx="6">
                  <c:v>SP-A/B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SLIDER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'15'!$AD$6:$AD$22</c:f>
              <c:numCache>
                <c:formatCode>0%</c:formatCode>
                <c:ptCount val="17"/>
                <c:pt idx="0">
                  <c:v>0.875</c:v>
                </c:pt>
                <c:pt idx="1">
                  <c:v>1</c:v>
                </c:pt>
                <c:pt idx="2">
                  <c:v>0.70833333333333337</c:v>
                </c:pt>
                <c:pt idx="3">
                  <c:v>0</c:v>
                </c:pt>
                <c:pt idx="4">
                  <c:v>0.5</c:v>
                </c:pt>
                <c:pt idx="5">
                  <c:v>0.91666666666666663</c:v>
                </c:pt>
                <c:pt idx="6">
                  <c:v>0.66666666666666663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0.45833333333333331</c:v>
                </c:pt>
                <c:pt idx="12">
                  <c:v>0</c:v>
                </c:pt>
                <c:pt idx="13">
                  <c:v>1</c:v>
                </c:pt>
                <c:pt idx="14">
                  <c:v>0.875</c:v>
                </c:pt>
                <c:pt idx="15">
                  <c:v>0.375</c:v>
                </c:pt>
                <c:pt idx="16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1-458A-94B9-1DBEB41AEAB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C1-458A-94B9-1DBEB41AEA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'15'!$D$6:$D$22</c:f>
              <c:strCache>
                <c:ptCount val="16"/>
                <c:pt idx="0">
                  <c:v>FLOATING</c:v>
                </c:pt>
                <c:pt idx="1">
                  <c:v>ACTUATOR</c:v>
                </c:pt>
                <c:pt idx="2">
                  <c:v>BASE</c:v>
                </c:pt>
                <c:pt idx="3">
                  <c:v>SLIDER</c:v>
                </c:pt>
                <c:pt idx="4">
                  <c:v>BASE</c:v>
                </c:pt>
                <c:pt idx="5">
                  <c:v>LID/PLUNGER</c:v>
                </c:pt>
                <c:pt idx="6">
                  <c:v>SP-A/B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SLIDER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'15'!$AE$6:$AE$22</c:f>
              <c:numCache>
                <c:formatCode>0%</c:formatCode>
                <c:ptCount val="17"/>
                <c:pt idx="0">
                  <c:v>0.57352941176470584</c:v>
                </c:pt>
                <c:pt idx="1">
                  <c:v>0.57352941176470584</c:v>
                </c:pt>
                <c:pt idx="2">
                  <c:v>0.57352941176470584</c:v>
                </c:pt>
                <c:pt idx="3">
                  <c:v>0.57352941176470584</c:v>
                </c:pt>
                <c:pt idx="4">
                  <c:v>0.57352941176470584</c:v>
                </c:pt>
                <c:pt idx="5">
                  <c:v>0.57352941176470584</c:v>
                </c:pt>
                <c:pt idx="6">
                  <c:v>0.57352941176470584</c:v>
                </c:pt>
                <c:pt idx="7">
                  <c:v>0.57352941176470584</c:v>
                </c:pt>
                <c:pt idx="8">
                  <c:v>0.57352941176470584</c:v>
                </c:pt>
                <c:pt idx="9">
                  <c:v>0.57352941176470584</c:v>
                </c:pt>
                <c:pt idx="10">
                  <c:v>0.57352941176470584</c:v>
                </c:pt>
                <c:pt idx="11">
                  <c:v>0.57352941176470584</c:v>
                </c:pt>
                <c:pt idx="12">
                  <c:v>0.57352941176470584</c:v>
                </c:pt>
                <c:pt idx="13">
                  <c:v>0.57352941176470584</c:v>
                </c:pt>
                <c:pt idx="14">
                  <c:v>0.57352941176470584</c:v>
                </c:pt>
                <c:pt idx="15">
                  <c:v>0.57352941176470584</c:v>
                </c:pt>
                <c:pt idx="16">
                  <c:v>0.57352941176470584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C1-458A-94B9-1DBEB41AE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43D-4479-92C4-58ECE16DE6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3D-4479-92C4-58ECE16DE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43D-4479-92C4-58ECE16DE61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3D-4479-92C4-58ECE16DE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SP-A/B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'16'!$L$6:$L$21</c:f>
              <c:numCache>
                <c:formatCode>_(* #,##0_);_(* \(#,##0\);_(* "-"_);_(@_)</c:formatCode>
                <c:ptCount val="16"/>
                <c:pt idx="0">
                  <c:v>4791</c:v>
                </c:pt>
                <c:pt idx="1">
                  <c:v>5669</c:v>
                </c:pt>
                <c:pt idx="2">
                  <c:v>3884</c:v>
                </c:pt>
                <c:pt idx="3">
                  <c:v>6726</c:v>
                </c:pt>
                <c:pt idx="4">
                  <c:v>2514</c:v>
                </c:pt>
                <c:pt idx="5">
                  <c:v>2639</c:v>
                </c:pt>
                <c:pt idx="6">
                  <c:v>4446</c:v>
                </c:pt>
                <c:pt idx="7">
                  <c:v>5542</c:v>
                </c:pt>
                <c:pt idx="10">
                  <c:v>5960</c:v>
                </c:pt>
                <c:pt idx="11">
                  <c:v>1157</c:v>
                </c:pt>
                <c:pt idx="12">
                  <c:v>2815</c:v>
                </c:pt>
                <c:pt idx="15">
                  <c:v>31820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F-4A28-AE53-F9211E2E6F8B}"/>
            </c:ext>
          </c:extLst>
        </c:ser>
        <c:ser>
          <c:idx val="1"/>
          <c:order val="1"/>
          <c:tx>
            <c:v>계획</c:v>
          </c:tx>
          <c:cat>
            <c:strRef>
              <c:f>'16'!$D$6:$D$21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SP-A/B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'16'!$J$6:$J$21</c:f>
              <c:numCache>
                <c:formatCode>_(* #,##0_);_(* \(#,##0\);_(* "-"_);_(@_)</c:formatCode>
                <c:ptCount val="16"/>
                <c:pt idx="0">
                  <c:v>4791</c:v>
                </c:pt>
                <c:pt idx="1">
                  <c:v>5669</c:v>
                </c:pt>
                <c:pt idx="2">
                  <c:v>3884</c:v>
                </c:pt>
                <c:pt idx="3">
                  <c:v>6726</c:v>
                </c:pt>
                <c:pt idx="4">
                  <c:v>2514</c:v>
                </c:pt>
                <c:pt idx="5">
                  <c:v>2639</c:v>
                </c:pt>
                <c:pt idx="6">
                  <c:v>4446</c:v>
                </c:pt>
                <c:pt idx="7">
                  <c:v>5542</c:v>
                </c:pt>
                <c:pt idx="8">
                  <c:v>711</c:v>
                </c:pt>
                <c:pt idx="9">
                  <c:v>12356</c:v>
                </c:pt>
                <c:pt idx="10">
                  <c:v>5960</c:v>
                </c:pt>
                <c:pt idx="11">
                  <c:v>1157</c:v>
                </c:pt>
                <c:pt idx="12">
                  <c:v>2815</c:v>
                </c:pt>
                <c:pt idx="13">
                  <c:v>4142</c:v>
                </c:pt>
                <c:pt idx="14">
                  <c:v>2115</c:v>
                </c:pt>
                <c:pt idx="15">
                  <c:v>31820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0F-4A28-AE53-F9211E2E6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'16'!$AD$6:$AD$21</c:f>
              <c:strCache>
                <c:ptCount val="16"/>
                <c:pt idx="0">
                  <c:v>100%</c:v>
                </c:pt>
                <c:pt idx="1">
                  <c:v>100%</c:v>
                </c:pt>
                <c:pt idx="2">
                  <c:v>79%</c:v>
                </c:pt>
                <c:pt idx="3">
                  <c:v>63%</c:v>
                </c:pt>
                <c:pt idx="4">
                  <c:v>58%</c:v>
                </c:pt>
                <c:pt idx="5">
                  <c:v>38%</c:v>
                </c:pt>
                <c:pt idx="6">
                  <c:v>88%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54%</c:v>
                </c:pt>
                <c:pt idx="11">
                  <c:v>21%</c:v>
                </c:pt>
                <c:pt idx="12">
                  <c:v>58%</c:v>
                </c:pt>
                <c:pt idx="13">
                  <c:v>0%</c:v>
                </c:pt>
                <c:pt idx="14">
                  <c:v>0%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SP-A/B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'16'!$AD$6:$AD$21</c:f>
              <c:numCache>
                <c:formatCode>0%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0.79166666666666663</c:v>
                </c:pt>
                <c:pt idx="3">
                  <c:v>0.625</c:v>
                </c:pt>
                <c:pt idx="4">
                  <c:v>0.58333333333333337</c:v>
                </c:pt>
                <c:pt idx="5">
                  <c:v>0.375</c:v>
                </c:pt>
                <c:pt idx="6">
                  <c:v>0.875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0.54166666666666663</c:v>
                </c:pt>
                <c:pt idx="11">
                  <c:v>0.20833333333333334</c:v>
                </c:pt>
                <c:pt idx="12">
                  <c:v>0.58333333333333337</c:v>
                </c:pt>
                <c:pt idx="13">
                  <c:v>0</c:v>
                </c:pt>
                <c:pt idx="14">
                  <c:v>0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DB-4F5B-BE3C-589572361C5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5DB-4F5B-BE3C-589572361C5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SP-A/B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'16'!$AE$6:$AE$21</c:f>
              <c:numCache>
                <c:formatCode>0%</c:formatCode>
                <c:ptCount val="16"/>
                <c:pt idx="0">
                  <c:v>0.50520833333333326</c:v>
                </c:pt>
                <c:pt idx="1">
                  <c:v>0.50520833333333326</c:v>
                </c:pt>
                <c:pt idx="2">
                  <c:v>0.50520833333333326</c:v>
                </c:pt>
                <c:pt idx="3">
                  <c:v>0.50520833333333326</c:v>
                </c:pt>
                <c:pt idx="4">
                  <c:v>0.50520833333333326</c:v>
                </c:pt>
                <c:pt idx="5">
                  <c:v>0.50520833333333326</c:v>
                </c:pt>
                <c:pt idx="6">
                  <c:v>0.50520833333333326</c:v>
                </c:pt>
                <c:pt idx="7">
                  <c:v>0.50520833333333326</c:v>
                </c:pt>
                <c:pt idx="8">
                  <c:v>0.50520833333333326</c:v>
                </c:pt>
                <c:pt idx="9">
                  <c:v>0.50520833333333326</c:v>
                </c:pt>
                <c:pt idx="10">
                  <c:v>0.50520833333333326</c:v>
                </c:pt>
                <c:pt idx="11">
                  <c:v>0.50520833333333326</c:v>
                </c:pt>
                <c:pt idx="12">
                  <c:v>0.50520833333333326</c:v>
                </c:pt>
                <c:pt idx="13">
                  <c:v>0.50520833333333326</c:v>
                </c:pt>
                <c:pt idx="14">
                  <c:v>0.50520833333333326</c:v>
                </c:pt>
                <c:pt idx="15">
                  <c:v>0.50520833333333326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DB-4F5B-BE3C-589572361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SP-A/B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'16'!$L$6:$L$21</c:f>
              <c:numCache>
                <c:formatCode>_(* #,##0_);_(* \(#,##0\);_(* "-"_);_(@_)</c:formatCode>
                <c:ptCount val="16"/>
                <c:pt idx="0">
                  <c:v>4791</c:v>
                </c:pt>
                <c:pt idx="1">
                  <c:v>5669</c:v>
                </c:pt>
                <c:pt idx="2">
                  <c:v>3884</c:v>
                </c:pt>
                <c:pt idx="3">
                  <c:v>6726</c:v>
                </c:pt>
                <c:pt idx="4">
                  <c:v>2514</c:v>
                </c:pt>
                <c:pt idx="5">
                  <c:v>2639</c:v>
                </c:pt>
                <c:pt idx="6">
                  <c:v>4446</c:v>
                </c:pt>
                <c:pt idx="7">
                  <c:v>5542</c:v>
                </c:pt>
                <c:pt idx="10">
                  <c:v>5960</c:v>
                </c:pt>
                <c:pt idx="11">
                  <c:v>1157</c:v>
                </c:pt>
                <c:pt idx="12">
                  <c:v>2815</c:v>
                </c:pt>
                <c:pt idx="15">
                  <c:v>31820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6E-484F-B775-BC0A042C0E18}"/>
            </c:ext>
          </c:extLst>
        </c:ser>
        <c:ser>
          <c:idx val="1"/>
          <c:order val="1"/>
          <c:tx>
            <c:v>계획</c:v>
          </c:tx>
          <c:cat>
            <c:strRef>
              <c:f>'16'!$D$6:$D$21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SP-A/B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'16'!$J$6:$J$21</c:f>
              <c:numCache>
                <c:formatCode>_(* #,##0_);_(* \(#,##0\);_(* "-"_);_(@_)</c:formatCode>
                <c:ptCount val="16"/>
                <c:pt idx="0">
                  <c:v>4791</c:v>
                </c:pt>
                <c:pt idx="1">
                  <c:v>5669</c:v>
                </c:pt>
                <c:pt idx="2">
                  <c:v>3884</c:v>
                </c:pt>
                <c:pt idx="3">
                  <c:v>6726</c:v>
                </c:pt>
                <c:pt idx="4">
                  <c:v>2514</c:v>
                </c:pt>
                <c:pt idx="5">
                  <c:v>2639</c:v>
                </c:pt>
                <c:pt idx="6">
                  <c:v>4446</c:v>
                </c:pt>
                <c:pt idx="7">
                  <c:v>5542</c:v>
                </c:pt>
                <c:pt idx="8">
                  <c:v>711</c:v>
                </c:pt>
                <c:pt idx="9">
                  <c:v>12356</c:v>
                </c:pt>
                <c:pt idx="10">
                  <c:v>5960</c:v>
                </c:pt>
                <c:pt idx="11">
                  <c:v>1157</c:v>
                </c:pt>
                <c:pt idx="12">
                  <c:v>2815</c:v>
                </c:pt>
                <c:pt idx="13">
                  <c:v>4142</c:v>
                </c:pt>
                <c:pt idx="14">
                  <c:v>2115</c:v>
                </c:pt>
                <c:pt idx="15">
                  <c:v>31820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6E-484F-B775-BC0A042C0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'16'!$AD$6:$AD$21</c:f>
              <c:strCache>
                <c:ptCount val="16"/>
                <c:pt idx="0">
                  <c:v>100%</c:v>
                </c:pt>
                <c:pt idx="1">
                  <c:v>100%</c:v>
                </c:pt>
                <c:pt idx="2">
                  <c:v>79%</c:v>
                </c:pt>
                <c:pt idx="3">
                  <c:v>63%</c:v>
                </c:pt>
                <c:pt idx="4">
                  <c:v>58%</c:v>
                </c:pt>
                <c:pt idx="5">
                  <c:v>38%</c:v>
                </c:pt>
                <c:pt idx="6">
                  <c:v>88%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54%</c:v>
                </c:pt>
                <c:pt idx="11">
                  <c:v>21%</c:v>
                </c:pt>
                <c:pt idx="12">
                  <c:v>58%</c:v>
                </c:pt>
                <c:pt idx="13">
                  <c:v>0%</c:v>
                </c:pt>
                <c:pt idx="14">
                  <c:v>0%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SP-A/B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'16'!$AD$6:$AD$21</c:f>
              <c:numCache>
                <c:formatCode>0%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0.79166666666666663</c:v>
                </c:pt>
                <c:pt idx="3">
                  <c:v>0.625</c:v>
                </c:pt>
                <c:pt idx="4">
                  <c:v>0.58333333333333337</c:v>
                </c:pt>
                <c:pt idx="5">
                  <c:v>0.375</c:v>
                </c:pt>
                <c:pt idx="6">
                  <c:v>0.875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0.54166666666666663</c:v>
                </c:pt>
                <c:pt idx="11">
                  <c:v>0.20833333333333334</c:v>
                </c:pt>
                <c:pt idx="12">
                  <c:v>0.58333333333333337</c:v>
                </c:pt>
                <c:pt idx="13">
                  <c:v>0</c:v>
                </c:pt>
                <c:pt idx="14">
                  <c:v>0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58-41BD-8455-951770529B7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58-41BD-8455-951770529B7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SP-A/B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'16'!$AE$6:$AE$21</c:f>
              <c:numCache>
                <c:formatCode>0%</c:formatCode>
                <c:ptCount val="16"/>
                <c:pt idx="0">
                  <c:v>0.50520833333333326</c:v>
                </c:pt>
                <c:pt idx="1">
                  <c:v>0.50520833333333326</c:v>
                </c:pt>
                <c:pt idx="2">
                  <c:v>0.50520833333333326</c:v>
                </c:pt>
                <c:pt idx="3">
                  <c:v>0.50520833333333326</c:v>
                </c:pt>
                <c:pt idx="4">
                  <c:v>0.50520833333333326</c:v>
                </c:pt>
                <c:pt idx="5">
                  <c:v>0.50520833333333326</c:v>
                </c:pt>
                <c:pt idx="6">
                  <c:v>0.50520833333333326</c:v>
                </c:pt>
                <c:pt idx="7">
                  <c:v>0.50520833333333326</c:v>
                </c:pt>
                <c:pt idx="8">
                  <c:v>0.50520833333333326</c:v>
                </c:pt>
                <c:pt idx="9">
                  <c:v>0.50520833333333326</c:v>
                </c:pt>
                <c:pt idx="10">
                  <c:v>0.50520833333333326</c:v>
                </c:pt>
                <c:pt idx="11">
                  <c:v>0.50520833333333326</c:v>
                </c:pt>
                <c:pt idx="12">
                  <c:v>0.50520833333333326</c:v>
                </c:pt>
                <c:pt idx="13">
                  <c:v>0.50520833333333326</c:v>
                </c:pt>
                <c:pt idx="14">
                  <c:v>0.50520833333333326</c:v>
                </c:pt>
                <c:pt idx="15">
                  <c:v>0.50520833333333326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58-41BD-8455-951770529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0D9-4ABA-8467-809E6F4845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D9-4ABA-8467-809E6F484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0D9-4ABA-8467-809E6F48450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D9-4ABA-8467-809E6F484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SP-A/B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COVER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0">
                  <c:v>563</c:v>
                </c:pt>
                <c:pt idx="1">
                  <c:v>5992</c:v>
                </c:pt>
                <c:pt idx="2">
                  <c:v>4187</c:v>
                </c:pt>
                <c:pt idx="3">
                  <c:v>7524</c:v>
                </c:pt>
                <c:pt idx="6">
                  <c:v>4479</c:v>
                </c:pt>
                <c:pt idx="7">
                  <c:v>5836</c:v>
                </c:pt>
                <c:pt idx="10">
                  <c:v>11958</c:v>
                </c:pt>
                <c:pt idx="11">
                  <c:v>8300</c:v>
                </c:pt>
                <c:pt idx="12">
                  <c:v>450</c:v>
                </c:pt>
                <c:pt idx="13">
                  <c:v>1568</c:v>
                </c:pt>
                <c:pt idx="15">
                  <c:v>33244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D6-43BA-8F73-3F224F339F1E}"/>
            </c:ext>
          </c:extLst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SP-A/B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COVER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563</c:v>
                </c:pt>
                <c:pt idx="1">
                  <c:v>5992</c:v>
                </c:pt>
                <c:pt idx="2">
                  <c:v>4187</c:v>
                </c:pt>
                <c:pt idx="3">
                  <c:v>7524</c:v>
                </c:pt>
                <c:pt idx="4">
                  <c:v>2514</c:v>
                </c:pt>
                <c:pt idx="5">
                  <c:v>2639</c:v>
                </c:pt>
                <c:pt idx="6">
                  <c:v>4479</c:v>
                </c:pt>
                <c:pt idx="7">
                  <c:v>5836</c:v>
                </c:pt>
                <c:pt idx="8">
                  <c:v>711</c:v>
                </c:pt>
                <c:pt idx="9">
                  <c:v>12356</c:v>
                </c:pt>
                <c:pt idx="10">
                  <c:v>11958</c:v>
                </c:pt>
                <c:pt idx="11">
                  <c:v>8300</c:v>
                </c:pt>
                <c:pt idx="12">
                  <c:v>450</c:v>
                </c:pt>
                <c:pt idx="13">
                  <c:v>1568</c:v>
                </c:pt>
                <c:pt idx="14">
                  <c:v>2115</c:v>
                </c:pt>
                <c:pt idx="15">
                  <c:v>33244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D6-43BA-8F73-3F224F339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6"/>
                <c:pt idx="0">
                  <c:v>17%</c:v>
                </c:pt>
                <c:pt idx="1">
                  <c:v>100%</c:v>
                </c:pt>
                <c:pt idx="2">
                  <c:v>88%</c:v>
                </c:pt>
                <c:pt idx="3">
                  <c:v>79%</c:v>
                </c:pt>
                <c:pt idx="4">
                  <c:v>0%</c:v>
                </c:pt>
                <c:pt idx="5">
                  <c:v>0%</c:v>
                </c:pt>
                <c:pt idx="6">
                  <c:v>88%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79%</c:v>
                </c:pt>
                <c:pt idx="12">
                  <c:v>17%</c:v>
                </c:pt>
                <c:pt idx="13">
                  <c:v>29%</c:v>
                </c:pt>
                <c:pt idx="14">
                  <c:v>0%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SP-A/B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COVER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0.16666666666666666</c:v>
                </c:pt>
                <c:pt idx="1">
                  <c:v>1</c:v>
                </c:pt>
                <c:pt idx="2">
                  <c:v>0.875</c:v>
                </c:pt>
                <c:pt idx="3">
                  <c:v>0.79166666666666663</c:v>
                </c:pt>
                <c:pt idx="4">
                  <c:v>0</c:v>
                </c:pt>
                <c:pt idx="5">
                  <c:v>0</c:v>
                </c:pt>
                <c:pt idx="6">
                  <c:v>0.875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0.79166666666666663</c:v>
                </c:pt>
                <c:pt idx="12">
                  <c:v>0.16666666666666666</c:v>
                </c:pt>
                <c:pt idx="13">
                  <c:v>0.29166666666666669</c:v>
                </c:pt>
                <c:pt idx="14">
                  <c:v>0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22-4C35-9DE5-1CCBC04EF82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22-4C35-9DE5-1CCBC04EF82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SP-A/B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COVER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0.46875000000000011</c:v>
                </c:pt>
                <c:pt idx="1">
                  <c:v>0.46875000000000011</c:v>
                </c:pt>
                <c:pt idx="2">
                  <c:v>0.46875000000000011</c:v>
                </c:pt>
                <c:pt idx="3">
                  <c:v>0.46875000000000011</c:v>
                </c:pt>
                <c:pt idx="4">
                  <c:v>0.46875000000000011</c:v>
                </c:pt>
                <c:pt idx="5">
                  <c:v>0.46875000000000011</c:v>
                </c:pt>
                <c:pt idx="6">
                  <c:v>0.46875000000000011</c:v>
                </c:pt>
                <c:pt idx="7">
                  <c:v>0.46875000000000011</c:v>
                </c:pt>
                <c:pt idx="8">
                  <c:v>0.46875000000000011</c:v>
                </c:pt>
                <c:pt idx="9">
                  <c:v>0.46875000000000011</c:v>
                </c:pt>
                <c:pt idx="10">
                  <c:v>0.46875000000000011</c:v>
                </c:pt>
                <c:pt idx="11">
                  <c:v>0.46875000000000011</c:v>
                </c:pt>
                <c:pt idx="12">
                  <c:v>0.46875000000000011</c:v>
                </c:pt>
                <c:pt idx="13">
                  <c:v>0.46875000000000011</c:v>
                </c:pt>
                <c:pt idx="14">
                  <c:v>0.46875000000000011</c:v>
                </c:pt>
                <c:pt idx="15">
                  <c:v>0.46875000000000011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22-4C35-9DE5-1CCBC04EF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SP-A/B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COVER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0">
                  <c:v>563</c:v>
                </c:pt>
                <c:pt idx="1">
                  <c:v>5992</c:v>
                </c:pt>
                <c:pt idx="2">
                  <c:v>4187</c:v>
                </c:pt>
                <c:pt idx="3">
                  <c:v>7524</c:v>
                </c:pt>
                <c:pt idx="6">
                  <c:v>4479</c:v>
                </c:pt>
                <c:pt idx="7">
                  <c:v>5836</c:v>
                </c:pt>
                <c:pt idx="10">
                  <c:v>11958</c:v>
                </c:pt>
                <c:pt idx="11">
                  <c:v>8300</c:v>
                </c:pt>
                <c:pt idx="12">
                  <c:v>450</c:v>
                </c:pt>
                <c:pt idx="13">
                  <c:v>1568</c:v>
                </c:pt>
                <c:pt idx="15">
                  <c:v>33244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1-461D-AAD5-50D983B573B5}"/>
            </c:ext>
          </c:extLst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SP-A/B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COVER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563</c:v>
                </c:pt>
                <c:pt idx="1">
                  <c:v>5992</c:v>
                </c:pt>
                <c:pt idx="2">
                  <c:v>4187</c:v>
                </c:pt>
                <c:pt idx="3">
                  <c:v>7524</c:v>
                </c:pt>
                <c:pt idx="4">
                  <c:v>2514</c:v>
                </c:pt>
                <c:pt idx="5">
                  <c:v>2639</c:v>
                </c:pt>
                <c:pt idx="6">
                  <c:v>4479</c:v>
                </c:pt>
                <c:pt idx="7">
                  <c:v>5836</c:v>
                </c:pt>
                <c:pt idx="8">
                  <c:v>711</c:v>
                </c:pt>
                <c:pt idx="9">
                  <c:v>12356</c:v>
                </c:pt>
                <c:pt idx="10">
                  <c:v>11958</c:v>
                </c:pt>
                <c:pt idx="11">
                  <c:v>8300</c:v>
                </c:pt>
                <c:pt idx="12">
                  <c:v>450</c:v>
                </c:pt>
                <c:pt idx="13">
                  <c:v>1568</c:v>
                </c:pt>
                <c:pt idx="14">
                  <c:v>2115</c:v>
                </c:pt>
                <c:pt idx="15">
                  <c:v>33244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31-461D-AAD5-50D983B57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6"/>
                <c:pt idx="0">
                  <c:v>17%</c:v>
                </c:pt>
                <c:pt idx="1">
                  <c:v>100%</c:v>
                </c:pt>
                <c:pt idx="2">
                  <c:v>88%</c:v>
                </c:pt>
                <c:pt idx="3">
                  <c:v>79%</c:v>
                </c:pt>
                <c:pt idx="4">
                  <c:v>0%</c:v>
                </c:pt>
                <c:pt idx="5">
                  <c:v>0%</c:v>
                </c:pt>
                <c:pt idx="6">
                  <c:v>88%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79%</c:v>
                </c:pt>
                <c:pt idx="12">
                  <c:v>17%</c:v>
                </c:pt>
                <c:pt idx="13">
                  <c:v>29%</c:v>
                </c:pt>
                <c:pt idx="14">
                  <c:v>0%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SP-A/B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COVER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0.16666666666666666</c:v>
                </c:pt>
                <c:pt idx="1">
                  <c:v>1</c:v>
                </c:pt>
                <c:pt idx="2">
                  <c:v>0.875</c:v>
                </c:pt>
                <c:pt idx="3">
                  <c:v>0.79166666666666663</c:v>
                </c:pt>
                <c:pt idx="4">
                  <c:v>0</c:v>
                </c:pt>
                <c:pt idx="5">
                  <c:v>0</c:v>
                </c:pt>
                <c:pt idx="6">
                  <c:v>0.875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0.79166666666666663</c:v>
                </c:pt>
                <c:pt idx="12">
                  <c:v>0.16666666666666666</c:v>
                </c:pt>
                <c:pt idx="13">
                  <c:v>0.29166666666666669</c:v>
                </c:pt>
                <c:pt idx="14">
                  <c:v>0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8-460D-93AD-28F3C60EC73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208-460D-93AD-28F3C60EC73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SP-A/B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COVER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0.46875000000000011</c:v>
                </c:pt>
                <c:pt idx="1">
                  <c:v>0.46875000000000011</c:v>
                </c:pt>
                <c:pt idx="2">
                  <c:v>0.46875000000000011</c:v>
                </c:pt>
                <c:pt idx="3">
                  <c:v>0.46875000000000011</c:v>
                </c:pt>
                <c:pt idx="4">
                  <c:v>0.46875000000000011</c:v>
                </c:pt>
                <c:pt idx="5">
                  <c:v>0.46875000000000011</c:v>
                </c:pt>
                <c:pt idx="6">
                  <c:v>0.46875000000000011</c:v>
                </c:pt>
                <c:pt idx="7">
                  <c:v>0.46875000000000011</c:v>
                </c:pt>
                <c:pt idx="8">
                  <c:v>0.46875000000000011</c:v>
                </c:pt>
                <c:pt idx="9">
                  <c:v>0.46875000000000011</c:v>
                </c:pt>
                <c:pt idx="10">
                  <c:v>0.46875000000000011</c:v>
                </c:pt>
                <c:pt idx="11">
                  <c:v>0.46875000000000011</c:v>
                </c:pt>
                <c:pt idx="12">
                  <c:v>0.46875000000000011</c:v>
                </c:pt>
                <c:pt idx="13">
                  <c:v>0.46875000000000011</c:v>
                </c:pt>
                <c:pt idx="14">
                  <c:v>0.46875000000000011</c:v>
                </c:pt>
                <c:pt idx="15">
                  <c:v>0.46875000000000011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08-460D-93AD-28F3C60EC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CC8-4F72-A089-EB4526233C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C8-4F72-A089-EB4526233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CC8-4F72-A089-EB4526233C7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C8-4F72-A089-EB4526233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0">
                  <c:v>2910</c:v>
                </c:pt>
                <c:pt idx="1">
                  <c:v>4796</c:v>
                </c:pt>
                <c:pt idx="2">
                  <c:v>4063</c:v>
                </c:pt>
                <c:pt idx="3">
                  <c:v>9466</c:v>
                </c:pt>
                <c:pt idx="5">
                  <c:v>2301</c:v>
                </c:pt>
                <c:pt idx="6">
                  <c:v>3099</c:v>
                </c:pt>
                <c:pt idx="7">
                  <c:v>5860</c:v>
                </c:pt>
                <c:pt idx="10">
                  <c:v>10860</c:v>
                </c:pt>
                <c:pt idx="11">
                  <c:v>7314</c:v>
                </c:pt>
                <c:pt idx="12">
                  <c:v>500</c:v>
                </c:pt>
                <c:pt idx="13">
                  <c:v>3700</c:v>
                </c:pt>
                <c:pt idx="14">
                  <c:v>2480</c:v>
                </c:pt>
                <c:pt idx="15">
                  <c:v>32052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E-4350-B574-71E34115C4E7}"/>
            </c:ext>
          </c:extLst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2910</c:v>
                </c:pt>
                <c:pt idx="1">
                  <c:v>4796</c:v>
                </c:pt>
                <c:pt idx="2">
                  <c:v>4063</c:v>
                </c:pt>
                <c:pt idx="3">
                  <c:v>9466</c:v>
                </c:pt>
                <c:pt idx="4">
                  <c:v>2514</c:v>
                </c:pt>
                <c:pt idx="5">
                  <c:v>2301</c:v>
                </c:pt>
                <c:pt idx="6">
                  <c:v>3099</c:v>
                </c:pt>
                <c:pt idx="7">
                  <c:v>5860</c:v>
                </c:pt>
                <c:pt idx="8">
                  <c:v>711</c:v>
                </c:pt>
                <c:pt idx="9">
                  <c:v>12356</c:v>
                </c:pt>
                <c:pt idx="10">
                  <c:v>10860</c:v>
                </c:pt>
                <c:pt idx="11">
                  <c:v>7314</c:v>
                </c:pt>
                <c:pt idx="12">
                  <c:v>500</c:v>
                </c:pt>
                <c:pt idx="13">
                  <c:v>3700</c:v>
                </c:pt>
                <c:pt idx="14">
                  <c:v>2480</c:v>
                </c:pt>
                <c:pt idx="15">
                  <c:v>32052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6E-4350-B574-71E34115C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6"/>
                <c:pt idx="0">
                  <c:v>58%</c:v>
                </c:pt>
                <c:pt idx="1">
                  <c:v>79%</c:v>
                </c:pt>
                <c:pt idx="2">
                  <c:v>71%</c:v>
                </c:pt>
                <c:pt idx="3">
                  <c:v>88%</c:v>
                </c:pt>
                <c:pt idx="4">
                  <c:v>0%</c:v>
                </c:pt>
                <c:pt idx="5">
                  <c:v>50%</c:v>
                </c:pt>
                <c:pt idx="6">
                  <c:v>58%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67%</c:v>
                </c:pt>
                <c:pt idx="12">
                  <c:v>17%</c:v>
                </c:pt>
                <c:pt idx="13">
                  <c:v>67%</c:v>
                </c:pt>
                <c:pt idx="14">
                  <c:v>42%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0.58333333333333337</c:v>
                </c:pt>
                <c:pt idx="1">
                  <c:v>0.79166666666666663</c:v>
                </c:pt>
                <c:pt idx="2">
                  <c:v>0.70833333333333337</c:v>
                </c:pt>
                <c:pt idx="3">
                  <c:v>0.875</c:v>
                </c:pt>
                <c:pt idx="4">
                  <c:v>0</c:v>
                </c:pt>
                <c:pt idx="5">
                  <c:v>0.5</c:v>
                </c:pt>
                <c:pt idx="6">
                  <c:v>0.58333333333333337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0.66666666666666663</c:v>
                </c:pt>
                <c:pt idx="12">
                  <c:v>0.16666666666666666</c:v>
                </c:pt>
                <c:pt idx="13">
                  <c:v>0.66666666666666663</c:v>
                </c:pt>
                <c:pt idx="14">
                  <c:v>0.41666666666666669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6A-4DB8-BBC8-92612687432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96A-4DB8-BBC8-92612687432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0.53125000000000011</c:v>
                </c:pt>
                <c:pt idx="1">
                  <c:v>0.53125000000000011</c:v>
                </c:pt>
                <c:pt idx="2">
                  <c:v>0.53125000000000011</c:v>
                </c:pt>
                <c:pt idx="3">
                  <c:v>0.53125000000000011</c:v>
                </c:pt>
                <c:pt idx="4">
                  <c:v>0.53125000000000011</c:v>
                </c:pt>
                <c:pt idx="5">
                  <c:v>0.53125000000000011</c:v>
                </c:pt>
                <c:pt idx="6">
                  <c:v>0.53125000000000011</c:v>
                </c:pt>
                <c:pt idx="7">
                  <c:v>0.53125000000000011</c:v>
                </c:pt>
                <c:pt idx="8">
                  <c:v>0.53125000000000011</c:v>
                </c:pt>
                <c:pt idx="9">
                  <c:v>0.53125000000000011</c:v>
                </c:pt>
                <c:pt idx="10">
                  <c:v>0.53125000000000011</c:v>
                </c:pt>
                <c:pt idx="11">
                  <c:v>0.53125000000000011</c:v>
                </c:pt>
                <c:pt idx="12">
                  <c:v>0.53125000000000011</c:v>
                </c:pt>
                <c:pt idx="13">
                  <c:v>0.53125000000000011</c:v>
                </c:pt>
                <c:pt idx="14">
                  <c:v>0.53125000000000011</c:v>
                </c:pt>
                <c:pt idx="15">
                  <c:v>0.53125000000000011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6A-4DB8-BBC8-926126874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0">
                  <c:v>2910</c:v>
                </c:pt>
                <c:pt idx="1">
                  <c:v>4796</c:v>
                </c:pt>
                <c:pt idx="2">
                  <c:v>4063</c:v>
                </c:pt>
                <c:pt idx="3">
                  <c:v>9466</c:v>
                </c:pt>
                <c:pt idx="5">
                  <c:v>2301</c:v>
                </c:pt>
                <c:pt idx="6">
                  <c:v>3099</c:v>
                </c:pt>
                <c:pt idx="7">
                  <c:v>5860</c:v>
                </c:pt>
                <c:pt idx="10">
                  <c:v>10860</c:v>
                </c:pt>
                <c:pt idx="11">
                  <c:v>7314</c:v>
                </c:pt>
                <c:pt idx="12">
                  <c:v>500</c:v>
                </c:pt>
                <c:pt idx="13">
                  <c:v>3700</c:v>
                </c:pt>
                <c:pt idx="14">
                  <c:v>2480</c:v>
                </c:pt>
                <c:pt idx="15">
                  <c:v>32052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A-4CF6-9323-5981B068E4C6}"/>
            </c:ext>
          </c:extLst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2910</c:v>
                </c:pt>
                <c:pt idx="1">
                  <c:v>4796</c:v>
                </c:pt>
                <c:pt idx="2">
                  <c:v>4063</c:v>
                </c:pt>
                <c:pt idx="3">
                  <c:v>9466</c:v>
                </c:pt>
                <c:pt idx="4">
                  <c:v>2514</c:v>
                </c:pt>
                <c:pt idx="5">
                  <c:v>2301</c:v>
                </c:pt>
                <c:pt idx="6">
                  <c:v>3099</c:v>
                </c:pt>
                <c:pt idx="7">
                  <c:v>5860</c:v>
                </c:pt>
                <c:pt idx="8">
                  <c:v>711</c:v>
                </c:pt>
                <c:pt idx="9">
                  <c:v>12356</c:v>
                </c:pt>
                <c:pt idx="10">
                  <c:v>10860</c:v>
                </c:pt>
                <c:pt idx="11">
                  <c:v>7314</c:v>
                </c:pt>
                <c:pt idx="12">
                  <c:v>500</c:v>
                </c:pt>
                <c:pt idx="13">
                  <c:v>3700</c:v>
                </c:pt>
                <c:pt idx="14">
                  <c:v>2480</c:v>
                </c:pt>
                <c:pt idx="15">
                  <c:v>32052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3A-4CF6-9323-5981B068E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6"/>
                <c:pt idx="0">
                  <c:v>58%</c:v>
                </c:pt>
                <c:pt idx="1">
                  <c:v>79%</c:v>
                </c:pt>
                <c:pt idx="2">
                  <c:v>71%</c:v>
                </c:pt>
                <c:pt idx="3">
                  <c:v>88%</c:v>
                </c:pt>
                <c:pt idx="4">
                  <c:v>0%</c:v>
                </c:pt>
                <c:pt idx="5">
                  <c:v>50%</c:v>
                </c:pt>
                <c:pt idx="6">
                  <c:v>58%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67%</c:v>
                </c:pt>
                <c:pt idx="12">
                  <c:v>17%</c:v>
                </c:pt>
                <c:pt idx="13">
                  <c:v>67%</c:v>
                </c:pt>
                <c:pt idx="14">
                  <c:v>42%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0.58333333333333337</c:v>
                </c:pt>
                <c:pt idx="1">
                  <c:v>0.79166666666666663</c:v>
                </c:pt>
                <c:pt idx="2">
                  <c:v>0.70833333333333337</c:v>
                </c:pt>
                <c:pt idx="3">
                  <c:v>0.875</c:v>
                </c:pt>
                <c:pt idx="4">
                  <c:v>0</c:v>
                </c:pt>
                <c:pt idx="5">
                  <c:v>0.5</c:v>
                </c:pt>
                <c:pt idx="6">
                  <c:v>0.58333333333333337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0.66666666666666663</c:v>
                </c:pt>
                <c:pt idx="12">
                  <c:v>0.16666666666666666</c:v>
                </c:pt>
                <c:pt idx="13">
                  <c:v>0.66666666666666663</c:v>
                </c:pt>
                <c:pt idx="14">
                  <c:v>0.41666666666666669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5D-42EE-9E64-FCAD84774FC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5D-42EE-9E64-FCAD84774FC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0.53125000000000011</c:v>
                </c:pt>
                <c:pt idx="1">
                  <c:v>0.53125000000000011</c:v>
                </c:pt>
                <c:pt idx="2">
                  <c:v>0.53125000000000011</c:v>
                </c:pt>
                <c:pt idx="3">
                  <c:v>0.53125000000000011</c:v>
                </c:pt>
                <c:pt idx="4">
                  <c:v>0.53125000000000011</c:v>
                </c:pt>
                <c:pt idx="5">
                  <c:v>0.53125000000000011</c:v>
                </c:pt>
                <c:pt idx="6">
                  <c:v>0.53125000000000011</c:v>
                </c:pt>
                <c:pt idx="7">
                  <c:v>0.53125000000000011</c:v>
                </c:pt>
                <c:pt idx="8">
                  <c:v>0.53125000000000011</c:v>
                </c:pt>
                <c:pt idx="9">
                  <c:v>0.53125000000000011</c:v>
                </c:pt>
                <c:pt idx="10">
                  <c:v>0.53125000000000011</c:v>
                </c:pt>
                <c:pt idx="11">
                  <c:v>0.53125000000000011</c:v>
                </c:pt>
                <c:pt idx="12">
                  <c:v>0.53125000000000011</c:v>
                </c:pt>
                <c:pt idx="13">
                  <c:v>0.53125000000000011</c:v>
                </c:pt>
                <c:pt idx="14">
                  <c:v>0.53125000000000011</c:v>
                </c:pt>
                <c:pt idx="15">
                  <c:v>0.53125000000000011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5D-42EE-9E64-FCAD84774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6B7-406C-8FA5-8A8B91DC83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B7-406C-8FA5-8A8B91DC8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6B7-406C-8FA5-8A8B91DC835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B7-406C-8FA5-8A8B91DC8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'19'!$L$6:$L$21</c:f>
              <c:numCache>
                <c:formatCode>_(* #,##0_);_(* \(#,##0\);_(* "-"_);_(@_)</c:formatCode>
                <c:ptCount val="16"/>
                <c:pt idx="0">
                  <c:v>5618</c:v>
                </c:pt>
                <c:pt idx="1">
                  <c:v>6025</c:v>
                </c:pt>
                <c:pt idx="2">
                  <c:v>5773</c:v>
                </c:pt>
                <c:pt idx="3">
                  <c:v>7966</c:v>
                </c:pt>
                <c:pt idx="5">
                  <c:v>2243</c:v>
                </c:pt>
                <c:pt idx="6">
                  <c:v>5465</c:v>
                </c:pt>
                <c:pt idx="7">
                  <c:v>5835</c:v>
                </c:pt>
                <c:pt idx="10">
                  <c:v>11844</c:v>
                </c:pt>
                <c:pt idx="12">
                  <c:v>6503</c:v>
                </c:pt>
                <c:pt idx="13">
                  <c:v>4581</c:v>
                </c:pt>
                <c:pt idx="14">
                  <c:v>2319</c:v>
                </c:pt>
                <c:pt idx="15">
                  <c:v>33372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0-4C11-AE0F-03C227324EDD}"/>
            </c:ext>
          </c:extLst>
        </c:ser>
        <c:ser>
          <c:idx val="1"/>
          <c:order val="1"/>
          <c:tx>
            <c:v>계획</c:v>
          </c:tx>
          <c:cat>
            <c:strRef>
              <c:f>'19'!$D$6:$D$21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'19'!$J$6:$J$21</c:f>
              <c:numCache>
                <c:formatCode>_(* #,##0_);_(* \(#,##0\);_(* "-"_);_(@_)</c:formatCode>
                <c:ptCount val="16"/>
                <c:pt idx="0">
                  <c:v>5618</c:v>
                </c:pt>
                <c:pt idx="1">
                  <c:v>6025</c:v>
                </c:pt>
                <c:pt idx="2">
                  <c:v>5773</c:v>
                </c:pt>
                <c:pt idx="3">
                  <c:v>7966</c:v>
                </c:pt>
                <c:pt idx="4">
                  <c:v>2514</c:v>
                </c:pt>
                <c:pt idx="5">
                  <c:v>2243</c:v>
                </c:pt>
                <c:pt idx="6">
                  <c:v>5465</c:v>
                </c:pt>
                <c:pt idx="7">
                  <c:v>5835</c:v>
                </c:pt>
                <c:pt idx="8">
                  <c:v>711</c:v>
                </c:pt>
                <c:pt idx="9">
                  <c:v>12356</c:v>
                </c:pt>
                <c:pt idx="10">
                  <c:v>11844</c:v>
                </c:pt>
                <c:pt idx="11">
                  <c:v>7314</c:v>
                </c:pt>
                <c:pt idx="12">
                  <c:v>6503</c:v>
                </c:pt>
                <c:pt idx="13">
                  <c:v>4581</c:v>
                </c:pt>
                <c:pt idx="14">
                  <c:v>2319</c:v>
                </c:pt>
                <c:pt idx="15">
                  <c:v>33372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D0-4C11-AE0F-03C227324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'19'!$AD$6:$AD$21</c:f>
              <c:strCache>
                <c:ptCount val="16"/>
                <c:pt idx="0">
                  <c:v>100%</c:v>
                </c:pt>
                <c:pt idx="1">
                  <c:v>100%</c:v>
                </c:pt>
                <c:pt idx="2">
                  <c:v>100%</c:v>
                </c:pt>
                <c:pt idx="3">
                  <c:v>83%</c:v>
                </c:pt>
                <c:pt idx="4">
                  <c:v>0%</c:v>
                </c:pt>
                <c:pt idx="5">
                  <c:v>46%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92%</c:v>
                </c:pt>
                <c:pt idx="13">
                  <c:v>83%</c:v>
                </c:pt>
                <c:pt idx="14">
                  <c:v>42%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'19'!$AD$6:$AD$21</c:f>
              <c:numCache>
                <c:formatCode>0%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0.83333333333333337</c:v>
                </c:pt>
                <c:pt idx="4">
                  <c:v>0</c:v>
                </c:pt>
                <c:pt idx="5">
                  <c:v>0.45833333333333331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0.91666666666666663</c:v>
                </c:pt>
                <c:pt idx="13">
                  <c:v>0.83333333333333337</c:v>
                </c:pt>
                <c:pt idx="14">
                  <c:v>0.41666666666666669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4-431A-9031-91417EDC3B0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84-431A-9031-91417EDC3B0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'19'!$AE$6:$AE$21</c:f>
              <c:numCache>
                <c:formatCode>0%</c:formatCode>
                <c:ptCount val="16"/>
                <c:pt idx="0">
                  <c:v>0.625</c:v>
                </c:pt>
                <c:pt idx="1">
                  <c:v>0.625</c:v>
                </c:pt>
                <c:pt idx="2">
                  <c:v>0.625</c:v>
                </c:pt>
                <c:pt idx="3">
                  <c:v>0.625</c:v>
                </c:pt>
                <c:pt idx="4">
                  <c:v>0.625</c:v>
                </c:pt>
                <c:pt idx="5">
                  <c:v>0.625</c:v>
                </c:pt>
                <c:pt idx="6">
                  <c:v>0.625</c:v>
                </c:pt>
                <c:pt idx="7">
                  <c:v>0.625</c:v>
                </c:pt>
                <c:pt idx="8">
                  <c:v>0.625</c:v>
                </c:pt>
                <c:pt idx="9">
                  <c:v>0.625</c:v>
                </c:pt>
                <c:pt idx="10">
                  <c:v>0.625</c:v>
                </c:pt>
                <c:pt idx="11">
                  <c:v>0.625</c:v>
                </c:pt>
                <c:pt idx="12">
                  <c:v>0.625</c:v>
                </c:pt>
                <c:pt idx="13">
                  <c:v>0.625</c:v>
                </c:pt>
                <c:pt idx="14">
                  <c:v>0.625</c:v>
                </c:pt>
                <c:pt idx="15">
                  <c:v>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84-431A-9031-91417EDC3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'19'!$L$6:$L$21</c:f>
              <c:numCache>
                <c:formatCode>_(* #,##0_);_(* \(#,##0\);_(* "-"_);_(@_)</c:formatCode>
                <c:ptCount val="16"/>
                <c:pt idx="0">
                  <c:v>5618</c:v>
                </c:pt>
                <c:pt idx="1">
                  <c:v>6025</c:v>
                </c:pt>
                <c:pt idx="2">
                  <c:v>5773</c:v>
                </c:pt>
                <c:pt idx="3">
                  <c:v>7966</c:v>
                </c:pt>
                <c:pt idx="5">
                  <c:v>2243</c:v>
                </c:pt>
                <c:pt idx="6">
                  <c:v>5465</c:v>
                </c:pt>
                <c:pt idx="7">
                  <c:v>5835</c:v>
                </c:pt>
                <c:pt idx="10">
                  <c:v>11844</c:v>
                </c:pt>
                <c:pt idx="12">
                  <c:v>6503</c:v>
                </c:pt>
                <c:pt idx="13">
                  <c:v>4581</c:v>
                </c:pt>
                <c:pt idx="14">
                  <c:v>2319</c:v>
                </c:pt>
                <c:pt idx="15">
                  <c:v>33372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F-43A6-A772-0FC4F3E3B46D}"/>
            </c:ext>
          </c:extLst>
        </c:ser>
        <c:ser>
          <c:idx val="1"/>
          <c:order val="1"/>
          <c:tx>
            <c:v>계획</c:v>
          </c:tx>
          <c:cat>
            <c:strRef>
              <c:f>'19'!$D$6:$D$21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'19'!$J$6:$J$21</c:f>
              <c:numCache>
                <c:formatCode>_(* #,##0_);_(* \(#,##0\);_(* "-"_);_(@_)</c:formatCode>
                <c:ptCount val="16"/>
                <c:pt idx="0">
                  <c:v>5618</c:v>
                </c:pt>
                <c:pt idx="1">
                  <c:v>6025</c:v>
                </c:pt>
                <c:pt idx="2">
                  <c:v>5773</c:v>
                </c:pt>
                <c:pt idx="3">
                  <c:v>7966</c:v>
                </c:pt>
                <c:pt idx="4">
                  <c:v>2514</c:v>
                </c:pt>
                <c:pt idx="5">
                  <c:v>2243</c:v>
                </c:pt>
                <c:pt idx="6">
                  <c:v>5465</c:v>
                </c:pt>
                <c:pt idx="7">
                  <c:v>5835</c:v>
                </c:pt>
                <c:pt idx="8">
                  <c:v>711</c:v>
                </c:pt>
                <c:pt idx="9">
                  <c:v>12356</c:v>
                </c:pt>
                <c:pt idx="10">
                  <c:v>11844</c:v>
                </c:pt>
                <c:pt idx="11">
                  <c:v>7314</c:v>
                </c:pt>
                <c:pt idx="12">
                  <c:v>6503</c:v>
                </c:pt>
                <c:pt idx="13">
                  <c:v>4581</c:v>
                </c:pt>
                <c:pt idx="14">
                  <c:v>2319</c:v>
                </c:pt>
                <c:pt idx="15">
                  <c:v>33372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4F-43A6-A772-0FC4F3E3B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'19'!$AD$6:$AD$21</c:f>
              <c:strCache>
                <c:ptCount val="16"/>
                <c:pt idx="0">
                  <c:v>100%</c:v>
                </c:pt>
                <c:pt idx="1">
                  <c:v>100%</c:v>
                </c:pt>
                <c:pt idx="2">
                  <c:v>100%</c:v>
                </c:pt>
                <c:pt idx="3">
                  <c:v>83%</c:v>
                </c:pt>
                <c:pt idx="4">
                  <c:v>0%</c:v>
                </c:pt>
                <c:pt idx="5">
                  <c:v>46%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92%</c:v>
                </c:pt>
                <c:pt idx="13">
                  <c:v>83%</c:v>
                </c:pt>
                <c:pt idx="14">
                  <c:v>42%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'19'!$AD$6:$AD$21</c:f>
              <c:numCache>
                <c:formatCode>0%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0.83333333333333337</c:v>
                </c:pt>
                <c:pt idx="4">
                  <c:v>0</c:v>
                </c:pt>
                <c:pt idx="5">
                  <c:v>0.45833333333333331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0.91666666666666663</c:v>
                </c:pt>
                <c:pt idx="13">
                  <c:v>0.83333333333333337</c:v>
                </c:pt>
                <c:pt idx="14">
                  <c:v>0.41666666666666669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0B-4D26-A68E-6D0126F5388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0B-4D26-A68E-6D0126F5388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FLOATING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'19'!$AE$6:$AE$21</c:f>
              <c:numCache>
                <c:formatCode>0%</c:formatCode>
                <c:ptCount val="16"/>
                <c:pt idx="0">
                  <c:v>0.625</c:v>
                </c:pt>
                <c:pt idx="1">
                  <c:v>0.625</c:v>
                </c:pt>
                <c:pt idx="2">
                  <c:v>0.625</c:v>
                </c:pt>
                <c:pt idx="3">
                  <c:v>0.625</c:v>
                </c:pt>
                <c:pt idx="4">
                  <c:v>0.625</c:v>
                </c:pt>
                <c:pt idx="5">
                  <c:v>0.625</c:v>
                </c:pt>
                <c:pt idx="6">
                  <c:v>0.625</c:v>
                </c:pt>
                <c:pt idx="7">
                  <c:v>0.625</c:v>
                </c:pt>
                <c:pt idx="8">
                  <c:v>0.625</c:v>
                </c:pt>
                <c:pt idx="9">
                  <c:v>0.625</c:v>
                </c:pt>
                <c:pt idx="10">
                  <c:v>0.625</c:v>
                </c:pt>
                <c:pt idx="11">
                  <c:v>0.625</c:v>
                </c:pt>
                <c:pt idx="12">
                  <c:v>0.625</c:v>
                </c:pt>
                <c:pt idx="13">
                  <c:v>0.625</c:v>
                </c:pt>
                <c:pt idx="14">
                  <c:v>0.625</c:v>
                </c:pt>
                <c:pt idx="15">
                  <c:v>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0B-4D26-A68E-6D0126F53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0BB-4B54-8BA8-0696C81CFA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BB-4B54-8BA8-0696C81CF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0BB-4B54-8BA8-0696C81CFA3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BB-4B54-8BA8-0696C81CF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F/A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0">
                  <c:v>1585</c:v>
                </c:pt>
                <c:pt idx="1">
                  <c:v>5646</c:v>
                </c:pt>
                <c:pt idx="2">
                  <c:v>2936</c:v>
                </c:pt>
                <c:pt idx="3">
                  <c:v>8758</c:v>
                </c:pt>
                <c:pt idx="6">
                  <c:v>4960</c:v>
                </c:pt>
                <c:pt idx="7">
                  <c:v>5890</c:v>
                </c:pt>
                <c:pt idx="8">
                  <c:v>153</c:v>
                </c:pt>
                <c:pt idx="10">
                  <c:v>6322</c:v>
                </c:pt>
                <c:pt idx="12">
                  <c:v>6097</c:v>
                </c:pt>
                <c:pt idx="13">
                  <c:v>5461</c:v>
                </c:pt>
                <c:pt idx="14">
                  <c:v>1607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73-4050-92E5-AF48B9228ED1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F/A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1585</c:v>
                </c:pt>
                <c:pt idx="1">
                  <c:v>5646</c:v>
                </c:pt>
                <c:pt idx="2">
                  <c:v>2936</c:v>
                </c:pt>
                <c:pt idx="3">
                  <c:v>8758</c:v>
                </c:pt>
                <c:pt idx="4">
                  <c:v>2514</c:v>
                </c:pt>
                <c:pt idx="5">
                  <c:v>2243</c:v>
                </c:pt>
                <c:pt idx="6">
                  <c:v>4960</c:v>
                </c:pt>
                <c:pt idx="7">
                  <c:v>5890</c:v>
                </c:pt>
                <c:pt idx="8">
                  <c:v>153</c:v>
                </c:pt>
                <c:pt idx="9">
                  <c:v>12356</c:v>
                </c:pt>
                <c:pt idx="10">
                  <c:v>6322</c:v>
                </c:pt>
                <c:pt idx="11">
                  <c:v>7314</c:v>
                </c:pt>
                <c:pt idx="12">
                  <c:v>6097</c:v>
                </c:pt>
                <c:pt idx="13">
                  <c:v>5461</c:v>
                </c:pt>
                <c:pt idx="14">
                  <c:v>1607</c:v>
                </c:pt>
                <c:pt idx="15">
                  <c:v>33372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73-4050-92E5-AF48B9228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38%</c:v>
                </c:pt>
                <c:pt idx="1">
                  <c:v>88%</c:v>
                </c:pt>
                <c:pt idx="2">
                  <c:v>75%</c:v>
                </c:pt>
                <c:pt idx="3">
                  <c:v>92%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17%</c:v>
                </c:pt>
                <c:pt idx="9">
                  <c:v>0%</c:v>
                </c:pt>
                <c:pt idx="10">
                  <c:v>75%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38%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F/A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0.375</c:v>
                </c:pt>
                <c:pt idx="1">
                  <c:v>0.875</c:v>
                </c:pt>
                <c:pt idx="2">
                  <c:v>0.75</c:v>
                </c:pt>
                <c:pt idx="3">
                  <c:v>0.91666666666666663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0.16666666666666666</c:v>
                </c:pt>
                <c:pt idx="9">
                  <c:v>0</c:v>
                </c:pt>
                <c:pt idx="10">
                  <c:v>0.75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0.375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57-402C-9B0E-5334B8EE183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457-402C-9B0E-5334B8EE18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F/A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0.51302083333333326</c:v>
                </c:pt>
                <c:pt idx="1">
                  <c:v>0.51302083333333326</c:v>
                </c:pt>
                <c:pt idx="2">
                  <c:v>0.51302083333333326</c:v>
                </c:pt>
                <c:pt idx="3">
                  <c:v>0.51302083333333326</c:v>
                </c:pt>
                <c:pt idx="4">
                  <c:v>0.51302083333333326</c:v>
                </c:pt>
                <c:pt idx="5">
                  <c:v>0.51302083333333326</c:v>
                </c:pt>
                <c:pt idx="6">
                  <c:v>0.51302083333333326</c:v>
                </c:pt>
                <c:pt idx="7">
                  <c:v>0.51302083333333326</c:v>
                </c:pt>
                <c:pt idx="8">
                  <c:v>0.51302083333333326</c:v>
                </c:pt>
                <c:pt idx="9">
                  <c:v>0.51302083333333326</c:v>
                </c:pt>
                <c:pt idx="10">
                  <c:v>0.51302083333333326</c:v>
                </c:pt>
                <c:pt idx="11">
                  <c:v>0.51302083333333326</c:v>
                </c:pt>
                <c:pt idx="12">
                  <c:v>0.51302083333333326</c:v>
                </c:pt>
                <c:pt idx="13">
                  <c:v>0.51302083333333326</c:v>
                </c:pt>
                <c:pt idx="14">
                  <c:v>0.51302083333333326</c:v>
                </c:pt>
                <c:pt idx="15">
                  <c:v>0.51302083333333326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57-402C-9B0E-5334B8EE1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F/A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0">
                  <c:v>1585</c:v>
                </c:pt>
                <c:pt idx="1">
                  <c:v>5646</c:v>
                </c:pt>
                <c:pt idx="2">
                  <c:v>2936</c:v>
                </c:pt>
                <c:pt idx="3">
                  <c:v>8758</c:v>
                </c:pt>
                <c:pt idx="6">
                  <c:v>4960</c:v>
                </c:pt>
                <c:pt idx="7">
                  <c:v>5890</c:v>
                </c:pt>
                <c:pt idx="8">
                  <c:v>153</c:v>
                </c:pt>
                <c:pt idx="10">
                  <c:v>6322</c:v>
                </c:pt>
                <c:pt idx="12">
                  <c:v>6097</c:v>
                </c:pt>
                <c:pt idx="13">
                  <c:v>5461</c:v>
                </c:pt>
                <c:pt idx="14">
                  <c:v>1607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7B-426C-97DE-A90802A33C14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F/A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1585</c:v>
                </c:pt>
                <c:pt idx="1">
                  <c:v>5646</c:v>
                </c:pt>
                <c:pt idx="2">
                  <c:v>2936</c:v>
                </c:pt>
                <c:pt idx="3">
                  <c:v>8758</c:v>
                </c:pt>
                <c:pt idx="4">
                  <c:v>2514</c:v>
                </c:pt>
                <c:pt idx="5">
                  <c:v>2243</c:v>
                </c:pt>
                <c:pt idx="6">
                  <c:v>4960</c:v>
                </c:pt>
                <c:pt idx="7">
                  <c:v>5890</c:v>
                </c:pt>
                <c:pt idx="8">
                  <c:v>153</c:v>
                </c:pt>
                <c:pt idx="9">
                  <c:v>12356</c:v>
                </c:pt>
                <c:pt idx="10">
                  <c:v>6322</c:v>
                </c:pt>
                <c:pt idx="11">
                  <c:v>7314</c:v>
                </c:pt>
                <c:pt idx="12">
                  <c:v>6097</c:v>
                </c:pt>
                <c:pt idx="13">
                  <c:v>5461</c:v>
                </c:pt>
                <c:pt idx="14">
                  <c:v>1607</c:v>
                </c:pt>
                <c:pt idx="15">
                  <c:v>33372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7B-426C-97DE-A90802A33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38%</c:v>
                </c:pt>
                <c:pt idx="1">
                  <c:v>88%</c:v>
                </c:pt>
                <c:pt idx="2">
                  <c:v>75%</c:v>
                </c:pt>
                <c:pt idx="3">
                  <c:v>92%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17%</c:v>
                </c:pt>
                <c:pt idx="9">
                  <c:v>0%</c:v>
                </c:pt>
                <c:pt idx="10">
                  <c:v>75%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38%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F/A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0.375</c:v>
                </c:pt>
                <c:pt idx="1">
                  <c:v>0.875</c:v>
                </c:pt>
                <c:pt idx="2">
                  <c:v>0.75</c:v>
                </c:pt>
                <c:pt idx="3">
                  <c:v>0.91666666666666663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0.16666666666666666</c:v>
                </c:pt>
                <c:pt idx="9">
                  <c:v>0</c:v>
                </c:pt>
                <c:pt idx="10">
                  <c:v>0.75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0.375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1B-4E70-8AFD-78BAB7F39E9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1B-4E70-8AFD-78BAB7F39E9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F/A</c:v>
                </c:pt>
                <c:pt idx="1">
                  <c:v>ACTUATOR</c:v>
                </c:pt>
                <c:pt idx="2">
                  <c:v>SLIDER</c:v>
                </c:pt>
                <c:pt idx="3">
                  <c:v>BASE</c:v>
                </c:pt>
                <c:pt idx="4">
                  <c:v>lid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LATCH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0.51302083333333326</c:v>
                </c:pt>
                <c:pt idx="1">
                  <c:v>0.51302083333333326</c:v>
                </c:pt>
                <c:pt idx="2">
                  <c:v>0.51302083333333326</c:v>
                </c:pt>
                <c:pt idx="3">
                  <c:v>0.51302083333333326</c:v>
                </c:pt>
                <c:pt idx="4">
                  <c:v>0.51302083333333326</c:v>
                </c:pt>
                <c:pt idx="5">
                  <c:v>0.51302083333333326</c:v>
                </c:pt>
                <c:pt idx="6">
                  <c:v>0.51302083333333326</c:v>
                </c:pt>
                <c:pt idx="7">
                  <c:v>0.51302083333333326</c:v>
                </c:pt>
                <c:pt idx="8">
                  <c:v>0.51302083333333326</c:v>
                </c:pt>
                <c:pt idx="9">
                  <c:v>0.51302083333333326</c:v>
                </c:pt>
                <c:pt idx="10">
                  <c:v>0.51302083333333326</c:v>
                </c:pt>
                <c:pt idx="11">
                  <c:v>0.51302083333333326</c:v>
                </c:pt>
                <c:pt idx="12">
                  <c:v>0.51302083333333326</c:v>
                </c:pt>
                <c:pt idx="13">
                  <c:v>0.51302083333333326</c:v>
                </c:pt>
                <c:pt idx="14">
                  <c:v>0.51302083333333326</c:v>
                </c:pt>
                <c:pt idx="15">
                  <c:v>0.51302083333333326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1B-4E70-8AFD-78BAB7F39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FFB-4B03-97F6-CB833C373B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FB-4B03-97F6-CB833C373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FFB-4B03-97F6-CB833C373B5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FB-4B03-97F6-CB833C373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6"/>
                <c:pt idx="0">
                  <c:v>F/A</c:v>
                </c:pt>
                <c:pt idx="1">
                  <c:v>ACTUATOR</c:v>
                </c:pt>
                <c:pt idx="2">
                  <c:v>SLIDER</c:v>
                </c:pt>
                <c:pt idx="4">
                  <c:v>5LEAD</c:v>
                </c:pt>
                <c:pt idx="5">
                  <c:v>STOPPPER</c:v>
                </c:pt>
                <c:pt idx="6">
                  <c:v>BOTTOM</c:v>
                </c:pt>
                <c:pt idx="7">
                  <c:v>SLIDER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STOPPPER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1">
                  <c:v>5542</c:v>
                </c:pt>
                <c:pt idx="2">
                  <c:v>2232</c:v>
                </c:pt>
                <c:pt idx="3">
                  <c:v>5408</c:v>
                </c:pt>
                <c:pt idx="4">
                  <c:v>1356</c:v>
                </c:pt>
                <c:pt idx="5">
                  <c:v>5096</c:v>
                </c:pt>
                <c:pt idx="7">
                  <c:v>2115</c:v>
                </c:pt>
                <c:pt idx="8">
                  <c:v>5616</c:v>
                </c:pt>
                <c:pt idx="9">
                  <c:v>893</c:v>
                </c:pt>
                <c:pt idx="11">
                  <c:v>2071</c:v>
                </c:pt>
                <c:pt idx="13">
                  <c:v>3652</c:v>
                </c:pt>
                <c:pt idx="14">
                  <c:v>825</c:v>
                </c:pt>
                <c:pt idx="16">
                  <c:v>27132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D-47B6-AFB6-E1547CEECEC2}"/>
            </c:ext>
          </c:extLst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6"/>
                <c:pt idx="0">
                  <c:v>F/A</c:v>
                </c:pt>
                <c:pt idx="1">
                  <c:v>ACTUATOR</c:v>
                </c:pt>
                <c:pt idx="2">
                  <c:v>SLIDER</c:v>
                </c:pt>
                <c:pt idx="4">
                  <c:v>5LEAD</c:v>
                </c:pt>
                <c:pt idx="5">
                  <c:v>STOPPPER</c:v>
                </c:pt>
                <c:pt idx="6">
                  <c:v>BOTTOM</c:v>
                </c:pt>
                <c:pt idx="7">
                  <c:v>SLIDER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STOPPPER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1585</c:v>
                </c:pt>
                <c:pt idx="1">
                  <c:v>5542</c:v>
                </c:pt>
                <c:pt idx="2">
                  <c:v>2232</c:v>
                </c:pt>
                <c:pt idx="3">
                  <c:v>5408</c:v>
                </c:pt>
                <c:pt idx="4">
                  <c:v>1356</c:v>
                </c:pt>
                <c:pt idx="5">
                  <c:v>5096</c:v>
                </c:pt>
                <c:pt idx="6">
                  <c:v>2243</c:v>
                </c:pt>
                <c:pt idx="7">
                  <c:v>2115</c:v>
                </c:pt>
                <c:pt idx="8">
                  <c:v>5616</c:v>
                </c:pt>
                <c:pt idx="9">
                  <c:v>893</c:v>
                </c:pt>
                <c:pt idx="10">
                  <c:v>12356</c:v>
                </c:pt>
                <c:pt idx="11">
                  <c:v>2071</c:v>
                </c:pt>
                <c:pt idx="12">
                  <c:v>7314</c:v>
                </c:pt>
                <c:pt idx="13">
                  <c:v>3652</c:v>
                </c:pt>
                <c:pt idx="14">
                  <c:v>825</c:v>
                </c:pt>
                <c:pt idx="15">
                  <c:v>1607</c:v>
                </c:pt>
                <c:pt idx="16">
                  <c:v>27132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FD-47B6-AFB6-E1547CEEC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7"/>
                <c:pt idx="0">
                  <c:v>0%</c:v>
                </c:pt>
                <c:pt idx="1">
                  <c:v>100%</c:v>
                </c:pt>
                <c:pt idx="2">
                  <c:v>38%</c:v>
                </c:pt>
                <c:pt idx="3">
                  <c:v>58%</c:v>
                </c:pt>
                <c:pt idx="4">
                  <c:v>33%</c:v>
                </c:pt>
                <c:pt idx="5">
                  <c:v>58%</c:v>
                </c:pt>
                <c:pt idx="6">
                  <c:v>0%</c:v>
                </c:pt>
                <c:pt idx="7">
                  <c:v>42%</c:v>
                </c:pt>
                <c:pt idx="8">
                  <c:v>100%</c:v>
                </c:pt>
                <c:pt idx="9">
                  <c:v>42%</c:v>
                </c:pt>
                <c:pt idx="10">
                  <c:v>0%</c:v>
                </c:pt>
                <c:pt idx="11">
                  <c:v>42%</c:v>
                </c:pt>
                <c:pt idx="12">
                  <c:v>0%</c:v>
                </c:pt>
                <c:pt idx="13">
                  <c:v>75%</c:v>
                </c:pt>
                <c:pt idx="14">
                  <c:v>63%</c:v>
                </c:pt>
                <c:pt idx="15">
                  <c:v>0%</c:v>
                </c:pt>
                <c:pt idx="16">
                  <c:v>38%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0">
                  <c:v>F/A</c:v>
                </c:pt>
                <c:pt idx="1">
                  <c:v>ACTUATOR</c:v>
                </c:pt>
                <c:pt idx="2">
                  <c:v>SLIDER</c:v>
                </c:pt>
                <c:pt idx="4">
                  <c:v>5LEAD</c:v>
                </c:pt>
                <c:pt idx="5">
                  <c:v>STOPPPER</c:v>
                </c:pt>
                <c:pt idx="6">
                  <c:v>BOTTOM</c:v>
                </c:pt>
                <c:pt idx="7">
                  <c:v>SLIDER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STOPPPER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0.375</c:v>
                </c:pt>
                <c:pt idx="3">
                  <c:v>0.58333333333333337</c:v>
                </c:pt>
                <c:pt idx="4">
                  <c:v>0.33333333333333331</c:v>
                </c:pt>
                <c:pt idx="5">
                  <c:v>0.58333333333333337</c:v>
                </c:pt>
                <c:pt idx="6">
                  <c:v>0</c:v>
                </c:pt>
                <c:pt idx="7">
                  <c:v>0.41666666666666669</c:v>
                </c:pt>
                <c:pt idx="8">
                  <c:v>1</c:v>
                </c:pt>
                <c:pt idx="9">
                  <c:v>0.41666666666666669</c:v>
                </c:pt>
                <c:pt idx="10">
                  <c:v>0</c:v>
                </c:pt>
                <c:pt idx="11">
                  <c:v>0.41666666666666669</c:v>
                </c:pt>
                <c:pt idx="12">
                  <c:v>0</c:v>
                </c:pt>
                <c:pt idx="13">
                  <c:v>0.75</c:v>
                </c:pt>
                <c:pt idx="14">
                  <c:v>0.625</c:v>
                </c:pt>
                <c:pt idx="15">
                  <c:v>0</c:v>
                </c:pt>
                <c:pt idx="16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7D-4A94-8F54-780E58E2D2B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7D-4A94-8F54-780E58E2D2B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0">
                  <c:v>F/A</c:v>
                </c:pt>
                <c:pt idx="1">
                  <c:v>ACTUATOR</c:v>
                </c:pt>
                <c:pt idx="2">
                  <c:v>SLIDER</c:v>
                </c:pt>
                <c:pt idx="4">
                  <c:v>5LEAD</c:v>
                </c:pt>
                <c:pt idx="5">
                  <c:v>STOPPPER</c:v>
                </c:pt>
                <c:pt idx="6">
                  <c:v>BOTTOM</c:v>
                </c:pt>
                <c:pt idx="7">
                  <c:v>SLIDER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STOPPPER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0.40441176470588241</c:v>
                </c:pt>
                <c:pt idx="1">
                  <c:v>0.40441176470588241</c:v>
                </c:pt>
                <c:pt idx="2">
                  <c:v>0.40441176470588241</c:v>
                </c:pt>
                <c:pt idx="3">
                  <c:v>0.40441176470588241</c:v>
                </c:pt>
                <c:pt idx="4">
                  <c:v>0.40441176470588241</c:v>
                </c:pt>
                <c:pt idx="5">
                  <c:v>0.40441176470588241</c:v>
                </c:pt>
                <c:pt idx="6">
                  <c:v>0.40441176470588241</c:v>
                </c:pt>
                <c:pt idx="7">
                  <c:v>0.40441176470588241</c:v>
                </c:pt>
                <c:pt idx="8">
                  <c:v>0.40441176470588241</c:v>
                </c:pt>
                <c:pt idx="9">
                  <c:v>0.40441176470588241</c:v>
                </c:pt>
                <c:pt idx="10">
                  <c:v>0.40441176470588241</c:v>
                </c:pt>
                <c:pt idx="11">
                  <c:v>0.40441176470588241</c:v>
                </c:pt>
                <c:pt idx="12">
                  <c:v>0.40441176470588241</c:v>
                </c:pt>
                <c:pt idx="13">
                  <c:v>0.40441176470588241</c:v>
                </c:pt>
                <c:pt idx="14">
                  <c:v>0.40441176470588241</c:v>
                </c:pt>
                <c:pt idx="15">
                  <c:v>0.40441176470588241</c:v>
                </c:pt>
                <c:pt idx="16">
                  <c:v>0.40441176470588241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7D-4A94-8F54-780E58E2D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6"/>
                <c:pt idx="0">
                  <c:v>F/A</c:v>
                </c:pt>
                <c:pt idx="1">
                  <c:v>ACTUATOR</c:v>
                </c:pt>
                <c:pt idx="2">
                  <c:v>SLIDER</c:v>
                </c:pt>
                <c:pt idx="4">
                  <c:v>5LEAD</c:v>
                </c:pt>
                <c:pt idx="5">
                  <c:v>STOPPPER</c:v>
                </c:pt>
                <c:pt idx="6">
                  <c:v>BOTTOM</c:v>
                </c:pt>
                <c:pt idx="7">
                  <c:v>SLIDER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STOPPPER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1">
                  <c:v>5542</c:v>
                </c:pt>
                <c:pt idx="2">
                  <c:v>2232</c:v>
                </c:pt>
                <c:pt idx="3">
                  <c:v>5408</c:v>
                </c:pt>
                <c:pt idx="4">
                  <c:v>1356</c:v>
                </c:pt>
                <c:pt idx="5">
                  <c:v>5096</c:v>
                </c:pt>
                <c:pt idx="7">
                  <c:v>2115</c:v>
                </c:pt>
                <c:pt idx="8">
                  <c:v>5616</c:v>
                </c:pt>
                <c:pt idx="9">
                  <c:v>893</c:v>
                </c:pt>
                <c:pt idx="11">
                  <c:v>2071</c:v>
                </c:pt>
                <c:pt idx="13">
                  <c:v>3652</c:v>
                </c:pt>
                <c:pt idx="14">
                  <c:v>825</c:v>
                </c:pt>
                <c:pt idx="16">
                  <c:v>27132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03-4671-9303-9FA75A4FC53F}"/>
            </c:ext>
          </c:extLst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6"/>
                <c:pt idx="0">
                  <c:v>F/A</c:v>
                </c:pt>
                <c:pt idx="1">
                  <c:v>ACTUATOR</c:v>
                </c:pt>
                <c:pt idx="2">
                  <c:v>SLIDER</c:v>
                </c:pt>
                <c:pt idx="4">
                  <c:v>5LEAD</c:v>
                </c:pt>
                <c:pt idx="5">
                  <c:v>STOPPPER</c:v>
                </c:pt>
                <c:pt idx="6">
                  <c:v>BOTTOM</c:v>
                </c:pt>
                <c:pt idx="7">
                  <c:v>SLIDER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STOPPPER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1585</c:v>
                </c:pt>
                <c:pt idx="1">
                  <c:v>5542</c:v>
                </c:pt>
                <c:pt idx="2">
                  <c:v>2232</c:v>
                </c:pt>
                <c:pt idx="3">
                  <c:v>5408</c:v>
                </c:pt>
                <c:pt idx="4">
                  <c:v>1356</c:v>
                </c:pt>
                <c:pt idx="5">
                  <c:v>5096</c:v>
                </c:pt>
                <c:pt idx="6">
                  <c:v>2243</c:v>
                </c:pt>
                <c:pt idx="7">
                  <c:v>2115</c:v>
                </c:pt>
                <c:pt idx="8">
                  <c:v>5616</c:v>
                </c:pt>
                <c:pt idx="9">
                  <c:v>893</c:v>
                </c:pt>
                <c:pt idx="10">
                  <c:v>12356</c:v>
                </c:pt>
                <c:pt idx="11">
                  <c:v>2071</c:v>
                </c:pt>
                <c:pt idx="12">
                  <c:v>7314</c:v>
                </c:pt>
                <c:pt idx="13">
                  <c:v>3652</c:v>
                </c:pt>
                <c:pt idx="14">
                  <c:v>825</c:v>
                </c:pt>
                <c:pt idx="15">
                  <c:v>1607</c:v>
                </c:pt>
                <c:pt idx="16">
                  <c:v>27132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03-4671-9303-9FA75A4FC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7"/>
                <c:pt idx="0">
                  <c:v>0%</c:v>
                </c:pt>
                <c:pt idx="1">
                  <c:v>100%</c:v>
                </c:pt>
                <c:pt idx="2">
                  <c:v>38%</c:v>
                </c:pt>
                <c:pt idx="3">
                  <c:v>58%</c:v>
                </c:pt>
                <c:pt idx="4">
                  <c:v>33%</c:v>
                </c:pt>
                <c:pt idx="5">
                  <c:v>58%</c:v>
                </c:pt>
                <c:pt idx="6">
                  <c:v>0%</c:v>
                </c:pt>
                <c:pt idx="7">
                  <c:v>42%</c:v>
                </c:pt>
                <c:pt idx="8">
                  <c:v>100%</c:v>
                </c:pt>
                <c:pt idx="9">
                  <c:v>42%</c:v>
                </c:pt>
                <c:pt idx="10">
                  <c:v>0%</c:v>
                </c:pt>
                <c:pt idx="11">
                  <c:v>42%</c:v>
                </c:pt>
                <c:pt idx="12">
                  <c:v>0%</c:v>
                </c:pt>
                <c:pt idx="13">
                  <c:v>75%</c:v>
                </c:pt>
                <c:pt idx="14">
                  <c:v>63%</c:v>
                </c:pt>
                <c:pt idx="15">
                  <c:v>0%</c:v>
                </c:pt>
                <c:pt idx="16">
                  <c:v>38%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0">
                  <c:v>F/A</c:v>
                </c:pt>
                <c:pt idx="1">
                  <c:v>ACTUATOR</c:v>
                </c:pt>
                <c:pt idx="2">
                  <c:v>SLIDER</c:v>
                </c:pt>
                <c:pt idx="4">
                  <c:v>5LEAD</c:v>
                </c:pt>
                <c:pt idx="5">
                  <c:v>STOPPPER</c:v>
                </c:pt>
                <c:pt idx="6">
                  <c:v>BOTTOM</c:v>
                </c:pt>
                <c:pt idx="7">
                  <c:v>SLIDER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STOPPPER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0.375</c:v>
                </c:pt>
                <c:pt idx="3">
                  <c:v>0.58333333333333337</c:v>
                </c:pt>
                <c:pt idx="4">
                  <c:v>0.33333333333333331</c:v>
                </c:pt>
                <c:pt idx="5">
                  <c:v>0.58333333333333337</c:v>
                </c:pt>
                <c:pt idx="6">
                  <c:v>0</c:v>
                </c:pt>
                <c:pt idx="7">
                  <c:v>0.41666666666666669</c:v>
                </c:pt>
                <c:pt idx="8">
                  <c:v>1</c:v>
                </c:pt>
                <c:pt idx="9">
                  <c:v>0.41666666666666669</c:v>
                </c:pt>
                <c:pt idx="10">
                  <c:v>0</c:v>
                </c:pt>
                <c:pt idx="11">
                  <c:v>0.41666666666666669</c:v>
                </c:pt>
                <c:pt idx="12">
                  <c:v>0</c:v>
                </c:pt>
                <c:pt idx="13">
                  <c:v>0.75</c:v>
                </c:pt>
                <c:pt idx="14">
                  <c:v>0.625</c:v>
                </c:pt>
                <c:pt idx="15">
                  <c:v>0</c:v>
                </c:pt>
                <c:pt idx="16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5-4CD2-B823-1919389B083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6D5-4CD2-B823-1919389B08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0">
                  <c:v>F/A</c:v>
                </c:pt>
                <c:pt idx="1">
                  <c:v>ACTUATOR</c:v>
                </c:pt>
                <c:pt idx="2">
                  <c:v>SLIDER</c:v>
                </c:pt>
                <c:pt idx="4">
                  <c:v>5LEAD</c:v>
                </c:pt>
                <c:pt idx="5">
                  <c:v>STOPPPER</c:v>
                </c:pt>
                <c:pt idx="6">
                  <c:v>BOTTOM</c:v>
                </c:pt>
                <c:pt idx="7">
                  <c:v>SLIDER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STOPPPER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0.40441176470588241</c:v>
                </c:pt>
                <c:pt idx="1">
                  <c:v>0.40441176470588241</c:v>
                </c:pt>
                <c:pt idx="2">
                  <c:v>0.40441176470588241</c:v>
                </c:pt>
                <c:pt idx="3">
                  <c:v>0.40441176470588241</c:v>
                </c:pt>
                <c:pt idx="4">
                  <c:v>0.40441176470588241</c:v>
                </c:pt>
                <c:pt idx="5">
                  <c:v>0.40441176470588241</c:v>
                </c:pt>
                <c:pt idx="6">
                  <c:v>0.40441176470588241</c:v>
                </c:pt>
                <c:pt idx="7">
                  <c:v>0.40441176470588241</c:v>
                </c:pt>
                <c:pt idx="8">
                  <c:v>0.40441176470588241</c:v>
                </c:pt>
                <c:pt idx="9">
                  <c:v>0.40441176470588241</c:v>
                </c:pt>
                <c:pt idx="10">
                  <c:v>0.40441176470588241</c:v>
                </c:pt>
                <c:pt idx="11">
                  <c:v>0.40441176470588241</c:v>
                </c:pt>
                <c:pt idx="12">
                  <c:v>0.40441176470588241</c:v>
                </c:pt>
                <c:pt idx="13">
                  <c:v>0.40441176470588241</c:v>
                </c:pt>
                <c:pt idx="14">
                  <c:v>0.40441176470588241</c:v>
                </c:pt>
                <c:pt idx="15">
                  <c:v>0.40441176470588241</c:v>
                </c:pt>
                <c:pt idx="16">
                  <c:v>0.40441176470588241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D5-4CD2-B823-1919389B0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DDA-4848-98BE-3FC89AD191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A-4848-98BE-3FC89AD19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DDA-4848-98BE-3FC89AD1915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DA-4848-98BE-3FC89AD19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'23'!$D$6:$D$22</c:f>
              <c:strCache>
                <c:ptCount val="16"/>
                <c:pt idx="0">
                  <c:v>ADAPTER</c:v>
                </c:pt>
                <c:pt idx="1">
                  <c:v>ACTUATOR</c:v>
                </c:pt>
                <c:pt idx="2">
                  <c:v>ACTUATOR</c:v>
                </c:pt>
                <c:pt idx="4">
                  <c:v>SLIDER</c:v>
                </c:pt>
                <c:pt idx="5">
                  <c:v>STOPPPER</c:v>
                </c:pt>
                <c:pt idx="6">
                  <c:v>LEAD GUIDE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'23'!$L$6:$L$22</c:f>
              <c:numCache>
                <c:formatCode>_(* #,##0_);_(* \(#,##0\);_(* "-"_);_(@_)</c:formatCode>
                <c:ptCount val="17"/>
                <c:pt idx="0">
                  <c:v>4662</c:v>
                </c:pt>
                <c:pt idx="1">
                  <c:v>1812</c:v>
                </c:pt>
                <c:pt idx="2">
                  <c:v>1350</c:v>
                </c:pt>
                <c:pt idx="3">
                  <c:v>10002</c:v>
                </c:pt>
                <c:pt idx="4">
                  <c:v>3787</c:v>
                </c:pt>
                <c:pt idx="5">
                  <c:v>11900</c:v>
                </c:pt>
                <c:pt idx="6">
                  <c:v>4246</c:v>
                </c:pt>
                <c:pt idx="7">
                  <c:v>1899</c:v>
                </c:pt>
                <c:pt idx="8">
                  <c:v>5726</c:v>
                </c:pt>
                <c:pt idx="9">
                  <c:v>982</c:v>
                </c:pt>
                <c:pt idx="11">
                  <c:v>1864</c:v>
                </c:pt>
                <c:pt idx="13">
                  <c:v>5399</c:v>
                </c:pt>
                <c:pt idx="14">
                  <c:v>2260</c:v>
                </c:pt>
                <c:pt idx="16">
                  <c:v>34220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7B-46BE-8864-E83772C09D0C}"/>
            </c:ext>
          </c:extLst>
        </c:ser>
        <c:ser>
          <c:idx val="1"/>
          <c:order val="1"/>
          <c:tx>
            <c:v>계획</c:v>
          </c:tx>
          <c:cat>
            <c:strRef>
              <c:f>'23'!$D$6:$D$22</c:f>
              <c:strCache>
                <c:ptCount val="16"/>
                <c:pt idx="0">
                  <c:v>ADAPTER</c:v>
                </c:pt>
                <c:pt idx="1">
                  <c:v>ACTUATOR</c:v>
                </c:pt>
                <c:pt idx="2">
                  <c:v>ACTUATOR</c:v>
                </c:pt>
                <c:pt idx="4">
                  <c:v>SLIDER</c:v>
                </c:pt>
                <c:pt idx="5">
                  <c:v>STOPPPER</c:v>
                </c:pt>
                <c:pt idx="6">
                  <c:v>LEAD GUIDE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'23'!$J$6:$J$22</c:f>
              <c:numCache>
                <c:formatCode>_(* #,##0_);_(* \(#,##0\);_(* "-"_);_(@_)</c:formatCode>
                <c:ptCount val="17"/>
                <c:pt idx="0">
                  <c:v>4662</c:v>
                </c:pt>
                <c:pt idx="1">
                  <c:v>1812</c:v>
                </c:pt>
                <c:pt idx="2">
                  <c:v>1350</c:v>
                </c:pt>
                <c:pt idx="3">
                  <c:v>10002</c:v>
                </c:pt>
                <c:pt idx="4">
                  <c:v>3787</c:v>
                </c:pt>
                <c:pt idx="5">
                  <c:v>11900</c:v>
                </c:pt>
                <c:pt idx="6">
                  <c:v>4246</c:v>
                </c:pt>
                <c:pt idx="7">
                  <c:v>1899</c:v>
                </c:pt>
                <c:pt idx="8">
                  <c:v>5726</c:v>
                </c:pt>
                <c:pt idx="9">
                  <c:v>982</c:v>
                </c:pt>
                <c:pt idx="10">
                  <c:v>12356</c:v>
                </c:pt>
                <c:pt idx="11">
                  <c:v>1864</c:v>
                </c:pt>
                <c:pt idx="12">
                  <c:v>7314</c:v>
                </c:pt>
                <c:pt idx="13">
                  <c:v>5399</c:v>
                </c:pt>
                <c:pt idx="14">
                  <c:v>2260</c:v>
                </c:pt>
                <c:pt idx="15">
                  <c:v>1607</c:v>
                </c:pt>
                <c:pt idx="16">
                  <c:v>34220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7B-46BE-8864-E83772C09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'23'!$AD$6:$AD$22</c:f>
              <c:strCache>
                <c:ptCount val="17"/>
                <c:pt idx="0">
                  <c:v>58%</c:v>
                </c:pt>
                <c:pt idx="1">
                  <c:v>33%</c:v>
                </c:pt>
                <c:pt idx="2">
                  <c:v>29%</c:v>
                </c:pt>
                <c:pt idx="3">
                  <c:v>100%</c:v>
                </c:pt>
                <c:pt idx="4">
                  <c:v>79%</c:v>
                </c:pt>
                <c:pt idx="5">
                  <c:v>100%</c:v>
                </c:pt>
                <c:pt idx="6">
                  <c:v>58%</c:v>
                </c:pt>
                <c:pt idx="7">
                  <c:v>38%</c:v>
                </c:pt>
                <c:pt idx="8">
                  <c:v>100%</c:v>
                </c:pt>
                <c:pt idx="9">
                  <c:v>46%</c:v>
                </c:pt>
                <c:pt idx="10">
                  <c:v>0%</c:v>
                </c:pt>
                <c:pt idx="11">
                  <c:v>21%</c:v>
                </c:pt>
                <c:pt idx="12">
                  <c:v>0%</c:v>
                </c:pt>
                <c:pt idx="13">
                  <c:v>100%</c:v>
                </c:pt>
                <c:pt idx="14">
                  <c:v>63%</c:v>
                </c:pt>
                <c:pt idx="15">
                  <c:v>0%</c:v>
                </c:pt>
                <c:pt idx="16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'23'!$D$6:$D$22</c:f>
              <c:strCache>
                <c:ptCount val="16"/>
                <c:pt idx="0">
                  <c:v>ADAPTER</c:v>
                </c:pt>
                <c:pt idx="1">
                  <c:v>ACTUATOR</c:v>
                </c:pt>
                <c:pt idx="2">
                  <c:v>ACTUATOR</c:v>
                </c:pt>
                <c:pt idx="4">
                  <c:v>SLIDER</c:v>
                </c:pt>
                <c:pt idx="5">
                  <c:v>STOPPPER</c:v>
                </c:pt>
                <c:pt idx="6">
                  <c:v>LEAD GUIDE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'23'!$AD$6:$AD$22</c:f>
              <c:numCache>
                <c:formatCode>0%</c:formatCode>
                <c:ptCount val="17"/>
                <c:pt idx="0">
                  <c:v>0.58333333333333337</c:v>
                </c:pt>
                <c:pt idx="1">
                  <c:v>0.33333333333333331</c:v>
                </c:pt>
                <c:pt idx="2">
                  <c:v>0.29166666666666669</c:v>
                </c:pt>
                <c:pt idx="3">
                  <c:v>1</c:v>
                </c:pt>
                <c:pt idx="4">
                  <c:v>0.79166666666666663</c:v>
                </c:pt>
                <c:pt idx="5">
                  <c:v>1</c:v>
                </c:pt>
                <c:pt idx="6">
                  <c:v>0.58333333333333337</c:v>
                </c:pt>
                <c:pt idx="7">
                  <c:v>0.375</c:v>
                </c:pt>
                <c:pt idx="8">
                  <c:v>1</c:v>
                </c:pt>
                <c:pt idx="9">
                  <c:v>0.45833333333333331</c:v>
                </c:pt>
                <c:pt idx="10">
                  <c:v>0</c:v>
                </c:pt>
                <c:pt idx="11">
                  <c:v>0.20833333333333334</c:v>
                </c:pt>
                <c:pt idx="12">
                  <c:v>0</c:v>
                </c:pt>
                <c:pt idx="13">
                  <c:v>1</c:v>
                </c:pt>
                <c:pt idx="14">
                  <c:v>0.625</c:v>
                </c:pt>
                <c:pt idx="15">
                  <c:v>0</c:v>
                </c:pt>
                <c:pt idx="16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F1-4AE6-ADCA-B1AD394B361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F1-4AE6-ADCA-B1AD394B361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'23'!$D$6:$D$22</c:f>
              <c:strCache>
                <c:ptCount val="16"/>
                <c:pt idx="0">
                  <c:v>ADAPTER</c:v>
                </c:pt>
                <c:pt idx="1">
                  <c:v>ACTUATOR</c:v>
                </c:pt>
                <c:pt idx="2">
                  <c:v>ACTUATOR</c:v>
                </c:pt>
                <c:pt idx="4">
                  <c:v>SLIDER</c:v>
                </c:pt>
                <c:pt idx="5">
                  <c:v>STOPPPER</c:v>
                </c:pt>
                <c:pt idx="6">
                  <c:v>LEAD GUIDE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'23'!$AE$6:$AE$22</c:f>
              <c:numCache>
                <c:formatCode>0%</c:formatCode>
                <c:ptCount val="17"/>
                <c:pt idx="0">
                  <c:v>0.51715686274509798</c:v>
                </c:pt>
                <c:pt idx="1">
                  <c:v>0.51715686274509798</c:v>
                </c:pt>
                <c:pt idx="2">
                  <c:v>0.51715686274509798</c:v>
                </c:pt>
                <c:pt idx="3">
                  <c:v>0.51715686274509798</c:v>
                </c:pt>
                <c:pt idx="4">
                  <c:v>0.51715686274509798</c:v>
                </c:pt>
                <c:pt idx="5">
                  <c:v>0.51715686274509798</c:v>
                </c:pt>
                <c:pt idx="6">
                  <c:v>0.51715686274509798</c:v>
                </c:pt>
                <c:pt idx="7">
                  <c:v>0.51715686274509798</c:v>
                </c:pt>
                <c:pt idx="8">
                  <c:v>0.51715686274509798</c:v>
                </c:pt>
                <c:pt idx="9">
                  <c:v>0.51715686274509798</c:v>
                </c:pt>
                <c:pt idx="10">
                  <c:v>0.51715686274509798</c:v>
                </c:pt>
                <c:pt idx="11">
                  <c:v>0.51715686274509798</c:v>
                </c:pt>
                <c:pt idx="12">
                  <c:v>0.51715686274509798</c:v>
                </c:pt>
                <c:pt idx="13">
                  <c:v>0.51715686274509798</c:v>
                </c:pt>
                <c:pt idx="14">
                  <c:v>0.51715686274509798</c:v>
                </c:pt>
                <c:pt idx="15">
                  <c:v>0.51715686274509798</c:v>
                </c:pt>
                <c:pt idx="16">
                  <c:v>0.51715686274509798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F1-4AE6-ADCA-B1AD394B3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'23'!$D$6:$D$22</c:f>
              <c:strCache>
                <c:ptCount val="16"/>
                <c:pt idx="0">
                  <c:v>ADAPTER</c:v>
                </c:pt>
                <c:pt idx="1">
                  <c:v>ACTUATOR</c:v>
                </c:pt>
                <c:pt idx="2">
                  <c:v>ACTUATOR</c:v>
                </c:pt>
                <c:pt idx="4">
                  <c:v>SLIDER</c:v>
                </c:pt>
                <c:pt idx="5">
                  <c:v>STOPPPER</c:v>
                </c:pt>
                <c:pt idx="6">
                  <c:v>LEAD GUIDE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'23'!$L$6:$L$22</c:f>
              <c:numCache>
                <c:formatCode>_(* #,##0_);_(* \(#,##0\);_(* "-"_);_(@_)</c:formatCode>
                <c:ptCount val="17"/>
                <c:pt idx="0">
                  <c:v>4662</c:v>
                </c:pt>
                <c:pt idx="1">
                  <c:v>1812</c:v>
                </c:pt>
                <c:pt idx="2">
                  <c:v>1350</c:v>
                </c:pt>
                <c:pt idx="3">
                  <c:v>10002</c:v>
                </c:pt>
                <c:pt idx="4">
                  <c:v>3787</c:v>
                </c:pt>
                <c:pt idx="5">
                  <c:v>11900</c:v>
                </c:pt>
                <c:pt idx="6">
                  <c:v>4246</c:v>
                </c:pt>
                <c:pt idx="7">
                  <c:v>1899</c:v>
                </c:pt>
                <c:pt idx="8">
                  <c:v>5726</c:v>
                </c:pt>
                <c:pt idx="9">
                  <c:v>982</c:v>
                </c:pt>
                <c:pt idx="11">
                  <c:v>1864</c:v>
                </c:pt>
                <c:pt idx="13">
                  <c:v>5399</c:v>
                </c:pt>
                <c:pt idx="14">
                  <c:v>2260</c:v>
                </c:pt>
                <c:pt idx="16">
                  <c:v>34220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AE-47FC-9FF9-B4105EAF18AF}"/>
            </c:ext>
          </c:extLst>
        </c:ser>
        <c:ser>
          <c:idx val="1"/>
          <c:order val="1"/>
          <c:tx>
            <c:v>계획</c:v>
          </c:tx>
          <c:cat>
            <c:strRef>
              <c:f>'23'!$D$6:$D$22</c:f>
              <c:strCache>
                <c:ptCount val="16"/>
                <c:pt idx="0">
                  <c:v>ADAPTER</c:v>
                </c:pt>
                <c:pt idx="1">
                  <c:v>ACTUATOR</c:v>
                </c:pt>
                <c:pt idx="2">
                  <c:v>ACTUATOR</c:v>
                </c:pt>
                <c:pt idx="4">
                  <c:v>SLIDER</c:v>
                </c:pt>
                <c:pt idx="5">
                  <c:v>STOPPPER</c:v>
                </c:pt>
                <c:pt idx="6">
                  <c:v>LEAD GUIDE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'23'!$J$6:$J$22</c:f>
              <c:numCache>
                <c:formatCode>_(* #,##0_);_(* \(#,##0\);_(* "-"_);_(@_)</c:formatCode>
                <c:ptCount val="17"/>
                <c:pt idx="0">
                  <c:v>4662</c:v>
                </c:pt>
                <c:pt idx="1">
                  <c:v>1812</c:v>
                </c:pt>
                <c:pt idx="2">
                  <c:v>1350</c:v>
                </c:pt>
                <c:pt idx="3">
                  <c:v>10002</c:v>
                </c:pt>
                <c:pt idx="4">
                  <c:v>3787</c:v>
                </c:pt>
                <c:pt idx="5">
                  <c:v>11900</c:v>
                </c:pt>
                <c:pt idx="6">
                  <c:v>4246</c:v>
                </c:pt>
                <c:pt idx="7">
                  <c:v>1899</c:v>
                </c:pt>
                <c:pt idx="8">
                  <c:v>5726</c:v>
                </c:pt>
                <c:pt idx="9">
                  <c:v>982</c:v>
                </c:pt>
                <c:pt idx="10">
                  <c:v>12356</c:v>
                </c:pt>
                <c:pt idx="11">
                  <c:v>1864</c:v>
                </c:pt>
                <c:pt idx="12">
                  <c:v>7314</c:v>
                </c:pt>
                <c:pt idx="13">
                  <c:v>5399</c:v>
                </c:pt>
                <c:pt idx="14">
                  <c:v>2260</c:v>
                </c:pt>
                <c:pt idx="15">
                  <c:v>1607</c:v>
                </c:pt>
                <c:pt idx="16">
                  <c:v>34220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AE-47FC-9FF9-B4105EAF1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'23'!$AD$6:$AD$22</c:f>
              <c:strCache>
                <c:ptCount val="17"/>
                <c:pt idx="0">
                  <c:v>58%</c:v>
                </c:pt>
                <c:pt idx="1">
                  <c:v>33%</c:v>
                </c:pt>
                <c:pt idx="2">
                  <c:v>29%</c:v>
                </c:pt>
                <c:pt idx="3">
                  <c:v>100%</c:v>
                </c:pt>
                <c:pt idx="4">
                  <c:v>79%</c:v>
                </c:pt>
                <c:pt idx="5">
                  <c:v>100%</c:v>
                </c:pt>
                <c:pt idx="6">
                  <c:v>58%</c:v>
                </c:pt>
                <c:pt idx="7">
                  <c:v>38%</c:v>
                </c:pt>
                <c:pt idx="8">
                  <c:v>100%</c:v>
                </c:pt>
                <c:pt idx="9">
                  <c:v>46%</c:v>
                </c:pt>
                <c:pt idx="10">
                  <c:v>0%</c:v>
                </c:pt>
                <c:pt idx="11">
                  <c:v>21%</c:v>
                </c:pt>
                <c:pt idx="12">
                  <c:v>0%</c:v>
                </c:pt>
                <c:pt idx="13">
                  <c:v>100%</c:v>
                </c:pt>
                <c:pt idx="14">
                  <c:v>63%</c:v>
                </c:pt>
                <c:pt idx="15">
                  <c:v>0%</c:v>
                </c:pt>
                <c:pt idx="16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'23'!$D$6:$D$22</c:f>
              <c:strCache>
                <c:ptCount val="16"/>
                <c:pt idx="0">
                  <c:v>ADAPTER</c:v>
                </c:pt>
                <c:pt idx="1">
                  <c:v>ACTUATOR</c:v>
                </c:pt>
                <c:pt idx="2">
                  <c:v>ACTUATOR</c:v>
                </c:pt>
                <c:pt idx="4">
                  <c:v>SLIDER</c:v>
                </c:pt>
                <c:pt idx="5">
                  <c:v>STOPPPER</c:v>
                </c:pt>
                <c:pt idx="6">
                  <c:v>LEAD GUIDE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'23'!$AD$6:$AD$22</c:f>
              <c:numCache>
                <c:formatCode>0%</c:formatCode>
                <c:ptCount val="17"/>
                <c:pt idx="0">
                  <c:v>0.58333333333333337</c:v>
                </c:pt>
                <c:pt idx="1">
                  <c:v>0.33333333333333331</c:v>
                </c:pt>
                <c:pt idx="2">
                  <c:v>0.29166666666666669</c:v>
                </c:pt>
                <c:pt idx="3">
                  <c:v>1</c:v>
                </c:pt>
                <c:pt idx="4">
                  <c:v>0.79166666666666663</c:v>
                </c:pt>
                <c:pt idx="5">
                  <c:v>1</c:v>
                </c:pt>
                <c:pt idx="6">
                  <c:v>0.58333333333333337</c:v>
                </c:pt>
                <c:pt idx="7">
                  <c:v>0.375</c:v>
                </c:pt>
                <c:pt idx="8">
                  <c:v>1</c:v>
                </c:pt>
                <c:pt idx="9">
                  <c:v>0.45833333333333331</c:v>
                </c:pt>
                <c:pt idx="10">
                  <c:v>0</c:v>
                </c:pt>
                <c:pt idx="11">
                  <c:v>0.20833333333333334</c:v>
                </c:pt>
                <c:pt idx="12">
                  <c:v>0</c:v>
                </c:pt>
                <c:pt idx="13">
                  <c:v>1</c:v>
                </c:pt>
                <c:pt idx="14">
                  <c:v>0.625</c:v>
                </c:pt>
                <c:pt idx="15">
                  <c:v>0</c:v>
                </c:pt>
                <c:pt idx="16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6C-4AE3-AD7A-FDE370587A0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6C-4AE3-AD7A-FDE370587A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'23'!$D$6:$D$22</c:f>
              <c:strCache>
                <c:ptCount val="16"/>
                <c:pt idx="0">
                  <c:v>ADAPTER</c:v>
                </c:pt>
                <c:pt idx="1">
                  <c:v>ACTUATOR</c:v>
                </c:pt>
                <c:pt idx="2">
                  <c:v>ACTUATOR</c:v>
                </c:pt>
                <c:pt idx="4">
                  <c:v>SLIDER</c:v>
                </c:pt>
                <c:pt idx="5">
                  <c:v>STOPPPER</c:v>
                </c:pt>
                <c:pt idx="6">
                  <c:v>LEAD GUIDE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'23'!$AE$6:$AE$22</c:f>
              <c:numCache>
                <c:formatCode>0%</c:formatCode>
                <c:ptCount val="17"/>
                <c:pt idx="0">
                  <c:v>0.51715686274509798</c:v>
                </c:pt>
                <c:pt idx="1">
                  <c:v>0.51715686274509798</c:v>
                </c:pt>
                <c:pt idx="2">
                  <c:v>0.51715686274509798</c:v>
                </c:pt>
                <c:pt idx="3">
                  <c:v>0.51715686274509798</c:v>
                </c:pt>
                <c:pt idx="4">
                  <c:v>0.51715686274509798</c:v>
                </c:pt>
                <c:pt idx="5">
                  <c:v>0.51715686274509798</c:v>
                </c:pt>
                <c:pt idx="6">
                  <c:v>0.51715686274509798</c:v>
                </c:pt>
                <c:pt idx="7">
                  <c:v>0.51715686274509798</c:v>
                </c:pt>
                <c:pt idx="8">
                  <c:v>0.51715686274509798</c:v>
                </c:pt>
                <c:pt idx="9">
                  <c:v>0.51715686274509798</c:v>
                </c:pt>
                <c:pt idx="10">
                  <c:v>0.51715686274509798</c:v>
                </c:pt>
                <c:pt idx="11">
                  <c:v>0.51715686274509798</c:v>
                </c:pt>
                <c:pt idx="12">
                  <c:v>0.51715686274509798</c:v>
                </c:pt>
                <c:pt idx="13">
                  <c:v>0.51715686274509798</c:v>
                </c:pt>
                <c:pt idx="14">
                  <c:v>0.51715686274509798</c:v>
                </c:pt>
                <c:pt idx="15">
                  <c:v>0.51715686274509798</c:v>
                </c:pt>
                <c:pt idx="16">
                  <c:v>0.51715686274509798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6C-4AE3-AD7A-FDE370587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DFA-45F2-B655-97B32D5DC4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FA-45F2-B655-97B32D5DC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DFA-45F2-B655-97B32D5DC47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FA-45F2-B655-97B32D5DC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ACTUATOR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0">
                  <c:v>8536</c:v>
                </c:pt>
                <c:pt idx="1">
                  <c:v>3381</c:v>
                </c:pt>
                <c:pt idx="2">
                  <c:v>4840</c:v>
                </c:pt>
                <c:pt idx="3">
                  <c:v>4146</c:v>
                </c:pt>
                <c:pt idx="4">
                  <c:v>12006</c:v>
                </c:pt>
                <c:pt idx="5">
                  <c:v>1004</c:v>
                </c:pt>
                <c:pt idx="6">
                  <c:v>2447</c:v>
                </c:pt>
                <c:pt idx="7">
                  <c:v>1384</c:v>
                </c:pt>
                <c:pt idx="8">
                  <c:v>1050</c:v>
                </c:pt>
                <c:pt idx="10">
                  <c:v>5845</c:v>
                </c:pt>
                <c:pt idx="11">
                  <c:v>16128</c:v>
                </c:pt>
                <c:pt idx="12">
                  <c:v>4552</c:v>
                </c:pt>
                <c:pt idx="13">
                  <c:v>4771</c:v>
                </c:pt>
                <c:pt idx="14">
                  <c:v>3822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51-4909-A239-D2063071B305}"/>
            </c:ext>
          </c:extLst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ACTUATOR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8536</c:v>
                </c:pt>
                <c:pt idx="1">
                  <c:v>3381</c:v>
                </c:pt>
                <c:pt idx="2">
                  <c:v>4840</c:v>
                </c:pt>
                <c:pt idx="3">
                  <c:v>4146</c:v>
                </c:pt>
                <c:pt idx="4">
                  <c:v>12006</c:v>
                </c:pt>
                <c:pt idx="5">
                  <c:v>1004</c:v>
                </c:pt>
                <c:pt idx="6">
                  <c:v>2447</c:v>
                </c:pt>
                <c:pt idx="7">
                  <c:v>1384</c:v>
                </c:pt>
                <c:pt idx="8">
                  <c:v>1050</c:v>
                </c:pt>
                <c:pt idx="9">
                  <c:v>12356</c:v>
                </c:pt>
                <c:pt idx="10">
                  <c:v>5845</c:v>
                </c:pt>
                <c:pt idx="11">
                  <c:v>16128</c:v>
                </c:pt>
                <c:pt idx="12">
                  <c:v>4552</c:v>
                </c:pt>
                <c:pt idx="13">
                  <c:v>4771</c:v>
                </c:pt>
                <c:pt idx="14">
                  <c:v>3822</c:v>
                </c:pt>
                <c:pt idx="15">
                  <c:v>34220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51-4909-A239-D2063071B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6"/>
                <c:pt idx="0">
                  <c:v>79%</c:v>
                </c:pt>
                <c:pt idx="1">
                  <c:v>75%</c:v>
                </c:pt>
                <c:pt idx="2">
                  <c:v>67%</c:v>
                </c:pt>
                <c:pt idx="3">
                  <c:v>92%</c:v>
                </c:pt>
                <c:pt idx="4">
                  <c:v>100%</c:v>
                </c:pt>
                <c:pt idx="5">
                  <c:v>21%</c:v>
                </c:pt>
                <c:pt idx="6">
                  <c:v>58%</c:v>
                </c:pt>
                <c:pt idx="7">
                  <c:v>33%</c:v>
                </c:pt>
                <c:pt idx="8">
                  <c:v>50%</c:v>
                </c:pt>
                <c:pt idx="9">
                  <c:v>0%</c:v>
                </c:pt>
                <c:pt idx="10">
                  <c:v>79%</c:v>
                </c:pt>
                <c:pt idx="11">
                  <c:v>88%</c:v>
                </c:pt>
                <c:pt idx="12">
                  <c:v>92%</c:v>
                </c:pt>
                <c:pt idx="13">
                  <c:v>100%</c:v>
                </c:pt>
                <c:pt idx="14">
                  <c:v>88%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ACTUATOR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0.79166666666666663</c:v>
                </c:pt>
                <c:pt idx="1">
                  <c:v>0.75</c:v>
                </c:pt>
                <c:pt idx="2">
                  <c:v>0.66666666666666663</c:v>
                </c:pt>
                <c:pt idx="3">
                  <c:v>0.91666666666666663</c:v>
                </c:pt>
                <c:pt idx="4">
                  <c:v>1</c:v>
                </c:pt>
                <c:pt idx="5">
                  <c:v>0.20833333333333334</c:v>
                </c:pt>
                <c:pt idx="6">
                  <c:v>0.58333333333333337</c:v>
                </c:pt>
                <c:pt idx="7">
                  <c:v>0.33333333333333331</c:v>
                </c:pt>
                <c:pt idx="8">
                  <c:v>0.5</c:v>
                </c:pt>
                <c:pt idx="9">
                  <c:v>0</c:v>
                </c:pt>
                <c:pt idx="10">
                  <c:v>0.79166666666666663</c:v>
                </c:pt>
                <c:pt idx="11">
                  <c:v>0.875</c:v>
                </c:pt>
                <c:pt idx="12">
                  <c:v>0.91666666666666663</c:v>
                </c:pt>
                <c:pt idx="13">
                  <c:v>1</c:v>
                </c:pt>
                <c:pt idx="14">
                  <c:v>0.875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A7-4E3A-9563-6E3EE75803D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A7-4E3A-9563-6E3EE75803D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ACTUATOR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0.63802083333333326</c:v>
                </c:pt>
                <c:pt idx="1">
                  <c:v>0.63802083333333326</c:v>
                </c:pt>
                <c:pt idx="2">
                  <c:v>0.63802083333333326</c:v>
                </c:pt>
                <c:pt idx="3">
                  <c:v>0.63802083333333326</c:v>
                </c:pt>
                <c:pt idx="4">
                  <c:v>0.63802083333333326</c:v>
                </c:pt>
                <c:pt idx="5">
                  <c:v>0.63802083333333326</c:v>
                </c:pt>
                <c:pt idx="6">
                  <c:v>0.63802083333333326</c:v>
                </c:pt>
                <c:pt idx="7">
                  <c:v>0.63802083333333326</c:v>
                </c:pt>
                <c:pt idx="8">
                  <c:v>0.63802083333333326</c:v>
                </c:pt>
                <c:pt idx="9">
                  <c:v>0.63802083333333326</c:v>
                </c:pt>
                <c:pt idx="10">
                  <c:v>0.63802083333333326</c:v>
                </c:pt>
                <c:pt idx="11">
                  <c:v>0.63802083333333326</c:v>
                </c:pt>
                <c:pt idx="12">
                  <c:v>0.63802083333333326</c:v>
                </c:pt>
                <c:pt idx="13">
                  <c:v>0.63802083333333326</c:v>
                </c:pt>
                <c:pt idx="14">
                  <c:v>0.63802083333333326</c:v>
                </c:pt>
                <c:pt idx="15">
                  <c:v>0.63802083333333326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A7-4E3A-9563-6E3EE7580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ACTUATOR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0">
                  <c:v>8536</c:v>
                </c:pt>
                <c:pt idx="1">
                  <c:v>3381</c:v>
                </c:pt>
                <c:pt idx="2">
                  <c:v>4840</c:v>
                </c:pt>
                <c:pt idx="3">
                  <c:v>4146</c:v>
                </c:pt>
                <c:pt idx="4">
                  <c:v>12006</c:v>
                </c:pt>
                <c:pt idx="5">
                  <c:v>1004</c:v>
                </c:pt>
                <c:pt idx="6">
                  <c:v>2447</c:v>
                </c:pt>
                <c:pt idx="7">
                  <c:v>1384</c:v>
                </c:pt>
                <c:pt idx="8">
                  <c:v>1050</c:v>
                </c:pt>
                <c:pt idx="10">
                  <c:v>5845</c:v>
                </c:pt>
                <c:pt idx="11">
                  <c:v>16128</c:v>
                </c:pt>
                <c:pt idx="12">
                  <c:v>4552</c:v>
                </c:pt>
                <c:pt idx="13">
                  <c:v>4771</c:v>
                </c:pt>
                <c:pt idx="14">
                  <c:v>3822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5-436E-9EAF-74BE8CD8C076}"/>
            </c:ext>
          </c:extLst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ACTUATOR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8536</c:v>
                </c:pt>
                <c:pt idx="1">
                  <c:v>3381</c:v>
                </c:pt>
                <c:pt idx="2">
                  <c:v>4840</c:v>
                </c:pt>
                <c:pt idx="3">
                  <c:v>4146</c:v>
                </c:pt>
                <c:pt idx="4">
                  <c:v>12006</c:v>
                </c:pt>
                <c:pt idx="5">
                  <c:v>1004</c:v>
                </c:pt>
                <c:pt idx="6">
                  <c:v>2447</c:v>
                </c:pt>
                <c:pt idx="7">
                  <c:v>1384</c:v>
                </c:pt>
                <c:pt idx="8">
                  <c:v>1050</c:v>
                </c:pt>
                <c:pt idx="9">
                  <c:v>12356</c:v>
                </c:pt>
                <c:pt idx="10">
                  <c:v>5845</c:v>
                </c:pt>
                <c:pt idx="11">
                  <c:v>16128</c:v>
                </c:pt>
                <c:pt idx="12">
                  <c:v>4552</c:v>
                </c:pt>
                <c:pt idx="13">
                  <c:v>4771</c:v>
                </c:pt>
                <c:pt idx="14">
                  <c:v>3822</c:v>
                </c:pt>
                <c:pt idx="15">
                  <c:v>34220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35-436E-9EAF-74BE8CD8C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6"/>
                <c:pt idx="0">
                  <c:v>79%</c:v>
                </c:pt>
                <c:pt idx="1">
                  <c:v>75%</c:v>
                </c:pt>
                <c:pt idx="2">
                  <c:v>67%</c:v>
                </c:pt>
                <c:pt idx="3">
                  <c:v>92%</c:v>
                </c:pt>
                <c:pt idx="4">
                  <c:v>100%</c:v>
                </c:pt>
                <c:pt idx="5">
                  <c:v>21%</c:v>
                </c:pt>
                <c:pt idx="6">
                  <c:v>58%</c:v>
                </c:pt>
                <c:pt idx="7">
                  <c:v>33%</c:v>
                </c:pt>
                <c:pt idx="8">
                  <c:v>50%</c:v>
                </c:pt>
                <c:pt idx="9">
                  <c:v>0%</c:v>
                </c:pt>
                <c:pt idx="10">
                  <c:v>79%</c:v>
                </c:pt>
                <c:pt idx="11">
                  <c:v>88%</c:v>
                </c:pt>
                <c:pt idx="12">
                  <c:v>92%</c:v>
                </c:pt>
                <c:pt idx="13">
                  <c:v>100%</c:v>
                </c:pt>
                <c:pt idx="14">
                  <c:v>88%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ACTUATOR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0.79166666666666663</c:v>
                </c:pt>
                <c:pt idx="1">
                  <c:v>0.75</c:v>
                </c:pt>
                <c:pt idx="2">
                  <c:v>0.66666666666666663</c:v>
                </c:pt>
                <c:pt idx="3">
                  <c:v>0.91666666666666663</c:v>
                </c:pt>
                <c:pt idx="4">
                  <c:v>1</c:v>
                </c:pt>
                <c:pt idx="5">
                  <c:v>0.20833333333333334</c:v>
                </c:pt>
                <c:pt idx="6">
                  <c:v>0.58333333333333337</c:v>
                </c:pt>
                <c:pt idx="7">
                  <c:v>0.33333333333333331</c:v>
                </c:pt>
                <c:pt idx="8">
                  <c:v>0.5</c:v>
                </c:pt>
                <c:pt idx="9">
                  <c:v>0</c:v>
                </c:pt>
                <c:pt idx="10">
                  <c:v>0.79166666666666663</c:v>
                </c:pt>
                <c:pt idx="11">
                  <c:v>0.875</c:v>
                </c:pt>
                <c:pt idx="12">
                  <c:v>0.91666666666666663</c:v>
                </c:pt>
                <c:pt idx="13">
                  <c:v>1</c:v>
                </c:pt>
                <c:pt idx="14">
                  <c:v>0.875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A-492B-95F6-72756F92DB6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95A-492B-95F6-72756F92DB6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ACTUATOR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0.63802083333333326</c:v>
                </c:pt>
                <c:pt idx="1">
                  <c:v>0.63802083333333326</c:v>
                </c:pt>
                <c:pt idx="2">
                  <c:v>0.63802083333333326</c:v>
                </c:pt>
                <c:pt idx="3">
                  <c:v>0.63802083333333326</c:v>
                </c:pt>
                <c:pt idx="4">
                  <c:v>0.63802083333333326</c:v>
                </c:pt>
                <c:pt idx="5">
                  <c:v>0.63802083333333326</c:v>
                </c:pt>
                <c:pt idx="6">
                  <c:v>0.63802083333333326</c:v>
                </c:pt>
                <c:pt idx="7">
                  <c:v>0.63802083333333326</c:v>
                </c:pt>
                <c:pt idx="8">
                  <c:v>0.63802083333333326</c:v>
                </c:pt>
                <c:pt idx="9">
                  <c:v>0.63802083333333326</c:v>
                </c:pt>
                <c:pt idx="10">
                  <c:v>0.63802083333333326</c:v>
                </c:pt>
                <c:pt idx="11">
                  <c:v>0.63802083333333326</c:v>
                </c:pt>
                <c:pt idx="12">
                  <c:v>0.63802083333333326</c:v>
                </c:pt>
                <c:pt idx="13">
                  <c:v>0.63802083333333326</c:v>
                </c:pt>
                <c:pt idx="14">
                  <c:v>0.63802083333333326</c:v>
                </c:pt>
                <c:pt idx="15">
                  <c:v>0.63802083333333326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5A-492B-95F6-72756F92D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EBC-46E8-A475-50529CF22F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BC-46E8-A475-50529CF22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EBC-46E8-A475-50529CF22F4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BC-46E8-A475-50529CF22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0">
                  <c:v>5662</c:v>
                </c:pt>
                <c:pt idx="1">
                  <c:v>4438</c:v>
                </c:pt>
                <c:pt idx="2">
                  <c:v>12018</c:v>
                </c:pt>
                <c:pt idx="3">
                  <c:v>4858</c:v>
                </c:pt>
                <c:pt idx="4">
                  <c:v>11802</c:v>
                </c:pt>
                <c:pt idx="5">
                  <c:v>974</c:v>
                </c:pt>
                <c:pt idx="6">
                  <c:v>3467</c:v>
                </c:pt>
                <c:pt idx="10">
                  <c:v>5889</c:v>
                </c:pt>
                <c:pt idx="11">
                  <c:v>16857</c:v>
                </c:pt>
                <c:pt idx="12">
                  <c:v>746</c:v>
                </c:pt>
                <c:pt idx="13">
                  <c:v>194</c:v>
                </c:pt>
                <c:pt idx="14">
                  <c:v>5159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B1-4587-A15F-1A477AD4907B}"/>
            </c:ext>
          </c:extLst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5662</c:v>
                </c:pt>
                <c:pt idx="1">
                  <c:v>4438</c:v>
                </c:pt>
                <c:pt idx="2">
                  <c:v>12018</c:v>
                </c:pt>
                <c:pt idx="3">
                  <c:v>4858</c:v>
                </c:pt>
                <c:pt idx="4">
                  <c:v>11802</c:v>
                </c:pt>
                <c:pt idx="5">
                  <c:v>974</c:v>
                </c:pt>
                <c:pt idx="6">
                  <c:v>3467</c:v>
                </c:pt>
                <c:pt idx="7">
                  <c:v>1384</c:v>
                </c:pt>
                <c:pt idx="8">
                  <c:v>1050</c:v>
                </c:pt>
                <c:pt idx="9">
                  <c:v>12356</c:v>
                </c:pt>
                <c:pt idx="10">
                  <c:v>5889</c:v>
                </c:pt>
                <c:pt idx="11">
                  <c:v>16857</c:v>
                </c:pt>
                <c:pt idx="12">
                  <c:v>746</c:v>
                </c:pt>
                <c:pt idx="13">
                  <c:v>194</c:v>
                </c:pt>
                <c:pt idx="14">
                  <c:v>5159</c:v>
                </c:pt>
                <c:pt idx="15">
                  <c:v>34220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B1-4587-A15F-1A477AD49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6"/>
                <c:pt idx="0">
                  <c:v>46%</c:v>
                </c:pt>
                <c:pt idx="1">
                  <c:v>42%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17%</c:v>
                </c:pt>
                <c:pt idx="6">
                  <c:v>75%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17%</c:v>
                </c:pt>
                <c:pt idx="13">
                  <c:v>8%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0.45833333333333331</c:v>
                </c:pt>
                <c:pt idx="1">
                  <c:v>0.41666666666666669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0.16666666666666666</c:v>
                </c:pt>
                <c:pt idx="6">
                  <c:v>0.75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0.16666666666666666</c:v>
                </c:pt>
                <c:pt idx="13">
                  <c:v>8.3333333333333329E-2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49-4138-B416-E5CA78C234B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49-4138-B416-E5CA78C234B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0.50260416666666674</c:v>
                </c:pt>
                <c:pt idx="1">
                  <c:v>0.50260416666666674</c:v>
                </c:pt>
                <c:pt idx="2">
                  <c:v>0.50260416666666674</c:v>
                </c:pt>
                <c:pt idx="3">
                  <c:v>0.50260416666666674</c:v>
                </c:pt>
                <c:pt idx="4">
                  <c:v>0.50260416666666674</c:v>
                </c:pt>
                <c:pt idx="5">
                  <c:v>0.50260416666666674</c:v>
                </c:pt>
                <c:pt idx="6">
                  <c:v>0.50260416666666674</c:v>
                </c:pt>
                <c:pt idx="7">
                  <c:v>0.50260416666666674</c:v>
                </c:pt>
                <c:pt idx="8">
                  <c:v>0.50260416666666674</c:v>
                </c:pt>
                <c:pt idx="9">
                  <c:v>0.50260416666666674</c:v>
                </c:pt>
                <c:pt idx="10">
                  <c:v>0.50260416666666674</c:v>
                </c:pt>
                <c:pt idx="11">
                  <c:v>0.50260416666666674</c:v>
                </c:pt>
                <c:pt idx="12">
                  <c:v>0.50260416666666674</c:v>
                </c:pt>
                <c:pt idx="13">
                  <c:v>0.50260416666666674</c:v>
                </c:pt>
                <c:pt idx="14">
                  <c:v>0.50260416666666674</c:v>
                </c:pt>
                <c:pt idx="15">
                  <c:v>0.50260416666666674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49-4138-B416-E5CA78C23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0">
                  <c:v>5662</c:v>
                </c:pt>
                <c:pt idx="1">
                  <c:v>4438</c:v>
                </c:pt>
                <c:pt idx="2">
                  <c:v>12018</c:v>
                </c:pt>
                <c:pt idx="3">
                  <c:v>4858</c:v>
                </c:pt>
                <c:pt idx="4">
                  <c:v>11802</c:v>
                </c:pt>
                <c:pt idx="5">
                  <c:v>974</c:v>
                </c:pt>
                <c:pt idx="6">
                  <c:v>3467</c:v>
                </c:pt>
                <c:pt idx="10">
                  <c:v>5889</c:v>
                </c:pt>
                <c:pt idx="11">
                  <c:v>16857</c:v>
                </c:pt>
                <c:pt idx="12">
                  <c:v>746</c:v>
                </c:pt>
                <c:pt idx="13">
                  <c:v>194</c:v>
                </c:pt>
                <c:pt idx="14">
                  <c:v>5159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13-40B7-AB30-34CAC999E446}"/>
            </c:ext>
          </c:extLst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5662</c:v>
                </c:pt>
                <c:pt idx="1">
                  <c:v>4438</c:v>
                </c:pt>
                <c:pt idx="2">
                  <c:v>12018</c:v>
                </c:pt>
                <c:pt idx="3">
                  <c:v>4858</c:v>
                </c:pt>
                <c:pt idx="4">
                  <c:v>11802</c:v>
                </c:pt>
                <c:pt idx="5">
                  <c:v>974</c:v>
                </c:pt>
                <c:pt idx="6">
                  <c:v>3467</c:v>
                </c:pt>
                <c:pt idx="7">
                  <c:v>1384</c:v>
                </c:pt>
                <c:pt idx="8">
                  <c:v>1050</c:v>
                </c:pt>
                <c:pt idx="9">
                  <c:v>12356</c:v>
                </c:pt>
                <c:pt idx="10">
                  <c:v>5889</c:v>
                </c:pt>
                <c:pt idx="11">
                  <c:v>16857</c:v>
                </c:pt>
                <c:pt idx="12">
                  <c:v>746</c:v>
                </c:pt>
                <c:pt idx="13">
                  <c:v>194</c:v>
                </c:pt>
                <c:pt idx="14">
                  <c:v>5159</c:v>
                </c:pt>
                <c:pt idx="15">
                  <c:v>34220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13-40B7-AB30-34CAC999E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6"/>
                <c:pt idx="0">
                  <c:v>46%</c:v>
                </c:pt>
                <c:pt idx="1">
                  <c:v>42%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17%</c:v>
                </c:pt>
                <c:pt idx="6">
                  <c:v>75%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17%</c:v>
                </c:pt>
                <c:pt idx="13">
                  <c:v>8%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0.45833333333333331</c:v>
                </c:pt>
                <c:pt idx="1">
                  <c:v>0.41666666666666669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0.16666666666666666</c:v>
                </c:pt>
                <c:pt idx="6">
                  <c:v>0.75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0.16666666666666666</c:v>
                </c:pt>
                <c:pt idx="13">
                  <c:v>8.3333333333333329E-2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A5-40A3-A9EC-A52195EA1C9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A5-40A3-A9EC-A52195EA1C9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0.50260416666666674</c:v>
                </c:pt>
                <c:pt idx="1">
                  <c:v>0.50260416666666674</c:v>
                </c:pt>
                <c:pt idx="2">
                  <c:v>0.50260416666666674</c:v>
                </c:pt>
                <c:pt idx="3">
                  <c:v>0.50260416666666674</c:v>
                </c:pt>
                <c:pt idx="4">
                  <c:v>0.50260416666666674</c:v>
                </c:pt>
                <c:pt idx="5">
                  <c:v>0.50260416666666674</c:v>
                </c:pt>
                <c:pt idx="6">
                  <c:v>0.50260416666666674</c:v>
                </c:pt>
                <c:pt idx="7">
                  <c:v>0.50260416666666674</c:v>
                </c:pt>
                <c:pt idx="8">
                  <c:v>0.50260416666666674</c:v>
                </c:pt>
                <c:pt idx="9">
                  <c:v>0.50260416666666674</c:v>
                </c:pt>
                <c:pt idx="10">
                  <c:v>0.50260416666666674</c:v>
                </c:pt>
                <c:pt idx="11">
                  <c:v>0.50260416666666674</c:v>
                </c:pt>
                <c:pt idx="12">
                  <c:v>0.50260416666666674</c:v>
                </c:pt>
                <c:pt idx="13">
                  <c:v>0.50260416666666674</c:v>
                </c:pt>
                <c:pt idx="14">
                  <c:v>0.50260416666666674</c:v>
                </c:pt>
                <c:pt idx="15">
                  <c:v>0.50260416666666674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A5-40A3-A9EC-A52195EA1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E5B-490B-A8DB-6B568D0E94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5B-490B-A8DB-6B568D0E9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E5B-490B-A8DB-6B568D0E94C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5B-490B-A8DB-6B568D0E9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'26'!$D$6:$D$23</c:f>
              <c:strCache>
                <c:ptCount val="17"/>
                <c:pt idx="0">
                  <c:v>ACTUATOR</c:v>
                </c:pt>
                <c:pt idx="1">
                  <c:v>FLOATING</c:v>
                </c:pt>
                <c:pt idx="3">
                  <c:v>STOPPPER</c:v>
                </c:pt>
                <c:pt idx="4">
                  <c:v>SLIDER</c:v>
                </c:pt>
                <c:pt idx="5">
                  <c:v>STOPPPER</c:v>
                </c:pt>
                <c:pt idx="6">
                  <c:v>BOTTOM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2">
                  <c:v>ACTUATOR</c:v>
                </c:pt>
                <c:pt idx="13">
                  <c:v>SLIDER</c:v>
                </c:pt>
                <c:pt idx="14">
                  <c:v>STOPPPER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'26'!$L$6:$L$23</c:f>
              <c:numCache>
                <c:formatCode>_(* #,##0_);_(* \(#,##0\);_(* "-"_);_(@_)</c:formatCode>
                <c:ptCount val="18"/>
                <c:pt idx="0">
                  <c:v>5333</c:v>
                </c:pt>
                <c:pt idx="1">
                  <c:v>3633</c:v>
                </c:pt>
                <c:pt idx="2">
                  <c:v>4058</c:v>
                </c:pt>
                <c:pt idx="3">
                  <c:v>4410</c:v>
                </c:pt>
                <c:pt idx="4">
                  <c:v>5011</c:v>
                </c:pt>
                <c:pt idx="5">
                  <c:v>11896</c:v>
                </c:pt>
                <c:pt idx="6">
                  <c:v>4619</c:v>
                </c:pt>
                <c:pt idx="7">
                  <c:v>2804</c:v>
                </c:pt>
                <c:pt idx="8">
                  <c:v>2474</c:v>
                </c:pt>
                <c:pt idx="11">
                  <c:v>1863</c:v>
                </c:pt>
                <c:pt idx="12">
                  <c:v>4524</c:v>
                </c:pt>
                <c:pt idx="13">
                  <c:v>16941</c:v>
                </c:pt>
                <c:pt idx="14">
                  <c:v>4304</c:v>
                </c:pt>
                <c:pt idx="15">
                  <c:v>2851</c:v>
                </c:pt>
                <c:pt idx="16">
                  <c:v>4288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AC-40A6-8141-C48054A09129}"/>
            </c:ext>
          </c:extLst>
        </c:ser>
        <c:ser>
          <c:idx val="1"/>
          <c:order val="1"/>
          <c:tx>
            <c:v>계획</c:v>
          </c:tx>
          <c:cat>
            <c:strRef>
              <c:f>'26'!$D$6:$D$23</c:f>
              <c:strCache>
                <c:ptCount val="17"/>
                <c:pt idx="0">
                  <c:v>ACTUATOR</c:v>
                </c:pt>
                <c:pt idx="1">
                  <c:v>FLOATING</c:v>
                </c:pt>
                <c:pt idx="3">
                  <c:v>STOPPPER</c:v>
                </c:pt>
                <c:pt idx="4">
                  <c:v>SLIDER</c:v>
                </c:pt>
                <c:pt idx="5">
                  <c:v>STOPPPER</c:v>
                </c:pt>
                <c:pt idx="6">
                  <c:v>BOTTOM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2">
                  <c:v>ACTUATOR</c:v>
                </c:pt>
                <c:pt idx="13">
                  <c:v>SLIDER</c:v>
                </c:pt>
                <c:pt idx="14">
                  <c:v>STOPPPER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'26'!$J$6:$J$23</c:f>
              <c:numCache>
                <c:formatCode>_(* #,##0_);_(* \(#,##0\);_(* "-"_);_(@_)</c:formatCode>
                <c:ptCount val="18"/>
                <c:pt idx="0">
                  <c:v>5333</c:v>
                </c:pt>
                <c:pt idx="1">
                  <c:v>3633</c:v>
                </c:pt>
                <c:pt idx="2">
                  <c:v>4058</c:v>
                </c:pt>
                <c:pt idx="3">
                  <c:v>4410</c:v>
                </c:pt>
                <c:pt idx="4">
                  <c:v>5011</c:v>
                </c:pt>
                <c:pt idx="5">
                  <c:v>11896</c:v>
                </c:pt>
                <c:pt idx="6">
                  <c:v>4619</c:v>
                </c:pt>
                <c:pt idx="7">
                  <c:v>2804</c:v>
                </c:pt>
                <c:pt idx="8">
                  <c:v>2474</c:v>
                </c:pt>
                <c:pt idx="9">
                  <c:v>1050</c:v>
                </c:pt>
                <c:pt idx="10">
                  <c:v>12356</c:v>
                </c:pt>
                <c:pt idx="11">
                  <c:v>1863</c:v>
                </c:pt>
                <c:pt idx="12">
                  <c:v>4524</c:v>
                </c:pt>
                <c:pt idx="13">
                  <c:v>16941</c:v>
                </c:pt>
                <c:pt idx="14">
                  <c:v>4304</c:v>
                </c:pt>
                <c:pt idx="15">
                  <c:v>2851</c:v>
                </c:pt>
                <c:pt idx="16">
                  <c:v>4288</c:v>
                </c:pt>
                <c:pt idx="17">
                  <c:v>34220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AC-40A6-8141-C48054A09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'26'!$AD$6:$AD$23</c:f>
              <c:strCache>
                <c:ptCount val="18"/>
                <c:pt idx="0">
                  <c:v>100%</c:v>
                </c:pt>
                <c:pt idx="1">
                  <c:v>67%</c:v>
                </c:pt>
                <c:pt idx="2">
                  <c:v>29%</c:v>
                </c:pt>
                <c:pt idx="3">
                  <c:v>38%</c:v>
                </c:pt>
                <c:pt idx="4">
                  <c:v>100%</c:v>
                </c:pt>
                <c:pt idx="5">
                  <c:v>100%</c:v>
                </c:pt>
                <c:pt idx="6">
                  <c:v>88%</c:v>
                </c:pt>
                <c:pt idx="7">
                  <c:v>58%</c:v>
                </c:pt>
                <c:pt idx="8">
                  <c:v>25%</c:v>
                </c:pt>
                <c:pt idx="9">
                  <c:v>0%</c:v>
                </c:pt>
                <c:pt idx="10">
                  <c:v>0%</c:v>
                </c:pt>
                <c:pt idx="11">
                  <c:v>25%</c:v>
                </c:pt>
                <c:pt idx="12">
                  <c:v>29%</c:v>
                </c:pt>
                <c:pt idx="13">
                  <c:v>100%</c:v>
                </c:pt>
                <c:pt idx="14">
                  <c:v>58%</c:v>
                </c:pt>
                <c:pt idx="15">
                  <c:v>67%</c:v>
                </c:pt>
                <c:pt idx="16">
                  <c:v>88%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'26'!$D$6:$D$23</c:f>
              <c:strCache>
                <c:ptCount val="17"/>
                <c:pt idx="0">
                  <c:v>ACTUATOR</c:v>
                </c:pt>
                <c:pt idx="1">
                  <c:v>FLOATING</c:v>
                </c:pt>
                <c:pt idx="3">
                  <c:v>STOPPPER</c:v>
                </c:pt>
                <c:pt idx="4">
                  <c:v>SLIDER</c:v>
                </c:pt>
                <c:pt idx="5">
                  <c:v>STOPPPER</c:v>
                </c:pt>
                <c:pt idx="6">
                  <c:v>BOTTOM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2">
                  <c:v>ACTUATOR</c:v>
                </c:pt>
                <c:pt idx="13">
                  <c:v>SLIDER</c:v>
                </c:pt>
                <c:pt idx="14">
                  <c:v>STOPPPER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'26'!$AD$6:$AD$23</c:f>
              <c:numCache>
                <c:formatCode>0%</c:formatCode>
                <c:ptCount val="18"/>
                <c:pt idx="0">
                  <c:v>1</c:v>
                </c:pt>
                <c:pt idx="1">
                  <c:v>0.66666666666666663</c:v>
                </c:pt>
                <c:pt idx="2">
                  <c:v>0.29166666666666669</c:v>
                </c:pt>
                <c:pt idx="3">
                  <c:v>0.375</c:v>
                </c:pt>
                <c:pt idx="4">
                  <c:v>1</c:v>
                </c:pt>
                <c:pt idx="5">
                  <c:v>1</c:v>
                </c:pt>
                <c:pt idx="6">
                  <c:v>0.875</c:v>
                </c:pt>
                <c:pt idx="7">
                  <c:v>0.58333333333333337</c:v>
                </c:pt>
                <c:pt idx="8">
                  <c:v>0.25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0.29166666666666669</c:v>
                </c:pt>
                <c:pt idx="13">
                  <c:v>1</c:v>
                </c:pt>
                <c:pt idx="14">
                  <c:v>0.58333333333333337</c:v>
                </c:pt>
                <c:pt idx="15">
                  <c:v>0.66666666666666663</c:v>
                </c:pt>
                <c:pt idx="16">
                  <c:v>0.875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C4-4A66-A74A-86CA5CA2CE1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C4-4A66-A74A-86CA5CA2CE1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'26'!$D$6:$D$23</c:f>
              <c:strCache>
                <c:ptCount val="17"/>
                <c:pt idx="0">
                  <c:v>ACTUATOR</c:v>
                </c:pt>
                <c:pt idx="1">
                  <c:v>FLOATING</c:v>
                </c:pt>
                <c:pt idx="3">
                  <c:v>STOPPPER</c:v>
                </c:pt>
                <c:pt idx="4">
                  <c:v>SLIDER</c:v>
                </c:pt>
                <c:pt idx="5">
                  <c:v>STOPPPER</c:v>
                </c:pt>
                <c:pt idx="6">
                  <c:v>BOTTOM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2">
                  <c:v>ACTUATOR</c:v>
                </c:pt>
                <c:pt idx="13">
                  <c:v>SLIDER</c:v>
                </c:pt>
                <c:pt idx="14">
                  <c:v>STOPPPER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'26'!$AE$6:$AE$23</c:f>
              <c:numCache>
                <c:formatCode>0%</c:formatCode>
                <c:ptCount val="18"/>
                <c:pt idx="0">
                  <c:v>0.53935185185185175</c:v>
                </c:pt>
                <c:pt idx="1">
                  <c:v>0.53935185185185175</c:v>
                </c:pt>
                <c:pt idx="2">
                  <c:v>0.53935185185185175</c:v>
                </c:pt>
                <c:pt idx="3">
                  <c:v>0.53935185185185175</c:v>
                </c:pt>
                <c:pt idx="4">
                  <c:v>0.53935185185185175</c:v>
                </c:pt>
                <c:pt idx="5">
                  <c:v>0.53935185185185175</c:v>
                </c:pt>
                <c:pt idx="6">
                  <c:v>0.53935185185185175</c:v>
                </c:pt>
                <c:pt idx="7">
                  <c:v>0.53935185185185175</c:v>
                </c:pt>
                <c:pt idx="8">
                  <c:v>0.53935185185185175</c:v>
                </c:pt>
                <c:pt idx="9">
                  <c:v>0.53935185185185175</c:v>
                </c:pt>
                <c:pt idx="10">
                  <c:v>0.53935185185185175</c:v>
                </c:pt>
                <c:pt idx="11">
                  <c:v>0.53935185185185175</c:v>
                </c:pt>
                <c:pt idx="12">
                  <c:v>0.53935185185185175</c:v>
                </c:pt>
                <c:pt idx="13">
                  <c:v>0.53935185185185175</c:v>
                </c:pt>
                <c:pt idx="14">
                  <c:v>0.53935185185185175</c:v>
                </c:pt>
                <c:pt idx="15">
                  <c:v>0.53935185185185175</c:v>
                </c:pt>
                <c:pt idx="16">
                  <c:v>0.53935185185185175</c:v>
                </c:pt>
                <c:pt idx="17">
                  <c:v>0.53935185185185175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C4-4A66-A74A-86CA5CA2C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'26'!$D$6:$D$23</c:f>
              <c:strCache>
                <c:ptCount val="17"/>
                <c:pt idx="0">
                  <c:v>ACTUATOR</c:v>
                </c:pt>
                <c:pt idx="1">
                  <c:v>FLOATING</c:v>
                </c:pt>
                <c:pt idx="3">
                  <c:v>STOPPPER</c:v>
                </c:pt>
                <c:pt idx="4">
                  <c:v>SLIDER</c:v>
                </c:pt>
                <c:pt idx="5">
                  <c:v>STOPPPER</c:v>
                </c:pt>
                <c:pt idx="6">
                  <c:v>BOTTOM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2">
                  <c:v>ACTUATOR</c:v>
                </c:pt>
                <c:pt idx="13">
                  <c:v>SLIDER</c:v>
                </c:pt>
                <c:pt idx="14">
                  <c:v>STOPPPER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'26'!$L$6:$L$23</c:f>
              <c:numCache>
                <c:formatCode>_(* #,##0_);_(* \(#,##0\);_(* "-"_);_(@_)</c:formatCode>
                <c:ptCount val="18"/>
                <c:pt idx="0">
                  <c:v>5333</c:v>
                </c:pt>
                <c:pt idx="1">
                  <c:v>3633</c:v>
                </c:pt>
                <c:pt idx="2">
                  <c:v>4058</c:v>
                </c:pt>
                <c:pt idx="3">
                  <c:v>4410</c:v>
                </c:pt>
                <c:pt idx="4">
                  <c:v>5011</c:v>
                </c:pt>
                <c:pt idx="5">
                  <c:v>11896</c:v>
                </c:pt>
                <c:pt idx="6">
                  <c:v>4619</c:v>
                </c:pt>
                <c:pt idx="7">
                  <c:v>2804</c:v>
                </c:pt>
                <c:pt idx="8">
                  <c:v>2474</c:v>
                </c:pt>
                <c:pt idx="11">
                  <c:v>1863</c:v>
                </c:pt>
                <c:pt idx="12">
                  <c:v>4524</c:v>
                </c:pt>
                <c:pt idx="13">
                  <c:v>16941</c:v>
                </c:pt>
                <c:pt idx="14">
                  <c:v>4304</c:v>
                </c:pt>
                <c:pt idx="15">
                  <c:v>2851</c:v>
                </c:pt>
                <c:pt idx="16">
                  <c:v>4288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3-4033-984B-545311F08FBA}"/>
            </c:ext>
          </c:extLst>
        </c:ser>
        <c:ser>
          <c:idx val="1"/>
          <c:order val="1"/>
          <c:tx>
            <c:v>계획</c:v>
          </c:tx>
          <c:cat>
            <c:strRef>
              <c:f>'26'!$D$6:$D$23</c:f>
              <c:strCache>
                <c:ptCount val="17"/>
                <c:pt idx="0">
                  <c:v>ACTUATOR</c:v>
                </c:pt>
                <c:pt idx="1">
                  <c:v>FLOATING</c:v>
                </c:pt>
                <c:pt idx="3">
                  <c:v>STOPPPER</c:v>
                </c:pt>
                <c:pt idx="4">
                  <c:v>SLIDER</c:v>
                </c:pt>
                <c:pt idx="5">
                  <c:v>STOPPPER</c:v>
                </c:pt>
                <c:pt idx="6">
                  <c:v>BOTTOM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2">
                  <c:v>ACTUATOR</c:v>
                </c:pt>
                <c:pt idx="13">
                  <c:v>SLIDER</c:v>
                </c:pt>
                <c:pt idx="14">
                  <c:v>STOPPPER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'26'!$J$6:$J$23</c:f>
              <c:numCache>
                <c:formatCode>_(* #,##0_);_(* \(#,##0\);_(* "-"_);_(@_)</c:formatCode>
                <c:ptCount val="18"/>
                <c:pt idx="0">
                  <c:v>5333</c:v>
                </c:pt>
                <c:pt idx="1">
                  <c:v>3633</c:v>
                </c:pt>
                <c:pt idx="2">
                  <c:v>4058</c:v>
                </c:pt>
                <c:pt idx="3">
                  <c:v>4410</c:v>
                </c:pt>
                <c:pt idx="4">
                  <c:v>5011</c:v>
                </c:pt>
                <c:pt idx="5">
                  <c:v>11896</c:v>
                </c:pt>
                <c:pt idx="6">
                  <c:v>4619</c:v>
                </c:pt>
                <c:pt idx="7">
                  <c:v>2804</c:v>
                </c:pt>
                <c:pt idx="8">
                  <c:v>2474</c:v>
                </c:pt>
                <c:pt idx="9">
                  <c:v>1050</c:v>
                </c:pt>
                <c:pt idx="10">
                  <c:v>12356</c:v>
                </c:pt>
                <c:pt idx="11">
                  <c:v>1863</c:v>
                </c:pt>
                <c:pt idx="12">
                  <c:v>4524</c:v>
                </c:pt>
                <c:pt idx="13">
                  <c:v>16941</c:v>
                </c:pt>
                <c:pt idx="14">
                  <c:v>4304</c:v>
                </c:pt>
                <c:pt idx="15">
                  <c:v>2851</c:v>
                </c:pt>
                <c:pt idx="16">
                  <c:v>4288</c:v>
                </c:pt>
                <c:pt idx="17">
                  <c:v>34220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3-4033-984B-545311F08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'26'!$AD$6:$AD$23</c:f>
              <c:strCache>
                <c:ptCount val="18"/>
                <c:pt idx="0">
                  <c:v>100%</c:v>
                </c:pt>
                <c:pt idx="1">
                  <c:v>67%</c:v>
                </c:pt>
                <c:pt idx="2">
                  <c:v>29%</c:v>
                </c:pt>
                <c:pt idx="3">
                  <c:v>38%</c:v>
                </c:pt>
                <c:pt idx="4">
                  <c:v>100%</c:v>
                </c:pt>
                <c:pt idx="5">
                  <c:v>100%</c:v>
                </c:pt>
                <c:pt idx="6">
                  <c:v>88%</c:v>
                </c:pt>
                <c:pt idx="7">
                  <c:v>58%</c:v>
                </c:pt>
                <c:pt idx="8">
                  <c:v>25%</c:v>
                </c:pt>
                <c:pt idx="9">
                  <c:v>0%</c:v>
                </c:pt>
                <c:pt idx="10">
                  <c:v>0%</c:v>
                </c:pt>
                <c:pt idx="11">
                  <c:v>25%</c:v>
                </c:pt>
                <c:pt idx="12">
                  <c:v>29%</c:v>
                </c:pt>
                <c:pt idx="13">
                  <c:v>100%</c:v>
                </c:pt>
                <c:pt idx="14">
                  <c:v>58%</c:v>
                </c:pt>
                <c:pt idx="15">
                  <c:v>67%</c:v>
                </c:pt>
                <c:pt idx="16">
                  <c:v>88%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'26'!$D$6:$D$23</c:f>
              <c:strCache>
                <c:ptCount val="17"/>
                <c:pt idx="0">
                  <c:v>ACTUATOR</c:v>
                </c:pt>
                <c:pt idx="1">
                  <c:v>FLOATING</c:v>
                </c:pt>
                <c:pt idx="3">
                  <c:v>STOPPPER</c:v>
                </c:pt>
                <c:pt idx="4">
                  <c:v>SLIDER</c:v>
                </c:pt>
                <c:pt idx="5">
                  <c:v>STOPPPER</c:v>
                </c:pt>
                <c:pt idx="6">
                  <c:v>BOTTOM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2">
                  <c:v>ACTUATOR</c:v>
                </c:pt>
                <c:pt idx="13">
                  <c:v>SLIDER</c:v>
                </c:pt>
                <c:pt idx="14">
                  <c:v>STOPPPER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'26'!$AD$6:$AD$23</c:f>
              <c:numCache>
                <c:formatCode>0%</c:formatCode>
                <c:ptCount val="18"/>
                <c:pt idx="0">
                  <c:v>1</c:v>
                </c:pt>
                <c:pt idx="1">
                  <c:v>0.66666666666666663</c:v>
                </c:pt>
                <c:pt idx="2">
                  <c:v>0.29166666666666669</c:v>
                </c:pt>
                <c:pt idx="3">
                  <c:v>0.375</c:v>
                </c:pt>
                <c:pt idx="4">
                  <c:v>1</c:v>
                </c:pt>
                <c:pt idx="5">
                  <c:v>1</c:v>
                </c:pt>
                <c:pt idx="6">
                  <c:v>0.875</c:v>
                </c:pt>
                <c:pt idx="7">
                  <c:v>0.58333333333333337</c:v>
                </c:pt>
                <c:pt idx="8">
                  <c:v>0.25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0.29166666666666669</c:v>
                </c:pt>
                <c:pt idx="13">
                  <c:v>1</c:v>
                </c:pt>
                <c:pt idx="14">
                  <c:v>0.58333333333333337</c:v>
                </c:pt>
                <c:pt idx="15">
                  <c:v>0.66666666666666663</c:v>
                </c:pt>
                <c:pt idx="16">
                  <c:v>0.875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D-43F7-9827-7DBBC0AF128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4D-43F7-9827-7DBBC0AF128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'26'!$D$6:$D$23</c:f>
              <c:strCache>
                <c:ptCount val="17"/>
                <c:pt idx="0">
                  <c:v>ACTUATOR</c:v>
                </c:pt>
                <c:pt idx="1">
                  <c:v>FLOATING</c:v>
                </c:pt>
                <c:pt idx="3">
                  <c:v>STOPPPER</c:v>
                </c:pt>
                <c:pt idx="4">
                  <c:v>SLIDER</c:v>
                </c:pt>
                <c:pt idx="5">
                  <c:v>STOPPPER</c:v>
                </c:pt>
                <c:pt idx="6">
                  <c:v>BOTTOM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2">
                  <c:v>ACTUATOR</c:v>
                </c:pt>
                <c:pt idx="13">
                  <c:v>SLIDER</c:v>
                </c:pt>
                <c:pt idx="14">
                  <c:v>STOPPPER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'26'!$AE$6:$AE$23</c:f>
              <c:numCache>
                <c:formatCode>0%</c:formatCode>
                <c:ptCount val="18"/>
                <c:pt idx="0">
                  <c:v>0.53935185185185175</c:v>
                </c:pt>
                <c:pt idx="1">
                  <c:v>0.53935185185185175</c:v>
                </c:pt>
                <c:pt idx="2">
                  <c:v>0.53935185185185175</c:v>
                </c:pt>
                <c:pt idx="3">
                  <c:v>0.53935185185185175</c:v>
                </c:pt>
                <c:pt idx="4">
                  <c:v>0.53935185185185175</c:v>
                </c:pt>
                <c:pt idx="5">
                  <c:v>0.53935185185185175</c:v>
                </c:pt>
                <c:pt idx="6">
                  <c:v>0.53935185185185175</c:v>
                </c:pt>
                <c:pt idx="7">
                  <c:v>0.53935185185185175</c:v>
                </c:pt>
                <c:pt idx="8">
                  <c:v>0.53935185185185175</c:v>
                </c:pt>
                <c:pt idx="9">
                  <c:v>0.53935185185185175</c:v>
                </c:pt>
                <c:pt idx="10">
                  <c:v>0.53935185185185175</c:v>
                </c:pt>
                <c:pt idx="11">
                  <c:v>0.53935185185185175</c:v>
                </c:pt>
                <c:pt idx="12">
                  <c:v>0.53935185185185175</c:v>
                </c:pt>
                <c:pt idx="13">
                  <c:v>0.53935185185185175</c:v>
                </c:pt>
                <c:pt idx="14">
                  <c:v>0.53935185185185175</c:v>
                </c:pt>
                <c:pt idx="15">
                  <c:v>0.53935185185185175</c:v>
                </c:pt>
                <c:pt idx="16">
                  <c:v>0.53935185185185175</c:v>
                </c:pt>
                <c:pt idx="17">
                  <c:v>0.53935185185185175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4D-43F7-9827-7DBBC0AF1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35D-450B-979C-BBC9761103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5D-450B-979C-BBC976110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35D-450B-979C-BBC97611039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5D-450B-979C-BBC976110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0">
                  <c:v>ACTUATOR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0">
                  <c:v>5058</c:v>
                </c:pt>
                <c:pt idx="1">
                  <c:v>3479</c:v>
                </c:pt>
                <c:pt idx="2">
                  <c:v>4916</c:v>
                </c:pt>
                <c:pt idx="3">
                  <c:v>4848</c:v>
                </c:pt>
                <c:pt idx="4">
                  <c:v>10502</c:v>
                </c:pt>
                <c:pt idx="5">
                  <c:v>1412</c:v>
                </c:pt>
                <c:pt idx="7">
                  <c:v>11118</c:v>
                </c:pt>
                <c:pt idx="10">
                  <c:v>3047</c:v>
                </c:pt>
                <c:pt idx="11">
                  <c:v>16140</c:v>
                </c:pt>
                <c:pt idx="12">
                  <c:v>5049</c:v>
                </c:pt>
                <c:pt idx="13">
                  <c:v>3863</c:v>
                </c:pt>
                <c:pt idx="14">
                  <c:v>5105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0-4B0A-BCC6-4AFA683DB4F9}"/>
            </c:ext>
          </c:extLst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0">
                  <c:v>ACTUATOR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5058</c:v>
                </c:pt>
                <c:pt idx="1">
                  <c:v>3479</c:v>
                </c:pt>
                <c:pt idx="2">
                  <c:v>4916</c:v>
                </c:pt>
                <c:pt idx="3">
                  <c:v>4848</c:v>
                </c:pt>
                <c:pt idx="4">
                  <c:v>10502</c:v>
                </c:pt>
                <c:pt idx="5">
                  <c:v>1412</c:v>
                </c:pt>
                <c:pt idx="6">
                  <c:v>2804</c:v>
                </c:pt>
                <c:pt idx="7">
                  <c:v>11118</c:v>
                </c:pt>
                <c:pt idx="8">
                  <c:v>1050</c:v>
                </c:pt>
                <c:pt idx="9">
                  <c:v>12356</c:v>
                </c:pt>
                <c:pt idx="10">
                  <c:v>3047</c:v>
                </c:pt>
                <c:pt idx="11">
                  <c:v>16140</c:v>
                </c:pt>
                <c:pt idx="12">
                  <c:v>5049</c:v>
                </c:pt>
                <c:pt idx="13">
                  <c:v>3863</c:v>
                </c:pt>
                <c:pt idx="14">
                  <c:v>5105</c:v>
                </c:pt>
                <c:pt idx="15">
                  <c:v>34220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0-4B0A-BCC6-4AFA683DB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6"/>
                <c:pt idx="0">
                  <c:v>100%</c:v>
                </c:pt>
                <c:pt idx="1">
                  <c:v>67%</c:v>
                </c:pt>
                <c:pt idx="2">
                  <c:v>29%</c:v>
                </c:pt>
                <c:pt idx="3">
                  <c:v>100%</c:v>
                </c:pt>
                <c:pt idx="4">
                  <c:v>100%</c:v>
                </c:pt>
                <c:pt idx="5">
                  <c:v>33%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75%</c:v>
                </c:pt>
                <c:pt idx="11">
                  <c:v>100%</c:v>
                </c:pt>
                <c:pt idx="12">
                  <c:v>71%</c:v>
                </c:pt>
                <c:pt idx="13">
                  <c:v>79%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ACTUATOR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1</c:v>
                </c:pt>
                <c:pt idx="1">
                  <c:v>0.66666666666666663</c:v>
                </c:pt>
                <c:pt idx="2">
                  <c:v>0.29166666666666669</c:v>
                </c:pt>
                <c:pt idx="3">
                  <c:v>1</c:v>
                </c:pt>
                <c:pt idx="4">
                  <c:v>1</c:v>
                </c:pt>
                <c:pt idx="5">
                  <c:v>0.33333333333333331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0.75</c:v>
                </c:pt>
                <c:pt idx="11">
                  <c:v>1</c:v>
                </c:pt>
                <c:pt idx="12">
                  <c:v>0.70833333333333337</c:v>
                </c:pt>
                <c:pt idx="13">
                  <c:v>0.79166666666666663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1-48D3-8788-F6198603E07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C81-48D3-8788-F6198603E07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ACTUATOR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0.59635416666666663</c:v>
                </c:pt>
                <c:pt idx="1">
                  <c:v>0.59635416666666663</c:v>
                </c:pt>
                <c:pt idx="2">
                  <c:v>0.59635416666666663</c:v>
                </c:pt>
                <c:pt idx="3">
                  <c:v>0.59635416666666663</c:v>
                </c:pt>
                <c:pt idx="4">
                  <c:v>0.59635416666666663</c:v>
                </c:pt>
                <c:pt idx="5">
                  <c:v>0.59635416666666663</c:v>
                </c:pt>
                <c:pt idx="6">
                  <c:v>0.59635416666666663</c:v>
                </c:pt>
                <c:pt idx="7">
                  <c:v>0.59635416666666663</c:v>
                </c:pt>
                <c:pt idx="8">
                  <c:v>0.59635416666666663</c:v>
                </c:pt>
                <c:pt idx="9">
                  <c:v>0.59635416666666663</c:v>
                </c:pt>
                <c:pt idx="10">
                  <c:v>0.59635416666666663</c:v>
                </c:pt>
                <c:pt idx="11">
                  <c:v>0.59635416666666663</c:v>
                </c:pt>
                <c:pt idx="12">
                  <c:v>0.59635416666666663</c:v>
                </c:pt>
                <c:pt idx="13">
                  <c:v>0.59635416666666663</c:v>
                </c:pt>
                <c:pt idx="14">
                  <c:v>0.59635416666666663</c:v>
                </c:pt>
                <c:pt idx="15">
                  <c:v>0.59635416666666663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81-48D3-8788-F6198603E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0">
                  <c:v>ACTUATOR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0">
                  <c:v>5058</c:v>
                </c:pt>
                <c:pt idx="1">
                  <c:v>3479</c:v>
                </c:pt>
                <c:pt idx="2">
                  <c:v>4916</c:v>
                </c:pt>
                <c:pt idx="3">
                  <c:v>4848</c:v>
                </c:pt>
                <c:pt idx="4">
                  <c:v>10502</c:v>
                </c:pt>
                <c:pt idx="5">
                  <c:v>1412</c:v>
                </c:pt>
                <c:pt idx="7">
                  <c:v>11118</c:v>
                </c:pt>
                <c:pt idx="10">
                  <c:v>3047</c:v>
                </c:pt>
                <c:pt idx="11">
                  <c:v>16140</c:v>
                </c:pt>
                <c:pt idx="12">
                  <c:v>5049</c:v>
                </c:pt>
                <c:pt idx="13">
                  <c:v>3863</c:v>
                </c:pt>
                <c:pt idx="14">
                  <c:v>5105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8-4894-AA75-986F78E15E67}"/>
            </c:ext>
          </c:extLst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0">
                  <c:v>ACTUATOR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5058</c:v>
                </c:pt>
                <c:pt idx="1">
                  <c:v>3479</c:v>
                </c:pt>
                <c:pt idx="2">
                  <c:v>4916</c:v>
                </c:pt>
                <c:pt idx="3">
                  <c:v>4848</c:v>
                </c:pt>
                <c:pt idx="4">
                  <c:v>10502</c:v>
                </c:pt>
                <c:pt idx="5">
                  <c:v>1412</c:v>
                </c:pt>
                <c:pt idx="6">
                  <c:v>2804</c:v>
                </c:pt>
                <c:pt idx="7">
                  <c:v>11118</c:v>
                </c:pt>
                <c:pt idx="8">
                  <c:v>1050</c:v>
                </c:pt>
                <c:pt idx="9">
                  <c:v>12356</c:v>
                </c:pt>
                <c:pt idx="10">
                  <c:v>3047</c:v>
                </c:pt>
                <c:pt idx="11">
                  <c:v>16140</c:v>
                </c:pt>
                <c:pt idx="12">
                  <c:v>5049</c:v>
                </c:pt>
                <c:pt idx="13">
                  <c:v>3863</c:v>
                </c:pt>
                <c:pt idx="14">
                  <c:v>5105</c:v>
                </c:pt>
                <c:pt idx="15">
                  <c:v>34220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A8-4894-AA75-986F78E15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6"/>
                <c:pt idx="0">
                  <c:v>100%</c:v>
                </c:pt>
                <c:pt idx="1">
                  <c:v>67%</c:v>
                </c:pt>
                <c:pt idx="2">
                  <c:v>29%</c:v>
                </c:pt>
                <c:pt idx="3">
                  <c:v>100%</c:v>
                </c:pt>
                <c:pt idx="4">
                  <c:v>100%</c:v>
                </c:pt>
                <c:pt idx="5">
                  <c:v>33%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75%</c:v>
                </c:pt>
                <c:pt idx="11">
                  <c:v>100%</c:v>
                </c:pt>
                <c:pt idx="12">
                  <c:v>71%</c:v>
                </c:pt>
                <c:pt idx="13">
                  <c:v>79%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ACTUATOR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1</c:v>
                </c:pt>
                <c:pt idx="1">
                  <c:v>0.66666666666666663</c:v>
                </c:pt>
                <c:pt idx="2">
                  <c:v>0.29166666666666669</c:v>
                </c:pt>
                <c:pt idx="3">
                  <c:v>1</c:v>
                </c:pt>
                <c:pt idx="4">
                  <c:v>1</c:v>
                </c:pt>
                <c:pt idx="5">
                  <c:v>0.33333333333333331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0.75</c:v>
                </c:pt>
                <c:pt idx="11">
                  <c:v>1</c:v>
                </c:pt>
                <c:pt idx="12">
                  <c:v>0.70833333333333337</c:v>
                </c:pt>
                <c:pt idx="13">
                  <c:v>0.79166666666666663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54-4D81-98D5-F0A65FD4B99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654-4D81-98D5-F0A65FD4B99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ACTUATOR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0.59635416666666663</c:v>
                </c:pt>
                <c:pt idx="1">
                  <c:v>0.59635416666666663</c:v>
                </c:pt>
                <c:pt idx="2">
                  <c:v>0.59635416666666663</c:v>
                </c:pt>
                <c:pt idx="3">
                  <c:v>0.59635416666666663</c:v>
                </c:pt>
                <c:pt idx="4">
                  <c:v>0.59635416666666663</c:v>
                </c:pt>
                <c:pt idx="5">
                  <c:v>0.59635416666666663</c:v>
                </c:pt>
                <c:pt idx="6">
                  <c:v>0.59635416666666663</c:v>
                </c:pt>
                <c:pt idx="7">
                  <c:v>0.59635416666666663</c:v>
                </c:pt>
                <c:pt idx="8">
                  <c:v>0.59635416666666663</c:v>
                </c:pt>
                <c:pt idx="9">
                  <c:v>0.59635416666666663</c:v>
                </c:pt>
                <c:pt idx="10">
                  <c:v>0.59635416666666663</c:v>
                </c:pt>
                <c:pt idx="11">
                  <c:v>0.59635416666666663</c:v>
                </c:pt>
                <c:pt idx="12">
                  <c:v>0.59635416666666663</c:v>
                </c:pt>
                <c:pt idx="13">
                  <c:v>0.59635416666666663</c:v>
                </c:pt>
                <c:pt idx="14">
                  <c:v>0.59635416666666663</c:v>
                </c:pt>
                <c:pt idx="15">
                  <c:v>0.59635416666666663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54-4D81-98D5-F0A65FD4B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C14-43CF-B07F-6FB07D12DC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4-43CF-B07F-6FB07D12D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C14-43CF-B07F-6FB07D12DCB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14-43CF-B07F-6FB07D12D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ADAPTER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'29'!$L$6:$L$27</c:f>
              <c:numCache>
                <c:formatCode>_(* #,##0_);_(* \(#,##0\);_(* "-"_);_(@_)</c:formatCode>
                <c:ptCount val="22"/>
                <c:pt idx="0">
                  <c:v>2384</c:v>
                </c:pt>
                <c:pt idx="1">
                  <c:v>6290</c:v>
                </c:pt>
                <c:pt idx="2">
                  <c:v>3163</c:v>
                </c:pt>
                <c:pt idx="3">
                  <c:v>4251</c:v>
                </c:pt>
                <c:pt idx="4">
                  <c:v>6380</c:v>
                </c:pt>
                <c:pt idx="7">
                  <c:v>11656</c:v>
                </c:pt>
                <c:pt idx="10">
                  <c:v>5223</c:v>
                </c:pt>
                <c:pt idx="11">
                  <c:v>15960</c:v>
                </c:pt>
                <c:pt idx="12">
                  <c:v>2711</c:v>
                </c:pt>
                <c:pt idx="13">
                  <c:v>3917</c:v>
                </c:pt>
                <c:pt idx="14">
                  <c:v>4943</c:v>
                </c:pt>
                <c:pt idx="18">
                  <c:v>27572</c:v>
                </c:pt>
                <c:pt idx="19">
                  <c:v>24768</c:v>
                </c:pt>
                <c:pt idx="20">
                  <c:v>25004</c:v>
                </c:pt>
                <c:pt idx="21">
                  <c:v>22152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5A-41A3-800A-B14A0CB332FC}"/>
            </c:ext>
          </c:extLst>
        </c:ser>
        <c:ser>
          <c:idx val="1"/>
          <c:order val="1"/>
          <c:tx>
            <c:v>계획</c:v>
          </c:tx>
          <c:cat>
            <c:strRef>
              <c:f>'29'!$D$6:$D$27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ADAPTER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'29'!$J$6:$J$27</c:f>
              <c:numCache>
                <c:formatCode>_(* #,##0_);_(* \(#,##0\);_(* "-"_);_(@_)</c:formatCode>
                <c:ptCount val="22"/>
                <c:pt idx="0">
                  <c:v>2384</c:v>
                </c:pt>
                <c:pt idx="1">
                  <c:v>6290</c:v>
                </c:pt>
                <c:pt idx="2">
                  <c:v>3163</c:v>
                </c:pt>
                <c:pt idx="3">
                  <c:v>4251</c:v>
                </c:pt>
                <c:pt idx="4">
                  <c:v>6380</c:v>
                </c:pt>
                <c:pt idx="5">
                  <c:v>1412</c:v>
                </c:pt>
                <c:pt idx="6">
                  <c:v>2804</c:v>
                </c:pt>
                <c:pt idx="7">
                  <c:v>11656</c:v>
                </c:pt>
                <c:pt idx="8">
                  <c:v>1050</c:v>
                </c:pt>
                <c:pt idx="9">
                  <c:v>12356</c:v>
                </c:pt>
                <c:pt idx="10">
                  <c:v>5223</c:v>
                </c:pt>
                <c:pt idx="11">
                  <c:v>15960</c:v>
                </c:pt>
                <c:pt idx="12">
                  <c:v>2711</c:v>
                </c:pt>
                <c:pt idx="13">
                  <c:v>3917</c:v>
                </c:pt>
                <c:pt idx="14">
                  <c:v>4943</c:v>
                </c:pt>
                <c:pt idx="15">
                  <c:v>34220</c:v>
                </c:pt>
                <c:pt idx="16">
                  <c:v>34220</c:v>
                </c:pt>
                <c:pt idx="17">
                  <c:v>34220</c:v>
                </c:pt>
                <c:pt idx="18">
                  <c:v>27572</c:v>
                </c:pt>
                <c:pt idx="19">
                  <c:v>24768</c:v>
                </c:pt>
                <c:pt idx="20">
                  <c:v>25004</c:v>
                </c:pt>
                <c:pt idx="21">
                  <c:v>22152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5A-41A3-800A-B14A0CB33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'29'!$AD$6:$AD$27</c:f>
              <c:strCache>
                <c:ptCount val="22"/>
                <c:pt idx="0">
                  <c:v>46%</c:v>
                </c:pt>
                <c:pt idx="1">
                  <c:v>100%</c:v>
                </c:pt>
                <c:pt idx="2">
                  <c:v>83%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50%</c:v>
                </c:pt>
                <c:pt idx="13">
                  <c:v>83%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92%</c:v>
                </c:pt>
                <c:pt idx="19">
                  <c:v>92%</c:v>
                </c:pt>
                <c:pt idx="20">
                  <c:v>92%</c:v>
                </c:pt>
                <c:pt idx="21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ADAPTER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'29'!$AD$6:$AD$27</c:f>
              <c:numCache>
                <c:formatCode>0%</c:formatCode>
                <c:ptCount val="22"/>
                <c:pt idx="0">
                  <c:v>0.45833333333333331</c:v>
                </c:pt>
                <c:pt idx="1">
                  <c:v>1</c:v>
                </c:pt>
                <c:pt idx="2">
                  <c:v>0.83333333333333337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0.5</c:v>
                </c:pt>
                <c:pt idx="13">
                  <c:v>0.83333333333333337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0.91666666666666663</c:v>
                </c:pt>
                <c:pt idx="19">
                  <c:v>0.91666666666666663</c:v>
                </c:pt>
                <c:pt idx="20">
                  <c:v>0.91666666666666663</c:v>
                </c:pt>
                <c:pt idx="21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8F-495F-8F43-B9B262B7AE6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8F-495F-8F43-B9B262B7AE6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ADAPTER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'29'!$AE$6:$AE$27</c:f>
              <c:numCache>
                <c:formatCode>0%</c:formatCode>
                <c:ptCount val="22"/>
                <c:pt idx="0">
                  <c:v>0.60416666666666652</c:v>
                </c:pt>
                <c:pt idx="1">
                  <c:v>0.60416666666666652</c:v>
                </c:pt>
                <c:pt idx="2">
                  <c:v>0.60416666666666652</c:v>
                </c:pt>
                <c:pt idx="3">
                  <c:v>0.60416666666666652</c:v>
                </c:pt>
                <c:pt idx="4">
                  <c:v>0.60416666666666652</c:v>
                </c:pt>
                <c:pt idx="5">
                  <c:v>0.60416666666666652</c:v>
                </c:pt>
                <c:pt idx="6">
                  <c:v>0.60416666666666652</c:v>
                </c:pt>
                <c:pt idx="7">
                  <c:v>0.60416666666666652</c:v>
                </c:pt>
                <c:pt idx="8">
                  <c:v>0.60416666666666652</c:v>
                </c:pt>
                <c:pt idx="9">
                  <c:v>0.60416666666666652</c:v>
                </c:pt>
                <c:pt idx="10">
                  <c:v>0.60416666666666652</c:v>
                </c:pt>
                <c:pt idx="11">
                  <c:v>0.60416666666666652</c:v>
                </c:pt>
                <c:pt idx="12">
                  <c:v>0.60416666666666652</c:v>
                </c:pt>
                <c:pt idx="13">
                  <c:v>0.60416666666666652</c:v>
                </c:pt>
                <c:pt idx="14">
                  <c:v>0.60416666666666652</c:v>
                </c:pt>
                <c:pt idx="15">
                  <c:v>0.60416666666666652</c:v>
                </c:pt>
                <c:pt idx="16">
                  <c:v>0.60416666666666652</c:v>
                </c:pt>
                <c:pt idx="17">
                  <c:v>0.60416666666666652</c:v>
                </c:pt>
                <c:pt idx="18">
                  <c:v>0.60416666666666652</c:v>
                </c:pt>
                <c:pt idx="19">
                  <c:v>0.60416666666666652</c:v>
                </c:pt>
                <c:pt idx="20">
                  <c:v>0.60416666666666652</c:v>
                </c:pt>
                <c:pt idx="21">
                  <c:v>0.60416666666666652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8F-495F-8F43-B9B262B7A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ADAPTER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'29'!$L$6:$L$27</c:f>
              <c:numCache>
                <c:formatCode>_(* #,##0_);_(* \(#,##0\);_(* "-"_);_(@_)</c:formatCode>
                <c:ptCount val="22"/>
                <c:pt idx="0">
                  <c:v>2384</c:v>
                </c:pt>
                <c:pt idx="1">
                  <c:v>6290</c:v>
                </c:pt>
                <c:pt idx="2">
                  <c:v>3163</c:v>
                </c:pt>
                <c:pt idx="3">
                  <c:v>4251</c:v>
                </c:pt>
                <c:pt idx="4">
                  <c:v>6380</c:v>
                </c:pt>
                <c:pt idx="7">
                  <c:v>11656</c:v>
                </c:pt>
                <c:pt idx="10">
                  <c:v>5223</c:v>
                </c:pt>
                <c:pt idx="11">
                  <c:v>15960</c:v>
                </c:pt>
                <c:pt idx="12">
                  <c:v>2711</c:v>
                </c:pt>
                <c:pt idx="13">
                  <c:v>3917</c:v>
                </c:pt>
                <c:pt idx="14">
                  <c:v>4943</c:v>
                </c:pt>
                <c:pt idx="18">
                  <c:v>27572</c:v>
                </c:pt>
                <c:pt idx="19">
                  <c:v>24768</c:v>
                </c:pt>
                <c:pt idx="20">
                  <c:v>25004</c:v>
                </c:pt>
                <c:pt idx="21">
                  <c:v>22152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1-4B16-BB01-3C217517F8DE}"/>
            </c:ext>
          </c:extLst>
        </c:ser>
        <c:ser>
          <c:idx val="1"/>
          <c:order val="1"/>
          <c:tx>
            <c:v>계획</c:v>
          </c:tx>
          <c:cat>
            <c:strRef>
              <c:f>'29'!$D$6:$D$27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ADAPTER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'29'!$J$6:$J$27</c:f>
              <c:numCache>
                <c:formatCode>_(* #,##0_);_(* \(#,##0\);_(* "-"_);_(@_)</c:formatCode>
                <c:ptCount val="22"/>
                <c:pt idx="0">
                  <c:v>2384</c:v>
                </c:pt>
                <c:pt idx="1">
                  <c:v>6290</c:v>
                </c:pt>
                <c:pt idx="2">
                  <c:v>3163</c:v>
                </c:pt>
                <c:pt idx="3">
                  <c:v>4251</c:v>
                </c:pt>
                <c:pt idx="4">
                  <c:v>6380</c:v>
                </c:pt>
                <c:pt idx="5">
                  <c:v>1412</c:v>
                </c:pt>
                <c:pt idx="6">
                  <c:v>2804</c:v>
                </c:pt>
                <c:pt idx="7">
                  <c:v>11656</c:v>
                </c:pt>
                <c:pt idx="8">
                  <c:v>1050</c:v>
                </c:pt>
                <c:pt idx="9">
                  <c:v>12356</c:v>
                </c:pt>
                <c:pt idx="10">
                  <c:v>5223</c:v>
                </c:pt>
                <c:pt idx="11">
                  <c:v>15960</c:v>
                </c:pt>
                <c:pt idx="12">
                  <c:v>2711</c:v>
                </c:pt>
                <c:pt idx="13">
                  <c:v>3917</c:v>
                </c:pt>
                <c:pt idx="14">
                  <c:v>4943</c:v>
                </c:pt>
                <c:pt idx="15">
                  <c:v>34220</c:v>
                </c:pt>
                <c:pt idx="16">
                  <c:v>34220</c:v>
                </c:pt>
                <c:pt idx="17">
                  <c:v>34220</c:v>
                </c:pt>
                <c:pt idx="18">
                  <c:v>27572</c:v>
                </c:pt>
                <c:pt idx="19">
                  <c:v>24768</c:v>
                </c:pt>
                <c:pt idx="20">
                  <c:v>25004</c:v>
                </c:pt>
                <c:pt idx="21">
                  <c:v>22152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11-4B16-BB01-3C217517F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'29'!$AD$6:$AD$27</c:f>
              <c:strCache>
                <c:ptCount val="22"/>
                <c:pt idx="0">
                  <c:v>46%</c:v>
                </c:pt>
                <c:pt idx="1">
                  <c:v>100%</c:v>
                </c:pt>
                <c:pt idx="2">
                  <c:v>83%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50%</c:v>
                </c:pt>
                <c:pt idx="13">
                  <c:v>83%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92%</c:v>
                </c:pt>
                <c:pt idx="19">
                  <c:v>92%</c:v>
                </c:pt>
                <c:pt idx="20">
                  <c:v>92%</c:v>
                </c:pt>
                <c:pt idx="21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ADAPTER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'29'!$AD$6:$AD$27</c:f>
              <c:numCache>
                <c:formatCode>0%</c:formatCode>
                <c:ptCount val="22"/>
                <c:pt idx="0">
                  <c:v>0.45833333333333331</c:v>
                </c:pt>
                <c:pt idx="1">
                  <c:v>1</c:v>
                </c:pt>
                <c:pt idx="2">
                  <c:v>0.83333333333333337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0.5</c:v>
                </c:pt>
                <c:pt idx="13">
                  <c:v>0.83333333333333337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0.91666666666666663</c:v>
                </c:pt>
                <c:pt idx="19">
                  <c:v>0.91666666666666663</c:v>
                </c:pt>
                <c:pt idx="20">
                  <c:v>0.91666666666666663</c:v>
                </c:pt>
                <c:pt idx="21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E91-BB08-D97BE3632DD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30674658064879634"/>
                  <c:y val="1.625518632276517E-2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C6-4E91-BB08-D97BE3632DD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ADAPTER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'29'!$AE$6:$AE$27</c:f>
              <c:numCache>
                <c:formatCode>0%</c:formatCode>
                <c:ptCount val="22"/>
                <c:pt idx="0">
                  <c:v>0.60416666666666652</c:v>
                </c:pt>
                <c:pt idx="1">
                  <c:v>0.60416666666666652</c:v>
                </c:pt>
                <c:pt idx="2">
                  <c:v>0.60416666666666652</c:v>
                </c:pt>
                <c:pt idx="3">
                  <c:v>0.60416666666666652</c:v>
                </c:pt>
                <c:pt idx="4">
                  <c:v>0.60416666666666652</c:v>
                </c:pt>
                <c:pt idx="5">
                  <c:v>0.60416666666666652</c:v>
                </c:pt>
                <c:pt idx="6">
                  <c:v>0.60416666666666652</c:v>
                </c:pt>
                <c:pt idx="7">
                  <c:v>0.60416666666666652</c:v>
                </c:pt>
                <c:pt idx="8">
                  <c:v>0.60416666666666652</c:v>
                </c:pt>
                <c:pt idx="9">
                  <c:v>0.60416666666666652</c:v>
                </c:pt>
                <c:pt idx="10">
                  <c:v>0.60416666666666652</c:v>
                </c:pt>
                <c:pt idx="11">
                  <c:v>0.60416666666666652</c:v>
                </c:pt>
                <c:pt idx="12">
                  <c:v>0.60416666666666652</c:v>
                </c:pt>
                <c:pt idx="13">
                  <c:v>0.60416666666666652</c:v>
                </c:pt>
                <c:pt idx="14">
                  <c:v>0.60416666666666652</c:v>
                </c:pt>
                <c:pt idx="15">
                  <c:v>0.60416666666666652</c:v>
                </c:pt>
                <c:pt idx="16">
                  <c:v>0.60416666666666652</c:v>
                </c:pt>
                <c:pt idx="17">
                  <c:v>0.60416666666666652</c:v>
                </c:pt>
                <c:pt idx="18">
                  <c:v>0.60416666666666652</c:v>
                </c:pt>
                <c:pt idx="19">
                  <c:v>0.60416666666666652</c:v>
                </c:pt>
                <c:pt idx="20">
                  <c:v>0.60416666666666652</c:v>
                </c:pt>
                <c:pt idx="21">
                  <c:v>0.60416666666666652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C6-4E91-BB08-D97BE3632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045-4C0F-BA58-757165A199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45-4C0F-BA58-757165A19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045-4C0F-BA58-757165A1999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45-4C0F-BA58-757165A19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'30'!$L$6:$L$27</c:f>
              <c:numCache>
                <c:formatCode>_(* #,##0_);_(* \(#,##0\);_(* "-"_);_(@_)</c:formatCode>
                <c:ptCount val="22"/>
                <c:pt idx="0">
                  <c:v>8412</c:v>
                </c:pt>
                <c:pt idx="2">
                  <c:v>21244</c:v>
                </c:pt>
                <c:pt idx="3">
                  <c:v>4849</c:v>
                </c:pt>
                <c:pt idx="4">
                  <c:v>6789</c:v>
                </c:pt>
                <c:pt idx="6">
                  <c:v>4676</c:v>
                </c:pt>
                <c:pt idx="7">
                  <c:v>11840</c:v>
                </c:pt>
                <c:pt idx="8">
                  <c:v>800</c:v>
                </c:pt>
                <c:pt idx="10">
                  <c:v>5599</c:v>
                </c:pt>
                <c:pt idx="11">
                  <c:v>17466</c:v>
                </c:pt>
                <c:pt idx="12">
                  <c:v>6081</c:v>
                </c:pt>
                <c:pt idx="13">
                  <c:v>3410</c:v>
                </c:pt>
                <c:pt idx="14">
                  <c:v>5211</c:v>
                </c:pt>
                <c:pt idx="18">
                  <c:v>32268</c:v>
                </c:pt>
                <c:pt idx="19">
                  <c:v>29084</c:v>
                </c:pt>
                <c:pt idx="20">
                  <c:v>29968</c:v>
                </c:pt>
                <c:pt idx="21">
                  <c:v>26340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9-4AD5-8824-BA89177F64B2}"/>
            </c:ext>
          </c:extLst>
        </c:ser>
        <c:ser>
          <c:idx val="1"/>
          <c:order val="1"/>
          <c:tx>
            <c:v>계획</c:v>
          </c:tx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'30'!$J$6:$J$27</c:f>
              <c:numCache>
                <c:formatCode>_(* #,##0_);_(* \(#,##0\);_(* "-"_);_(@_)</c:formatCode>
                <c:ptCount val="22"/>
                <c:pt idx="0">
                  <c:v>8412</c:v>
                </c:pt>
                <c:pt idx="1">
                  <c:v>6290</c:v>
                </c:pt>
                <c:pt idx="2">
                  <c:v>21244</c:v>
                </c:pt>
                <c:pt idx="3">
                  <c:v>4849</c:v>
                </c:pt>
                <c:pt idx="4">
                  <c:v>6789</c:v>
                </c:pt>
                <c:pt idx="5">
                  <c:v>1412</c:v>
                </c:pt>
                <c:pt idx="6">
                  <c:v>4676</c:v>
                </c:pt>
                <c:pt idx="7">
                  <c:v>11840</c:v>
                </c:pt>
                <c:pt idx="8">
                  <c:v>800</c:v>
                </c:pt>
                <c:pt idx="9">
                  <c:v>12356</c:v>
                </c:pt>
                <c:pt idx="10">
                  <c:v>5599</c:v>
                </c:pt>
                <c:pt idx="11">
                  <c:v>17466</c:v>
                </c:pt>
                <c:pt idx="12">
                  <c:v>6081</c:v>
                </c:pt>
                <c:pt idx="13">
                  <c:v>3410</c:v>
                </c:pt>
                <c:pt idx="14">
                  <c:v>5211</c:v>
                </c:pt>
                <c:pt idx="15">
                  <c:v>34220</c:v>
                </c:pt>
                <c:pt idx="16">
                  <c:v>0</c:v>
                </c:pt>
                <c:pt idx="17">
                  <c:v>0</c:v>
                </c:pt>
                <c:pt idx="18">
                  <c:v>32268</c:v>
                </c:pt>
                <c:pt idx="19">
                  <c:v>29084</c:v>
                </c:pt>
                <c:pt idx="20">
                  <c:v>29968</c:v>
                </c:pt>
                <c:pt idx="21">
                  <c:v>26340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B9-4AD5-8824-BA89177F6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'30'!$AD$6:$AD$27</c:f>
              <c:strCache>
                <c:ptCount val="22"/>
                <c:pt idx="0">
                  <c:v>79%</c:v>
                </c:pt>
                <c:pt idx="1">
                  <c:v>0%</c:v>
                </c:pt>
                <c:pt idx="2">
                  <c:v>96%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83%</c:v>
                </c:pt>
                <c:pt idx="7">
                  <c:v>100%</c:v>
                </c:pt>
                <c:pt idx="8">
                  <c:v>42%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79%</c:v>
                </c:pt>
                <c:pt idx="13">
                  <c:v>71%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100%</c:v>
                </c:pt>
                <c:pt idx="20">
                  <c:v>100%</c:v>
                </c:pt>
                <c:pt idx="21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'30'!$AD$6:$AD$27</c:f>
              <c:numCache>
                <c:formatCode>0%</c:formatCode>
                <c:ptCount val="22"/>
                <c:pt idx="0">
                  <c:v>0.79166666666666663</c:v>
                </c:pt>
                <c:pt idx="1">
                  <c:v>0</c:v>
                </c:pt>
                <c:pt idx="2">
                  <c:v>0.95833333333333337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0.83333333333333337</c:v>
                </c:pt>
                <c:pt idx="7">
                  <c:v>1</c:v>
                </c:pt>
                <c:pt idx="8">
                  <c:v>0.41666666666666669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0.79166666666666663</c:v>
                </c:pt>
                <c:pt idx="13">
                  <c:v>0.70833333333333337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1-4C03-A3FF-E794D407E62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D1-4C03-A3FF-E794D407E62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'30'!$AE$6:$AE$27</c:f>
              <c:numCache>
                <c:formatCode>0%</c:formatCode>
                <c:ptCount val="22"/>
                <c:pt idx="0">
                  <c:v>0.65909090909090906</c:v>
                </c:pt>
                <c:pt idx="1">
                  <c:v>0.65909090909090906</c:v>
                </c:pt>
                <c:pt idx="2">
                  <c:v>0.65909090909090906</c:v>
                </c:pt>
                <c:pt idx="3">
                  <c:v>0.65909090909090906</c:v>
                </c:pt>
                <c:pt idx="4">
                  <c:v>0.65909090909090906</c:v>
                </c:pt>
                <c:pt idx="5">
                  <c:v>0.65909090909090906</c:v>
                </c:pt>
                <c:pt idx="6">
                  <c:v>0.65909090909090906</c:v>
                </c:pt>
                <c:pt idx="7">
                  <c:v>0.65909090909090906</c:v>
                </c:pt>
                <c:pt idx="8">
                  <c:v>0.65909090909090906</c:v>
                </c:pt>
                <c:pt idx="9">
                  <c:v>0.65909090909090906</c:v>
                </c:pt>
                <c:pt idx="10">
                  <c:v>0.65909090909090906</c:v>
                </c:pt>
                <c:pt idx="11">
                  <c:v>0.65909090909090906</c:v>
                </c:pt>
                <c:pt idx="12">
                  <c:v>0.65909090909090906</c:v>
                </c:pt>
                <c:pt idx="13">
                  <c:v>0.65909090909090906</c:v>
                </c:pt>
                <c:pt idx="14">
                  <c:v>0.65909090909090906</c:v>
                </c:pt>
                <c:pt idx="15">
                  <c:v>0.65909090909090906</c:v>
                </c:pt>
                <c:pt idx="16">
                  <c:v>0.65909090909090906</c:v>
                </c:pt>
                <c:pt idx="17">
                  <c:v>0.65909090909090906</c:v>
                </c:pt>
                <c:pt idx="18">
                  <c:v>0.65909090909090906</c:v>
                </c:pt>
                <c:pt idx="19">
                  <c:v>0.65909090909090906</c:v>
                </c:pt>
                <c:pt idx="20">
                  <c:v>0.65909090909090906</c:v>
                </c:pt>
                <c:pt idx="21">
                  <c:v>0.65909090909090906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D1-4C03-A3FF-E794D407E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'30'!$L$6:$L$27</c:f>
              <c:numCache>
                <c:formatCode>_(* #,##0_);_(* \(#,##0\);_(* "-"_);_(@_)</c:formatCode>
                <c:ptCount val="22"/>
                <c:pt idx="0">
                  <c:v>8412</c:v>
                </c:pt>
                <c:pt idx="2">
                  <c:v>21244</c:v>
                </c:pt>
                <c:pt idx="3">
                  <c:v>4849</c:v>
                </c:pt>
                <c:pt idx="4">
                  <c:v>6789</c:v>
                </c:pt>
                <c:pt idx="6">
                  <c:v>4676</c:v>
                </c:pt>
                <c:pt idx="7">
                  <c:v>11840</c:v>
                </c:pt>
                <c:pt idx="8">
                  <c:v>800</c:v>
                </c:pt>
                <c:pt idx="10">
                  <c:v>5599</c:v>
                </c:pt>
                <c:pt idx="11">
                  <c:v>17466</c:v>
                </c:pt>
                <c:pt idx="12">
                  <c:v>6081</c:v>
                </c:pt>
                <c:pt idx="13">
                  <c:v>3410</c:v>
                </c:pt>
                <c:pt idx="14">
                  <c:v>5211</c:v>
                </c:pt>
                <c:pt idx="18">
                  <c:v>32268</c:v>
                </c:pt>
                <c:pt idx="19">
                  <c:v>29084</c:v>
                </c:pt>
                <c:pt idx="20">
                  <c:v>29968</c:v>
                </c:pt>
                <c:pt idx="21">
                  <c:v>26340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3F-48E8-9C7C-35AACDD8A4A1}"/>
            </c:ext>
          </c:extLst>
        </c:ser>
        <c:ser>
          <c:idx val="1"/>
          <c:order val="1"/>
          <c:tx>
            <c:v>계획</c:v>
          </c:tx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'30'!$J$6:$J$27</c:f>
              <c:numCache>
                <c:formatCode>_(* #,##0_);_(* \(#,##0\);_(* "-"_);_(@_)</c:formatCode>
                <c:ptCount val="22"/>
                <c:pt idx="0">
                  <c:v>8412</c:v>
                </c:pt>
                <c:pt idx="1">
                  <c:v>6290</c:v>
                </c:pt>
                <c:pt idx="2">
                  <c:v>21244</c:v>
                </c:pt>
                <c:pt idx="3">
                  <c:v>4849</c:v>
                </c:pt>
                <c:pt idx="4">
                  <c:v>6789</c:v>
                </c:pt>
                <c:pt idx="5">
                  <c:v>1412</c:v>
                </c:pt>
                <c:pt idx="6">
                  <c:v>4676</c:v>
                </c:pt>
                <c:pt idx="7">
                  <c:v>11840</c:v>
                </c:pt>
                <c:pt idx="8">
                  <c:v>800</c:v>
                </c:pt>
                <c:pt idx="9">
                  <c:v>12356</c:v>
                </c:pt>
                <c:pt idx="10">
                  <c:v>5599</c:v>
                </c:pt>
                <c:pt idx="11">
                  <c:v>17466</c:v>
                </c:pt>
                <c:pt idx="12">
                  <c:v>6081</c:v>
                </c:pt>
                <c:pt idx="13">
                  <c:v>3410</c:v>
                </c:pt>
                <c:pt idx="14">
                  <c:v>5211</c:v>
                </c:pt>
                <c:pt idx="15">
                  <c:v>34220</c:v>
                </c:pt>
                <c:pt idx="16">
                  <c:v>0</c:v>
                </c:pt>
                <c:pt idx="17">
                  <c:v>0</c:v>
                </c:pt>
                <c:pt idx="18">
                  <c:v>32268</c:v>
                </c:pt>
                <c:pt idx="19">
                  <c:v>29084</c:v>
                </c:pt>
                <c:pt idx="20">
                  <c:v>29968</c:v>
                </c:pt>
                <c:pt idx="21">
                  <c:v>26340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3F-48E8-9C7C-35AACDD8A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'30'!$AD$6:$AD$27</c:f>
              <c:strCache>
                <c:ptCount val="22"/>
                <c:pt idx="0">
                  <c:v>79%</c:v>
                </c:pt>
                <c:pt idx="1">
                  <c:v>0%</c:v>
                </c:pt>
                <c:pt idx="2">
                  <c:v>96%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83%</c:v>
                </c:pt>
                <c:pt idx="7">
                  <c:v>100%</c:v>
                </c:pt>
                <c:pt idx="8">
                  <c:v>42%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79%</c:v>
                </c:pt>
                <c:pt idx="13">
                  <c:v>71%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100%</c:v>
                </c:pt>
                <c:pt idx="20">
                  <c:v>100%</c:v>
                </c:pt>
                <c:pt idx="21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'30'!$AD$6:$AD$27</c:f>
              <c:numCache>
                <c:formatCode>0%</c:formatCode>
                <c:ptCount val="22"/>
                <c:pt idx="0">
                  <c:v>0.79166666666666663</c:v>
                </c:pt>
                <c:pt idx="1">
                  <c:v>0</c:v>
                </c:pt>
                <c:pt idx="2">
                  <c:v>0.95833333333333337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0.83333333333333337</c:v>
                </c:pt>
                <c:pt idx="7">
                  <c:v>1</c:v>
                </c:pt>
                <c:pt idx="8">
                  <c:v>0.41666666666666669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0.79166666666666663</c:v>
                </c:pt>
                <c:pt idx="13">
                  <c:v>0.70833333333333337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C-4F64-9F4A-1791448E96E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30674658064879634"/>
                  <c:y val="1.625518632276517E-2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4C-4F64-9F4A-1791448E96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'30'!$AE$6:$AE$27</c:f>
              <c:numCache>
                <c:formatCode>0%</c:formatCode>
                <c:ptCount val="22"/>
                <c:pt idx="0">
                  <c:v>0.65909090909090906</c:v>
                </c:pt>
                <c:pt idx="1">
                  <c:v>0.65909090909090906</c:v>
                </c:pt>
                <c:pt idx="2">
                  <c:v>0.65909090909090906</c:v>
                </c:pt>
                <c:pt idx="3">
                  <c:v>0.65909090909090906</c:v>
                </c:pt>
                <c:pt idx="4">
                  <c:v>0.65909090909090906</c:v>
                </c:pt>
                <c:pt idx="5">
                  <c:v>0.65909090909090906</c:v>
                </c:pt>
                <c:pt idx="6">
                  <c:v>0.65909090909090906</c:v>
                </c:pt>
                <c:pt idx="7">
                  <c:v>0.65909090909090906</c:v>
                </c:pt>
                <c:pt idx="8">
                  <c:v>0.65909090909090906</c:v>
                </c:pt>
                <c:pt idx="9">
                  <c:v>0.65909090909090906</c:v>
                </c:pt>
                <c:pt idx="10">
                  <c:v>0.65909090909090906</c:v>
                </c:pt>
                <c:pt idx="11">
                  <c:v>0.65909090909090906</c:v>
                </c:pt>
                <c:pt idx="12">
                  <c:v>0.65909090909090906</c:v>
                </c:pt>
                <c:pt idx="13">
                  <c:v>0.65909090909090906</c:v>
                </c:pt>
                <c:pt idx="14">
                  <c:v>0.65909090909090906</c:v>
                </c:pt>
                <c:pt idx="15">
                  <c:v>0.65909090909090906</c:v>
                </c:pt>
                <c:pt idx="16">
                  <c:v>0.65909090909090906</c:v>
                </c:pt>
                <c:pt idx="17">
                  <c:v>0.65909090909090906</c:v>
                </c:pt>
                <c:pt idx="18">
                  <c:v>0.65909090909090906</c:v>
                </c:pt>
                <c:pt idx="19">
                  <c:v>0.65909090909090906</c:v>
                </c:pt>
                <c:pt idx="20">
                  <c:v>0.65909090909090906</c:v>
                </c:pt>
                <c:pt idx="21">
                  <c:v>0.65909090909090906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4C-4F64-9F4A-1791448E9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D36-44B0-B190-A73A95B0E6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36-44B0-B190-A73A95B0E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D36-44B0-B190-A73A95B0E64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36-44B0-B190-A73A95B0E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'31'!$L$6:$L$27</c:f>
              <c:numCache>
                <c:formatCode>_(* #,##0_);_(* \(#,##0\);_(* "-"_);_(@_)</c:formatCode>
                <c:ptCount val="22"/>
                <c:pt idx="0">
                  <c:v>9776</c:v>
                </c:pt>
                <c:pt idx="1">
                  <c:v>3687</c:v>
                </c:pt>
                <c:pt idx="2">
                  <c:v>23732</c:v>
                </c:pt>
                <c:pt idx="3">
                  <c:v>4446</c:v>
                </c:pt>
                <c:pt idx="4">
                  <c:v>6692</c:v>
                </c:pt>
                <c:pt idx="6">
                  <c:v>4488</c:v>
                </c:pt>
                <c:pt idx="7">
                  <c:v>1346</c:v>
                </c:pt>
                <c:pt idx="10">
                  <c:v>5518</c:v>
                </c:pt>
                <c:pt idx="11">
                  <c:v>17355</c:v>
                </c:pt>
                <c:pt idx="12">
                  <c:v>2649</c:v>
                </c:pt>
                <c:pt idx="13">
                  <c:v>3939</c:v>
                </c:pt>
                <c:pt idx="14">
                  <c:v>2823</c:v>
                </c:pt>
                <c:pt idx="18">
                  <c:v>32324</c:v>
                </c:pt>
                <c:pt idx="19">
                  <c:v>29040</c:v>
                </c:pt>
                <c:pt idx="20">
                  <c:v>31848</c:v>
                </c:pt>
                <c:pt idx="21">
                  <c:v>20956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D-4299-9D09-11FFFE8EA5BA}"/>
            </c:ext>
          </c:extLst>
        </c:ser>
        <c:ser>
          <c:idx val="1"/>
          <c:order val="1"/>
          <c:tx>
            <c:v>계획</c:v>
          </c:tx>
          <c:cat>
            <c:strRef>
              <c:f>'31'!$D$6:$D$27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'31'!$J$6:$J$27</c:f>
              <c:numCache>
                <c:formatCode>_(* #,##0_);_(* \(#,##0\);_(* "-"_);_(@_)</c:formatCode>
                <c:ptCount val="22"/>
                <c:pt idx="0">
                  <c:v>9776</c:v>
                </c:pt>
                <c:pt idx="1">
                  <c:v>3687</c:v>
                </c:pt>
                <c:pt idx="2">
                  <c:v>23732</c:v>
                </c:pt>
                <c:pt idx="3">
                  <c:v>4446</c:v>
                </c:pt>
                <c:pt idx="4">
                  <c:v>6692</c:v>
                </c:pt>
                <c:pt idx="5">
                  <c:v>1412</c:v>
                </c:pt>
                <c:pt idx="6">
                  <c:v>4488</c:v>
                </c:pt>
                <c:pt idx="7">
                  <c:v>1346</c:v>
                </c:pt>
                <c:pt idx="8">
                  <c:v>800</c:v>
                </c:pt>
                <c:pt idx="9">
                  <c:v>12356</c:v>
                </c:pt>
                <c:pt idx="10">
                  <c:v>5518</c:v>
                </c:pt>
                <c:pt idx="11">
                  <c:v>17355</c:v>
                </c:pt>
                <c:pt idx="12">
                  <c:v>2649</c:v>
                </c:pt>
                <c:pt idx="13">
                  <c:v>3939</c:v>
                </c:pt>
                <c:pt idx="14">
                  <c:v>2823</c:v>
                </c:pt>
                <c:pt idx="15">
                  <c:v>34220</c:v>
                </c:pt>
                <c:pt idx="16">
                  <c:v>0</c:v>
                </c:pt>
                <c:pt idx="17">
                  <c:v>0</c:v>
                </c:pt>
                <c:pt idx="18">
                  <c:v>32324</c:v>
                </c:pt>
                <c:pt idx="19">
                  <c:v>29040</c:v>
                </c:pt>
                <c:pt idx="20">
                  <c:v>31848</c:v>
                </c:pt>
                <c:pt idx="21">
                  <c:v>20956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2D-4299-9D09-11FFFE8EA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'31'!$AD$6:$AD$27</c:f>
              <c:strCache>
                <c:ptCount val="22"/>
                <c:pt idx="0">
                  <c:v>83%</c:v>
                </c:pt>
                <c:pt idx="1">
                  <c:v>75%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83%</c:v>
                </c:pt>
                <c:pt idx="7">
                  <c:v>29%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58%</c:v>
                </c:pt>
                <c:pt idx="13">
                  <c:v>83%</c:v>
                </c:pt>
                <c:pt idx="14">
                  <c:v>63%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100%</c:v>
                </c:pt>
                <c:pt idx="20">
                  <c:v>100%</c:v>
                </c:pt>
                <c:pt idx="21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'31'!$AD$6:$AD$27</c:f>
              <c:numCache>
                <c:formatCode>0%</c:formatCode>
                <c:ptCount val="22"/>
                <c:pt idx="0">
                  <c:v>0.83333333333333337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0.83333333333333337</c:v>
                </c:pt>
                <c:pt idx="7">
                  <c:v>0.29166666666666669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0.58333333333333337</c:v>
                </c:pt>
                <c:pt idx="13">
                  <c:v>0.83333333333333337</c:v>
                </c:pt>
                <c:pt idx="14">
                  <c:v>0.625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C2-424C-840F-489B199BC84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C2-424C-840F-489B199BC84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'31'!$AE$6:$AE$27</c:f>
              <c:numCache>
                <c:formatCode>0%</c:formatCode>
                <c:ptCount val="22"/>
                <c:pt idx="0">
                  <c:v>0.61742424242424254</c:v>
                </c:pt>
                <c:pt idx="1">
                  <c:v>0.61742424242424254</c:v>
                </c:pt>
                <c:pt idx="2">
                  <c:v>0.61742424242424254</c:v>
                </c:pt>
                <c:pt idx="3">
                  <c:v>0.61742424242424254</c:v>
                </c:pt>
                <c:pt idx="4">
                  <c:v>0.61742424242424254</c:v>
                </c:pt>
                <c:pt idx="5">
                  <c:v>0.61742424242424254</c:v>
                </c:pt>
                <c:pt idx="6">
                  <c:v>0.61742424242424254</c:v>
                </c:pt>
                <c:pt idx="7">
                  <c:v>0.61742424242424254</c:v>
                </c:pt>
                <c:pt idx="8">
                  <c:v>0.61742424242424254</c:v>
                </c:pt>
                <c:pt idx="9">
                  <c:v>0.61742424242424254</c:v>
                </c:pt>
                <c:pt idx="10">
                  <c:v>0.61742424242424254</c:v>
                </c:pt>
                <c:pt idx="11">
                  <c:v>0.61742424242424254</c:v>
                </c:pt>
                <c:pt idx="12">
                  <c:v>0.61742424242424254</c:v>
                </c:pt>
                <c:pt idx="13">
                  <c:v>0.61742424242424254</c:v>
                </c:pt>
                <c:pt idx="14">
                  <c:v>0.61742424242424254</c:v>
                </c:pt>
                <c:pt idx="15">
                  <c:v>0.61742424242424254</c:v>
                </c:pt>
                <c:pt idx="16">
                  <c:v>0.61742424242424254</c:v>
                </c:pt>
                <c:pt idx="17">
                  <c:v>0.61742424242424254</c:v>
                </c:pt>
                <c:pt idx="18">
                  <c:v>0.61742424242424254</c:v>
                </c:pt>
                <c:pt idx="19">
                  <c:v>0.61742424242424254</c:v>
                </c:pt>
                <c:pt idx="20">
                  <c:v>0.61742424242424254</c:v>
                </c:pt>
                <c:pt idx="21">
                  <c:v>0.61742424242424254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C2-424C-840F-489B199BC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'31'!$L$6:$L$27</c:f>
              <c:numCache>
                <c:formatCode>_(* #,##0_);_(* \(#,##0\);_(* "-"_);_(@_)</c:formatCode>
                <c:ptCount val="22"/>
                <c:pt idx="0">
                  <c:v>9776</c:v>
                </c:pt>
                <c:pt idx="1">
                  <c:v>3687</c:v>
                </c:pt>
                <c:pt idx="2">
                  <c:v>23732</c:v>
                </c:pt>
                <c:pt idx="3">
                  <c:v>4446</c:v>
                </c:pt>
                <c:pt idx="4">
                  <c:v>6692</c:v>
                </c:pt>
                <c:pt idx="6">
                  <c:v>4488</c:v>
                </c:pt>
                <c:pt idx="7">
                  <c:v>1346</c:v>
                </c:pt>
                <c:pt idx="10">
                  <c:v>5518</c:v>
                </c:pt>
                <c:pt idx="11">
                  <c:v>17355</c:v>
                </c:pt>
                <c:pt idx="12">
                  <c:v>2649</c:v>
                </c:pt>
                <c:pt idx="13">
                  <c:v>3939</c:v>
                </c:pt>
                <c:pt idx="14">
                  <c:v>2823</c:v>
                </c:pt>
                <c:pt idx="18">
                  <c:v>32324</c:v>
                </c:pt>
                <c:pt idx="19">
                  <c:v>29040</c:v>
                </c:pt>
                <c:pt idx="20">
                  <c:v>31848</c:v>
                </c:pt>
                <c:pt idx="21">
                  <c:v>20956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41-4AE9-80D5-A8D11CBDEB03}"/>
            </c:ext>
          </c:extLst>
        </c:ser>
        <c:ser>
          <c:idx val="1"/>
          <c:order val="1"/>
          <c:tx>
            <c:v>계획</c:v>
          </c:tx>
          <c:cat>
            <c:strRef>
              <c:f>'31'!$D$6:$D$27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'31'!$J$6:$J$27</c:f>
              <c:numCache>
                <c:formatCode>_(* #,##0_);_(* \(#,##0\);_(* "-"_);_(@_)</c:formatCode>
                <c:ptCount val="22"/>
                <c:pt idx="0">
                  <c:v>9776</c:v>
                </c:pt>
                <c:pt idx="1">
                  <c:v>3687</c:v>
                </c:pt>
                <c:pt idx="2">
                  <c:v>23732</c:v>
                </c:pt>
                <c:pt idx="3">
                  <c:v>4446</c:v>
                </c:pt>
                <c:pt idx="4">
                  <c:v>6692</c:v>
                </c:pt>
                <c:pt idx="5">
                  <c:v>1412</c:v>
                </c:pt>
                <c:pt idx="6">
                  <c:v>4488</c:v>
                </c:pt>
                <c:pt idx="7">
                  <c:v>1346</c:v>
                </c:pt>
                <c:pt idx="8">
                  <c:v>800</c:v>
                </c:pt>
                <c:pt idx="9">
                  <c:v>12356</c:v>
                </c:pt>
                <c:pt idx="10">
                  <c:v>5518</c:v>
                </c:pt>
                <c:pt idx="11">
                  <c:v>17355</c:v>
                </c:pt>
                <c:pt idx="12">
                  <c:v>2649</c:v>
                </c:pt>
                <c:pt idx="13">
                  <c:v>3939</c:v>
                </c:pt>
                <c:pt idx="14">
                  <c:v>2823</c:v>
                </c:pt>
                <c:pt idx="15">
                  <c:v>34220</c:v>
                </c:pt>
                <c:pt idx="16">
                  <c:v>0</c:v>
                </c:pt>
                <c:pt idx="17">
                  <c:v>0</c:v>
                </c:pt>
                <c:pt idx="18">
                  <c:v>32324</c:v>
                </c:pt>
                <c:pt idx="19">
                  <c:v>29040</c:v>
                </c:pt>
                <c:pt idx="20">
                  <c:v>31848</c:v>
                </c:pt>
                <c:pt idx="21">
                  <c:v>20956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41-4AE9-80D5-A8D11CBDE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'31'!$AD$6:$AD$27</c:f>
              <c:strCache>
                <c:ptCount val="22"/>
                <c:pt idx="0">
                  <c:v>83%</c:v>
                </c:pt>
                <c:pt idx="1">
                  <c:v>75%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83%</c:v>
                </c:pt>
                <c:pt idx="7">
                  <c:v>29%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58%</c:v>
                </c:pt>
                <c:pt idx="13">
                  <c:v>83%</c:v>
                </c:pt>
                <c:pt idx="14">
                  <c:v>63%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100%</c:v>
                </c:pt>
                <c:pt idx="20">
                  <c:v>100%</c:v>
                </c:pt>
                <c:pt idx="21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'31'!$AD$6:$AD$27</c:f>
              <c:numCache>
                <c:formatCode>0%</c:formatCode>
                <c:ptCount val="22"/>
                <c:pt idx="0">
                  <c:v>0.83333333333333337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0.83333333333333337</c:v>
                </c:pt>
                <c:pt idx="7">
                  <c:v>0.29166666666666669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0.58333333333333337</c:v>
                </c:pt>
                <c:pt idx="13">
                  <c:v>0.83333333333333337</c:v>
                </c:pt>
                <c:pt idx="14">
                  <c:v>0.625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4-448B-91AD-8A7BE3FB2E1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30674658064879634"/>
                  <c:y val="1.625518632276517E-2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24-448B-91AD-8A7BE3FB2E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STOPPPER</c:v>
                </c:pt>
                <c:pt idx="5">
                  <c:v>BOTTOM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'31'!$AE$6:$AE$27</c:f>
              <c:numCache>
                <c:formatCode>0%</c:formatCode>
                <c:ptCount val="22"/>
                <c:pt idx="0">
                  <c:v>0.61742424242424254</c:v>
                </c:pt>
                <c:pt idx="1">
                  <c:v>0.61742424242424254</c:v>
                </c:pt>
                <c:pt idx="2">
                  <c:v>0.61742424242424254</c:v>
                </c:pt>
                <c:pt idx="3">
                  <c:v>0.61742424242424254</c:v>
                </c:pt>
                <c:pt idx="4">
                  <c:v>0.61742424242424254</c:v>
                </c:pt>
                <c:pt idx="5">
                  <c:v>0.61742424242424254</c:v>
                </c:pt>
                <c:pt idx="6">
                  <c:v>0.61742424242424254</c:v>
                </c:pt>
                <c:pt idx="7">
                  <c:v>0.61742424242424254</c:v>
                </c:pt>
                <c:pt idx="8">
                  <c:v>0.61742424242424254</c:v>
                </c:pt>
                <c:pt idx="9">
                  <c:v>0.61742424242424254</c:v>
                </c:pt>
                <c:pt idx="10">
                  <c:v>0.61742424242424254</c:v>
                </c:pt>
                <c:pt idx="11">
                  <c:v>0.61742424242424254</c:v>
                </c:pt>
                <c:pt idx="12">
                  <c:v>0.61742424242424254</c:v>
                </c:pt>
                <c:pt idx="13">
                  <c:v>0.61742424242424254</c:v>
                </c:pt>
                <c:pt idx="14">
                  <c:v>0.61742424242424254</c:v>
                </c:pt>
                <c:pt idx="15">
                  <c:v>0.61742424242424254</c:v>
                </c:pt>
                <c:pt idx="16">
                  <c:v>0.61742424242424254</c:v>
                </c:pt>
                <c:pt idx="17">
                  <c:v>0.61742424242424254</c:v>
                </c:pt>
                <c:pt idx="18">
                  <c:v>0.61742424242424254</c:v>
                </c:pt>
                <c:pt idx="19">
                  <c:v>0.61742424242424254</c:v>
                </c:pt>
                <c:pt idx="20">
                  <c:v>0.61742424242424254</c:v>
                </c:pt>
                <c:pt idx="21">
                  <c:v>0.61742424242424254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24-448B-91AD-8A7BE3FB2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815-489C-A351-67235D2D5E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15-489C-A351-67235D2D5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815-489C-A351-67235D2D5EC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15-489C-A351-67235D2D5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03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0.4485294117647059</c:v>
                </c:pt>
                <c:pt idx="2">
                  <c:v>0.64610976646352891</c:v>
                </c:pt>
                <c:pt idx="3">
                  <c:v>0.51315789473684215</c:v>
                </c:pt>
                <c:pt idx="4">
                  <c:v>0.18001974544121399</c:v>
                </c:pt>
                <c:pt idx="7">
                  <c:v>0.61458333333333326</c:v>
                </c:pt>
                <c:pt idx="8">
                  <c:v>0.55729166666666674</c:v>
                </c:pt>
                <c:pt idx="9">
                  <c:v>0.42401960784313725</c:v>
                </c:pt>
                <c:pt idx="10">
                  <c:v>0.62239583333333326</c:v>
                </c:pt>
                <c:pt idx="11">
                  <c:v>0.61458333333333326</c:v>
                </c:pt>
                <c:pt idx="12">
                  <c:v>0.57291666666666674</c:v>
                </c:pt>
                <c:pt idx="14">
                  <c:v>0.57352941176470584</c:v>
                </c:pt>
                <c:pt idx="15">
                  <c:v>0.50520833333333326</c:v>
                </c:pt>
                <c:pt idx="16">
                  <c:v>0.46875000000000011</c:v>
                </c:pt>
                <c:pt idx="17">
                  <c:v>0.53125000000000011</c:v>
                </c:pt>
                <c:pt idx="18">
                  <c:v>0.625</c:v>
                </c:pt>
                <c:pt idx="19">
                  <c:v>0.51302083333333326</c:v>
                </c:pt>
                <c:pt idx="21">
                  <c:v>0.40441176470588241</c:v>
                </c:pt>
                <c:pt idx="22">
                  <c:v>0.51715686274509798</c:v>
                </c:pt>
                <c:pt idx="23">
                  <c:v>0.63802083333333326</c:v>
                </c:pt>
                <c:pt idx="24">
                  <c:v>0.50260416666666674</c:v>
                </c:pt>
                <c:pt idx="25">
                  <c:v>0.53935185185185175</c:v>
                </c:pt>
                <c:pt idx="26">
                  <c:v>0.59635416666666663</c:v>
                </c:pt>
                <c:pt idx="28">
                  <c:v>0.60416666666666652</c:v>
                </c:pt>
                <c:pt idx="29">
                  <c:v>0.65909090909090906</c:v>
                </c:pt>
                <c:pt idx="30">
                  <c:v>0.61742424242424254</c:v>
                </c:pt>
                <c:pt idx="31">
                  <c:v>0.43512733232791767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03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총괄!$A$3:$A$18</c:f>
              <c:strCache>
                <c:ptCount val="16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</c:strCache>
            </c:strRef>
          </c:cat>
          <c:val>
            <c:numRef>
              <c:f>총괄!$AG$3:$AG$18</c:f>
              <c:numCache>
                <c:formatCode>0%</c:formatCode>
                <c:ptCount val="16"/>
                <c:pt idx="0">
                  <c:v>0.50000000000000011</c:v>
                </c:pt>
                <c:pt idx="1">
                  <c:v>0.54838709677419351</c:v>
                </c:pt>
                <c:pt idx="2">
                  <c:v>0.52419354838709675</c:v>
                </c:pt>
                <c:pt idx="3">
                  <c:v>0.64802094388363729</c:v>
                </c:pt>
                <c:pt idx="4">
                  <c:v>0.5873655913978495</c:v>
                </c:pt>
                <c:pt idx="5">
                  <c:v>0.13440860215053763</c:v>
                </c:pt>
                <c:pt idx="6">
                  <c:v>0.60752688172043012</c:v>
                </c:pt>
                <c:pt idx="7">
                  <c:v>0.54569892473118287</c:v>
                </c:pt>
                <c:pt idx="8">
                  <c:v>0.10080645161290322</c:v>
                </c:pt>
                <c:pt idx="9">
                  <c:v>2.2849462365591398E-2</c:v>
                </c:pt>
                <c:pt idx="10">
                  <c:v>0.62179137730795664</c:v>
                </c:pt>
                <c:pt idx="11">
                  <c:v>0.36962365591397844</c:v>
                </c:pt>
                <c:pt idx="12">
                  <c:v>0.60080645161290314</c:v>
                </c:pt>
                <c:pt idx="13">
                  <c:v>0.56317204301075263</c:v>
                </c:pt>
                <c:pt idx="14">
                  <c:v>0.39650537634408606</c:v>
                </c:pt>
                <c:pt idx="15">
                  <c:v>0.36559139784946226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Relationship Id="rId6" Type="http://schemas.openxmlformats.org/officeDocument/2006/relationships/chart" Target="../charts/chart110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2.xml"/><Relationship Id="rId1" Type="http://schemas.openxmlformats.org/officeDocument/2006/relationships/chart" Target="../charts/chart111.xml"/><Relationship Id="rId6" Type="http://schemas.openxmlformats.org/officeDocument/2006/relationships/chart" Target="../charts/chart115.xml"/><Relationship Id="rId5" Type="http://schemas.openxmlformats.org/officeDocument/2006/relationships/chart" Target="../charts/chart114.xml"/><Relationship Id="rId4" Type="http://schemas.openxmlformats.org/officeDocument/2006/relationships/chart" Target="../charts/chart113.xml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7.xml"/><Relationship Id="rId1" Type="http://schemas.openxmlformats.org/officeDocument/2006/relationships/chart" Target="../charts/chart116.xml"/><Relationship Id="rId6" Type="http://schemas.openxmlformats.org/officeDocument/2006/relationships/chart" Target="../charts/chart120.xml"/><Relationship Id="rId5" Type="http://schemas.openxmlformats.org/officeDocument/2006/relationships/chart" Target="../charts/chart119.xml"/><Relationship Id="rId4" Type="http://schemas.openxmlformats.org/officeDocument/2006/relationships/chart" Target="../charts/chart118.xml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2.xml"/><Relationship Id="rId1" Type="http://schemas.openxmlformats.org/officeDocument/2006/relationships/chart" Target="../charts/chart121.xml"/><Relationship Id="rId6" Type="http://schemas.openxmlformats.org/officeDocument/2006/relationships/chart" Target="../charts/chart125.xml"/><Relationship Id="rId5" Type="http://schemas.openxmlformats.org/officeDocument/2006/relationships/chart" Target="../charts/chart124.xml"/><Relationship Id="rId4" Type="http://schemas.openxmlformats.org/officeDocument/2006/relationships/chart" Target="../charts/chart123.xml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7.xml"/><Relationship Id="rId1" Type="http://schemas.openxmlformats.org/officeDocument/2006/relationships/chart" Target="../charts/chart1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F1C0ECD-FBC2-43EF-987A-F297F1378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1EC88AA-9512-4137-B5E6-CF3F31ECC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804AB8F-B3D6-4517-A662-52DC6C1B0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1F06AC0-3503-42DE-9BF2-EC275BFF4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F46038E-5677-4813-B859-020204CB0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C6706BB-F846-40B5-8A73-9E5E6D400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5F46C53-890C-4EF3-BDB3-7D87E29898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C087FE9-0BDA-44F9-BA85-3FEA5FCB5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5184CFA-81E1-4B1B-8339-5DB745282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E991639-7A74-40B2-94A1-D3308E6CF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F942630-0B6C-45D6-AD13-E2A243BDE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0DFF7B9-BDA3-4663-9C8A-F971FB8FA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137AC80-50A9-4D9B-A247-14C4F0B03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14C1A70-4495-480A-932D-B5EFEC2F17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B1FAAED-B716-4BA7-9057-7D348A54B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EAE8F50-B207-4C6F-BA73-B8C5FAA22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A39DB69-58AE-408D-B2F7-AC8837C56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541E58E-23A1-4693-A4C6-0C7484D62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62E878C-46DE-406D-8D16-6B8EB41EF5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73CD1FA-38CC-4EA4-AE6E-2CF9C1282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41</xdr:row>
      <xdr:rowOff>13607</xdr:rowOff>
    </xdr:from>
    <xdr:to>
      <xdr:col>29</xdr:col>
      <xdr:colOff>476250</xdr:colOff>
      <xdr:row>49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D0B26E8-B339-4989-A482-AE6211773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51FAF87-8339-41CF-89EB-E8BE7398C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E45835F-8E31-44D4-8FE9-0B83E6AF3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328A398-CABC-4779-9D27-EF9705138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41D86AB-A121-4050-9F42-3491515CC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5686A62-B075-45B4-9ED3-150571EDB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F09C530-C395-4E3C-A35B-08D8EEEA6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3E717BD-B5F7-470E-8249-12CD747091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ABDDDE2-F6D5-46B9-9022-166023AC8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0CE2D9F-C39C-4D14-9039-68668F07A1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834C730-077A-4369-91B8-9B253ADBA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154A994-0B3E-4FB6-B847-45ADD3D10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DABD6C1-01C4-4781-893D-F9051BDD7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666B4F6-50E7-4233-8875-3858179A5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2EBDC4B-D3E6-4DDE-803F-5A87059A0D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A45FF2D-B521-4ED3-AAC4-538651F72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51C3561-DD06-41C4-9267-1CD2C78F8A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CBF5F1C-B950-4C91-98B9-DC923B717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1F9361C-AB8A-48C6-B288-BD5DA2BA38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E76485E-197F-4CA8-B0E5-2382FF0F5D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6EB8917-90B5-4FC1-9462-F175B0058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69259D5-F36B-4A37-BBD9-75BFDCD51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827884F-5832-4FE6-9E5C-78F63C301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4645D72-96EB-4826-A255-A3A4C383E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6606FF9-6BE3-4EAE-A4A8-B1F2776A5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4F99ABA-3E84-4363-9D16-B04D6BD640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36150C-1916-4FA1-BE69-3E60E7370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F7BE94B-5234-4AF3-882F-20A5997C5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DBE24E2-5433-4ADA-B611-5025CEEA53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3C1CC0D-380B-4D97-8C45-9717FD9B8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3D6642C-F8F9-4880-9339-513E82EE7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5246E95-4006-41E5-9DEA-5B4FCC5B9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0055BBD-C67A-4F4C-A343-2F23699A2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7BA9ADF-A182-43C5-9805-4B41B2185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BA2EB73-9F52-4A9C-905B-C042A5D1C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832AF5D-B2A9-42F9-B32A-689A37661A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B328486-E8CC-4C2B-A082-0E8C0D20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42C2806-236E-4367-9ECE-10D523572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C68534F-7883-41DB-967F-34DCEA5C8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8FFF119-5BCC-4269-AAC7-354F07C4D6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6663851-53C7-437E-BE70-0EC8928AC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4C00699-FB48-4998-B32D-231AA4EDB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08EC54A-8E16-4500-BE1B-6DE6D3557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4DD0FAE-2BE7-45CD-9238-940321250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BC9994A-DFA8-44F8-8AC8-5140982AAB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AF6476B-BE62-464A-A7D0-2643DF110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2FE291E-C189-43F2-9368-E24C1E830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1E4D298-C6AD-4988-983C-2E832C5D9A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93ECFFF-348F-40D3-BFD1-CDB888FBD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F786743-01AF-4264-839E-517F3E45B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5575077-FDF8-424A-8E1B-46F7EAA65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8C4E941-414C-4BA3-B40A-22D023056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87E8688-C5CC-4C86-AE02-82152AD19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76D706F-4D6E-414A-A1CA-2124F9497B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37C1533-55E9-4797-A35A-956A7D853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82B79B0-08A9-455A-93BC-A4FADD970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D57BB77-1F30-4CB1-87B6-DF35829BE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E08263A-FF7C-46CF-989D-9D669F027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465195B-E986-4D5E-A53B-547767A01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CB62616-C175-4D83-9D22-8E1E18F5B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4CB4451-A586-492A-A31F-8B233954A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304640D-AD7D-4ADF-B545-0CCE563DF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8707E2B-F859-4864-A02A-920A57BB4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6D4D61F-2CD9-4F36-91AA-BA6DBF163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BC47DE2-5A9B-4229-A880-0BFEBBB1D0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7548BD3-6399-49C2-8DE6-2F5F23CA2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C5751BE-8E83-4A52-9BB9-B6F0B3B94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6CF1378-CA1F-4639-8BBD-AAEA9F3C64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9BC2294-AEA0-42F8-901E-119F233E2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F2A84D0-B890-4037-BEB9-F8276D828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AFC526B-4BCD-4661-AC92-8EDBC77B27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CA2C23E-F5A0-4FD3-BBE6-81AE3D457B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9456236-0910-47A1-A1C3-DFC5D2D78F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647C645-B27A-4BFD-AA0E-C7823E18D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C77BD13-926C-46F7-826F-01CF1DCF7E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D669019-04EA-4010-88C1-73618F684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C9C7C5B-E03B-4C27-9635-6276B20F1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959D4BA-D0F7-437E-A523-7521C69662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0FDC143-046C-4920-9611-814FD1EFEA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69925FF-2AC6-481F-A6DA-98236B2D24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628EB19-44D1-4E95-93BA-538FE5B61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90D15F0-36E6-4E0A-BD11-4D13439EB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9FC4B3E-110C-4E46-B543-E0E90CB22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967FE0D-6925-4A7F-BDF1-3BEF449C7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FD6942F-885E-415C-8DEB-8703ACBF1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261F05E-BB8B-43D2-840B-B371E0396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6DA21D8-E9EF-48A1-93C4-76066E259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5C42D38-DE68-49CB-9636-5EA1DA5C7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EE63E3B-6505-4C3B-B5E2-C3B273A3F8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6AD7518-DADE-42BD-A825-78A366013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7F2C83A-804E-4BA8-BA08-B412EEC9E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E862A25-E84E-4ACD-8145-4DA971113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A456A4F-F4E6-4216-8B09-5F6B4388E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72EF7F6-8B3D-4D3E-9FED-0C44395683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F2915B7-5F30-45DA-8D1C-234703EC8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81E35DA-2817-4D45-8B88-865C39EAB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10FA82B-2C05-4255-84C9-946B067A4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B240644-08A3-4B6A-B503-82C7BC81C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09324F6-BC14-4443-84C0-41B00E212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22647B6-1574-4362-AB7B-667A6BD20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24EC6A1-54FC-4D0F-A193-9BA244C64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166F5E2-89AC-45E8-9E8B-6600265EF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4E6185D-D7A0-4BC3-9489-61AF23DA3F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56B67C7-0C6E-424E-BF74-1A9CE0C6EA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010EAFD-30EB-4919-A43D-D788ABFB7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A05D57F-C45B-4C7C-97D6-7835E61D9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8A0F031-7C78-48D2-9499-D3999B41D0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36C7D6A-9D19-40EE-A189-20F4F439B5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750878C-5572-41D5-8E80-4B33FF3A8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1331CD1-2FC4-4B98-93DF-0EA3F9B4FA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115EF50-3B55-4C32-A861-75EFC853A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D9B5B58-4C5F-464E-8661-D0CDF60A2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42F9754-6A46-4D80-8618-0AC1E90042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0C6DC3E-6A30-474E-9900-8E3F51E9D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A95C59B-FEDC-4C14-A943-ABE36F5D2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1701E7B-2081-432F-AC45-EC626B00F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CF5163E-F6D7-46E5-9467-E0258E8CB1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8D56F60-C21F-4C97-B436-CFB3A75156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F0EDAE2-11B1-4A45-8DA0-AC09C060E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19B8490-E931-4193-A786-F3E0D7798D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029AAB8-B001-4129-A815-019441817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29E1626-6D95-4B9C-BFCB-541F4AC41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1181D7E-7BAD-44EB-84DA-24F4F927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8C6802E-A5A1-4CC7-B9F3-CE33A71A7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895041E-4282-4726-B87B-FF9388A77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7C3BE57-7935-4004-831A-B3D291EA8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072F0EB-205D-43C5-A161-69E3055E8E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5C91F36-AFF7-4F46-A62C-6DE832567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FE0B9AB-E68D-46B2-B846-0D059C787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267A249-E368-42E3-BF92-C9126777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FC8080F-6C35-4484-ACE9-EB6E0B901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6D3E2D7-C80F-421D-B5B0-9782A5864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EE15416-679D-471C-B38F-B6A0381E1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FE836D1-C88F-4EB5-B014-8F7E04BF5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93F9ADE-CE19-4373-9123-F5E5DFA78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BC26E6E-F24E-4C07-A881-7AA3B039D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F0704D4-6444-453B-996A-EA38FF3C4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B083E88-2AF9-46E1-9F39-9586729F9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C8E0D2B-3721-4F4A-B4A8-246B9495C7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DCC0BC-F463-4FAA-AD4C-FF190F24E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B3BA6B1-04F0-4372-9594-7578FDECF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0508C87-A741-442F-B49D-70750D61E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5B12F87-4933-4B89-8ED2-B5861E473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CD10369-1294-4AFF-BCDA-8CC789ABA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7462288-DE40-47F8-BE38-84803AD79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F72F8B3-2D1B-4F04-9956-26C24C77F7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2A5C6F6-A259-4EA6-B444-517594832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45F8F44-3F3C-4149-A4B3-C82D30C65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A4FDF6F-4F13-4D22-9A9E-484C5BFE9A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113E190-8913-4C70-87A2-0A84534FD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855A180-DC58-4D9D-9C15-FD9115068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6714352-EBB6-4F0A-9EB5-C7E2AE37A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8773D13-121E-470B-9E08-BC0061E61F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6756D7F-780F-4D73-A9FF-8038BC932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E1A2ABD-36E1-4707-AAE2-A670757A9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104775</xdr:rowOff>
    </xdr:from>
    <xdr:to>
      <xdr:col>16</xdr:col>
      <xdr:colOff>66675</xdr:colOff>
      <xdr:row>32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20</xdr:row>
      <xdr:rowOff>123825</xdr:rowOff>
    </xdr:from>
    <xdr:to>
      <xdr:col>32</xdr:col>
      <xdr:colOff>371474</xdr:colOff>
      <xdr:row>32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4B1C-63FD-4A1D-9D28-31387940EAD8}">
  <dimension ref="A1:AF88"/>
  <sheetViews>
    <sheetView view="pageBreakPreview" topLeftCell="A19" zoomScale="70" zoomScaleNormal="72" zoomScaleSheetLayoutView="70" workbookViewId="0">
      <selection activeCell="T21" sqref="T2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176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132" t="s">
        <v>17</v>
      </c>
      <c r="L5" s="132" t="s">
        <v>18</v>
      </c>
      <c r="M5" s="132" t="s">
        <v>19</v>
      </c>
      <c r="N5" s="13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138</v>
      </c>
      <c r="D6" s="52" t="s">
        <v>158</v>
      </c>
      <c r="E6" s="53" t="s">
        <v>178</v>
      </c>
      <c r="F6" s="30" t="s">
        <v>153</v>
      </c>
      <c r="G6" s="12">
        <v>1</v>
      </c>
      <c r="H6" s="13">
        <v>24</v>
      </c>
      <c r="I6" s="31">
        <v>5000</v>
      </c>
      <c r="J6" s="14">
        <v>870</v>
      </c>
      <c r="K6" s="15">
        <f>L6</f>
        <v>870</v>
      </c>
      <c r="L6" s="15">
        <v>870</v>
      </c>
      <c r="M6" s="15">
        <f t="shared" ref="M6:M22" si="0">L6-N6</f>
        <v>870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5</v>
      </c>
      <c r="Q6" s="40">
        <f t="shared" ref="Q6:Q22" si="3">SUM(R6:AA6)</f>
        <v>19</v>
      </c>
      <c r="R6" s="7"/>
      <c r="S6" s="6">
        <v>19</v>
      </c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0.20833333333333334</v>
      </c>
      <c r="AD6" s="10">
        <f t="shared" ref="AD6:AD22" si="6">AC6*AB6*(1-O6)</f>
        <v>0.20833333333333334</v>
      </c>
      <c r="AE6" s="36">
        <f t="shared" ref="AE6:AE22" si="7">$AD$23</f>
        <v>0.4485294117647059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165</v>
      </c>
      <c r="F7" s="30" t="s">
        <v>127</v>
      </c>
      <c r="G7" s="12">
        <v>1</v>
      </c>
      <c r="H7" s="13">
        <v>24</v>
      </c>
      <c r="I7" s="31">
        <v>1300</v>
      </c>
      <c r="J7" s="14">
        <v>1457</v>
      </c>
      <c r="K7" s="15">
        <f>L7+1457</f>
        <v>1457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0.4485294117647059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115</v>
      </c>
      <c r="E8" s="53" t="s">
        <v>173</v>
      </c>
      <c r="F8" s="30" t="s">
        <v>144</v>
      </c>
      <c r="G8" s="33">
        <v>1</v>
      </c>
      <c r="H8" s="35">
        <v>24</v>
      </c>
      <c r="I8" s="7">
        <v>500</v>
      </c>
      <c r="J8" s="5">
        <v>1208</v>
      </c>
      <c r="K8" s="15">
        <f>L8</f>
        <v>1208</v>
      </c>
      <c r="L8" s="15">
        <v>1208</v>
      </c>
      <c r="M8" s="15">
        <f t="shared" si="0"/>
        <v>1208</v>
      </c>
      <c r="N8" s="15">
        <v>0</v>
      </c>
      <c r="O8" s="58">
        <f t="shared" si="1"/>
        <v>0</v>
      </c>
      <c r="P8" s="39">
        <f t="shared" si="2"/>
        <v>6</v>
      </c>
      <c r="Q8" s="40">
        <f t="shared" si="3"/>
        <v>18</v>
      </c>
      <c r="R8" s="7"/>
      <c r="S8" s="6"/>
      <c r="T8" s="16"/>
      <c r="U8" s="16"/>
      <c r="V8" s="17"/>
      <c r="W8" s="5">
        <v>18</v>
      </c>
      <c r="X8" s="16"/>
      <c r="Y8" s="16"/>
      <c r="Z8" s="16"/>
      <c r="AA8" s="18"/>
      <c r="AB8" s="8">
        <f t="shared" si="4"/>
        <v>1</v>
      </c>
      <c r="AC8" s="9">
        <f t="shared" si="5"/>
        <v>0.25</v>
      </c>
      <c r="AD8" s="10">
        <f t="shared" si="6"/>
        <v>0.25</v>
      </c>
      <c r="AE8" s="36">
        <f t="shared" si="7"/>
        <v>0.4485294117647059</v>
      </c>
      <c r="AF8" s="84">
        <f t="shared" si="8"/>
        <v>3</v>
      </c>
    </row>
    <row r="9" spans="1:32" ht="27" customHeight="1">
      <c r="A9" s="96">
        <v>3</v>
      </c>
      <c r="B9" s="11" t="s">
        <v>57</v>
      </c>
      <c r="C9" s="34" t="s">
        <v>112</v>
      </c>
      <c r="D9" s="52" t="s">
        <v>131</v>
      </c>
      <c r="E9" s="53" t="s">
        <v>179</v>
      </c>
      <c r="F9" s="30" t="s">
        <v>144</v>
      </c>
      <c r="G9" s="33">
        <v>1</v>
      </c>
      <c r="H9" s="35">
        <v>24</v>
      </c>
      <c r="I9" s="7">
        <v>500</v>
      </c>
      <c r="J9" s="5">
        <v>1323</v>
      </c>
      <c r="K9" s="15">
        <f>L9</f>
        <v>1323</v>
      </c>
      <c r="L9" s="15">
        <v>1323</v>
      </c>
      <c r="M9" s="15">
        <f t="shared" ref="M9" si="9">L9-N9</f>
        <v>1323</v>
      </c>
      <c r="N9" s="15">
        <v>0</v>
      </c>
      <c r="O9" s="58">
        <f t="shared" ref="O9" si="10">IF(L9=0,"0",N9/L9)</f>
        <v>0</v>
      </c>
      <c r="P9" s="39">
        <f t="shared" ref="P9" si="11">IF(L9=0,"0",(24-Q9))</f>
        <v>7</v>
      </c>
      <c r="Q9" s="40">
        <f t="shared" ref="Q9" si="12">SUM(R9:AA9)</f>
        <v>17</v>
      </c>
      <c r="R9" s="7"/>
      <c r="S9" s="6"/>
      <c r="T9" s="16"/>
      <c r="U9" s="16"/>
      <c r="V9" s="17"/>
      <c r="W9" s="5">
        <v>17</v>
      </c>
      <c r="X9" s="16"/>
      <c r="Y9" s="16"/>
      <c r="Z9" s="16"/>
      <c r="AA9" s="18"/>
      <c r="AB9" s="8">
        <f t="shared" ref="AB9" si="13">IF(J9=0,"0",(L9/J9))</f>
        <v>1</v>
      </c>
      <c r="AC9" s="9">
        <f t="shared" ref="AC9" si="14">IF(P9=0,"0",(P9/24))</f>
        <v>0.29166666666666669</v>
      </c>
      <c r="AD9" s="10">
        <f t="shared" ref="AD9" si="15">AC9*AB9*(1-O9)</f>
        <v>0.29166666666666669</v>
      </c>
      <c r="AE9" s="36">
        <f t="shared" si="7"/>
        <v>0.4485294117647059</v>
      </c>
      <c r="AF9" s="84">
        <f t="shared" ref="AF9" si="16">A9</f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115</v>
      </c>
      <c r="E10" s="53" t="s">
        <v>169</v>
      </c>
      <c r="F10" s="30" t="s">
        <v>130</v>
      </c>
      <c r="G10" s="12">
        <v>1</v>
      </c>
      <c r="H10" s="13">
        <v>24</v>
      </c>
      <c r="I10" s="7">
        <v>28000</v>
      </c>
      <c r="J10" s="14">
        <v>4993</v>
      </c>
      <c r="K10" s="15">
        <f>L10+4421+1946</f>
        <v>11360</v>
      </c>
      <c r="L10" s="15">
        <f>2381+2612</f>
        <v>4993</v>
      </c>
      <c r="M10" s="15">
        <f t="shared" si="0"/>
        <v>4993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0.4485294117647059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118</v>
      </c>
      <c r="D11" s="52" t="s">
        <v>131</v>
      </c>
      <c r="E11" s="53" t="s">
        <v>168</v>
      </c>
      <c r="F11" s="30" t="s">
        <v>144</v>
      </c>
      <c r="G11" s="33">
        <v>1</v>
      </c>
      <c r="H11" s="35">
        <v>24</v>
      </c>
      <c r="I11" s="7">
        <v>25000</v>
      </c>
      <c r="J11" s="14">
        <v>6338</v>
      </c>
      <c r="K11" s="15">
        <f>L11+6258+6648+6637+2872</f>
        <v>28753</v>
      </c>
      <c r="L11" s="15">
        <f>3320+3018</f>
        <v>6338</v>
      </c>
      <c r="M11" s="15">
        <f t="shared" si="0"/>
        <v>6338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0.4485294117647059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118</v>
      </c>
      <c r="D12" s="52" t="s">
        <v>162</v>
      </c>
      <c r="E12" s="53" t="s">
        <v>163</v>
      </c>
      <c r="F12" s="30" t="s">
        <v>164</v>
      </c>
      <c r="G12" s="33">
        <v>16</v>
      </c>
      <c r="H12" s="35">
        <v>24</v>
      </c>
      <c r="I12" s="7">
        <v>100000</v>
      </c>
      <c r="J12" s="14">
        <v>15260</v>
      </c>
      <c r="K12" s="15">
        <f>L12+39816+90622+108136+15260</f>
        <v>253834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>
        <v>24</v>
      </c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0.4485294117647059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134</v>
      </c>
      <c r="F13" s="30" t="s">
        <v>135</v>
      </c>
      <c r="G13" s="12">
        <v>1</v>
      </c>
      <c r="H13" s="13">
        <v>22</v>
      </c>
      <c r="I13" s="31">
        <v>34000</v>
      </c>
      <c r="J13" s="5">
        <v>5233</v>
      </c>
      <c r="K13" s="15">
        <f>L13+5421+4981+4563+3733+2354</f>
        <v>26285</v>
      </c>
      <c r="L13" s="15">
        <f>2496+2737</f>
        <v>5233</v>
      </c>
      <c r="M13" s="15">
        <f t="shared" si="0"/>
        <v>5233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0.4485294117647059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131</v>
      </c>
      <c r="E14" s="53" t="s">
        <v>154</v>
      </c>
      <c r="F14" s="30" t="s">
        <v>144</v>
      </c>
      <c r="G14" s="33">
        <v>2</v>
      </c>
      <c r="H14" s="35">
        <v>24</v>
      </c>
      <c r="I14" s="7">
        <v>20000</v>
      </c>
      <c r="J14" s="14">
        <v>2364</v>
      </c>
      <c r="K14" s="15">
        <f>L14+8436+13386+2364</f>
        <v>24186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0.4485294117647059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166</v>
      </c>
      <c r="F15" s="30" t="s">
        <v>145</v>
      </c>
      <c r="G15" s="33">
        <v>1</v>
      </c>
      <c r="H15" s="35">
        <v>50</v>
      </c>
      <c r="I15" s="7">
        <v>300</v>
      </c>
      <c r="J15" s="5">
        <v>275</v>
      </c>
      <c r="K15" s="15">
        <f>L15+340+275</f>
        <v>615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0.4485294117647059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118</v>
      </c>
      <c r="D16" s="52" t="s">
        <v>129</v>
      </c>
      <c r="E16" s="53" t="s">
        <v>167</v>
      </c>
      <c r="F16" s="30" t="s">
        <v>157</v>
      </c>
      <c r="G16" s="12">
        <v>4</v>
      </c>
      <c r="H16" s="13">
        <v>24</v>
      </c>
      <c r="I16" s="31">
        <v>80000</v>
      </c>
      <c r="J16" s="14">
        <v>9380</v>
      </c>
      <c r="K16" s="15">
        <f>L16+17216+22532+22956+23032+9380</f>
        <v>95116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0.4485294117647059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120</v>
      </c>
      <c r="D17" s="52"/>
      <c r="E17" s="53" t="s">
        <v>160</v>
      </c>
      <c r="F17" s="30" t="s">
        <v>128</v>
      </c>
      <c r="G17" s="12">
        <v>1</v>
      </c>
      <c r="H17" s="13">
        <v>24</v>
      </c>
      <c r="I17" s="7">
        <v>5000</v>
      </c>
      <c r="J17" s="14">
        <v>6094</v>
      </c>
      <c r="K17" s="15">
        <f>L17+2283</f>
        <v>8377</v>
      </c>
      <c r="L17" s="15">
        <f>3130+167+2797</f>
        <v>6094</v>
      </c>
      <c r="M17" s="15">
        <f t="shared" si="0"/>
        <v>6094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0.4485294117647059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/>
      <c r="E18" s="53" t="s">
        <v>155</v>
      </c>
      <c r="F18" s="30" t="s">
        <v>127</v>
      </c>
      <c r="G18" s="12">
        <v>1</v>
      </c>
      <c r="H18" s="13">
        <v>24</v>
      </c>
      <c r="I18" s="7">
        <v>5000</v>
      </c>
      <c r="J18" s="14">
        <v>5194</v>
      </c>
      <c r="K18" s="15">
        <f>L18</f>
        <v>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>
        <v>24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0.4485294117647059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/>
      <c r="E19" s="53" t="s">
        <v>174</v>
      </c>
      <c r="F19" s="30" t="s">
        <v>180</v>
      </c>
      <c r="G19" s="33">
        <v>1</v>
      </c>
      <c r="H19" s="35">
        <v>24</v>
      </c>
      <c r="I19" s="7">
        <v>5000</v>
      </c>
      <c r="J19" s="14">
        <v>5625</v>
      </c>
      <c r="K19" s="15">
        <f>L19</f>
        <v>5625</v>
      </c>
      <c r="L19" s="15">
        <f>2604+3021</f>
        <v>5625</v>
      </c>
      <c r="M19" s="15">
        <f t="shared" si="0"/>
        <v>5625</v>
      </c>
      <c r="N19" s="15">
        <v>0</v>
      </c>
      <c r="O19" s="58">
        <f t="shared" si="1"/>
        <v>0</v>
      </c>
      <c r="P19" s="39">
        <f t="shared" si="2"/>
        <v>23</v>
      </c>
      <c r="Q19" s="40">
        <f t="shared" si="3"/>
        <v>1</v>
      </c>
      <c r="R19" s="7"/>
      <c r="S19" s="6"/>
      <c r="T19" s="16">
        <v>1</v>
      </c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0.95833333333333337</v>
      </c>
      <c r="AD19" s="10">
        <f t="shared" si="6"/>
        <v>0.95833333333333337</v>
      </c>
      <c r="AE19" s="36">
        <f t="shared" si="7"/>
        <v>0.4485294117647059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118</v>
      </c>
      <c r="D20" s="52" t="s">
        <v>129</v>
      </c>
      <c r="E20" s="53" t="s">
        <v>170</v>
      </c>
      <c r="F20" s="30" t="s">
        <v>156</v>
      </c>
      <c r="G20" s="33">
        <v>1</v>
      </c>
      <c r="H20" s="35">
        <v>24</v>
      </c>
      <c r="I20" s="7">
        <v>28000</v>
      </c>
      <c r="J20" s="14">
        <v>4516</v>
      </c>
      <c r="K20" s="15">
        <f>L20+4498+2017</f>
        <v>11031</v>
      </c>
      <c r="L20" s="15">
        <f>2373+2143</f>
        <v>4516</v>
      </c>
      <c r="M20" s="15">
        <f t="shared" si="0"/>
        <v>4516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0.4485294117647059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118</v>
      </c>
      <c r="D21" s="52" t="s">
        <v>115</v>
      </c>
      <c r="E21" s="53" t="s">
        <v>171</v>
      </c>
      <c r="F21" s="30" t="s">
        <v>156</v>
      </c>
      <c r="G21" s="12">
        <v>1</v>
      </c>
      <c r="H21" s="13">
        <v>24</v>
      </c>
      <c r="I21" s="7">
        <v>3000</v>
      </c>
      <c r="J21" s="14">
        <v>2105</v>
      </c>
      <c r="K21" s="15">
        <f>L21+3065+2105</f>
        <v>5170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/>
      <c r="X21" s="16"/>
      <c r="Y21" s="16"/>
      <c r="Z21" s="16"/>
      <c r="AA21" s="18">
        <v>24</v>
      </c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0.4485294117647059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175</v>
      </c>
      <c r="F22" s="12" t="s">
        <v>114</v>
      </c>
      <c r="G22" s="12">
        <v>3</v>
      </c>
      <c r="H22" s="35">
        <v>20</v>
      </c>
      <c r="I22" s="7">
        <v>1000000</v>
      </c>
      <c r="J22" s="14">
        <v>62008</v>
      </c>
      <c r="K22" s="15">
        <f>L22</f>
        <v>62008</v>
      </c>
      <c r="L22" s="15">
        <f>7115*4+8387*4</f>
        <v>62008</v>
      </c>
      <c r="M22" s="15">
        <f t="shared" si="0"/>
        <v>62008</v>
      </c>
      <c r="N22" s="15">
        <v>0</v>
      </c>
      <c r="O22" s="58">
        <f t="shared" si="1"/>
        <v>0</v>
      </c>
      <c r="P22" s="39">
        <f t="shared" si="2"/>
        <v>22</v>
      </c>
      <c r="Q22" s="40">
        <f t="shared" si="3"/>
        <v>2</v>
      </c>
      <c r="R22" s="7"/>
      <c r="S22" s="6"/>
      <c r="T22" s="16">
        <v>2</v>
      </c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0.91666666666666663</v>
      </c>
      <c r="AD22" s="10">
        <f t="shared" si="6"/>
        <v>0.91666666666666663</v>
      </c>
      <c r="AE22" s="36">
        <f t="shared" si="7"/>
        <v>0.4485294117647059</v>
      </c>
      <c r="AF22" s="84">
        <f t="shared" si="8"/>
        <v>16</v>
      </c>
    </row>
    <row r="23" spans="1:32" ht="31.5" customHeight="1" thickBot="1">
      <c r="A23" s="443" t="s">
        <v>34</v>
      </c>
      <c r="B23" s="444"/>
      <c r="C23" s="444"/>
      <c r="D23" s="444"/>
      <c r="E23" s="444"/>
      <c r="F23" s="444"/>
      <c r="G23" s="444"/>
      <c r="H23" s="445"/>
      <c r="I23" s="22">
        <f t="shared" ref="I23:N23" si="17">SUM(I6:I22)</f>
        <v>1340600</v>
      </c>
      <c r="J23" s="19">
        <f t="shared" si="17"/>
        <v>134243</v>
      </c>
      <c r="K23" s="20">
        <f t="shared" si="17"/>
        <v>537218</v>
      </c>
      <c r="L23" s="21">
        <f t="shared" si="17"/>
        <v>98208</v>
      </c>
      <c r="M23" s="20">
        <f t="shared" si="17"/>
        <v>98208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183</v>
      </c>
      <c r="Q23" s="43">
        <f t="shared" si="18"/>
        <v>225</v>
      </c>
      <c r="R23" s="23">
        <f t="shared" si="18"/>
        <v>24</v>
      </c>
      <c r="S23" s="24">
        <f t="shared" si="18"/>
        <v>43</v>
      </c>
      <c r="T23" s="24">
        <f t="shared" si="18"/>
        <v>3</v>
      </c>
      <c r="U23" s="24">
        <f t="shared" si="18"/>
        <v>0</v>
      </c>
      <c r="V23" s="25">
        <f t="shared" si="18"/>
        <v>0</v>
      </c>
      <c r="W23" s="26">
        <f t="shared" si="18"/>
        <v>131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24</v>
      </c>
      <c r="AB23" s="28">
        <f>AVERAGE(AB6:AB22)</f>
        <v>0.58823529411764708</v>
      </c>
      <c r="AC23" s="4">
        <f>AVERAGE(AC6:AC22)</f>
        <v>0.4485294117647059</v>
      </c>
      <c r="AD23" s="4">
        <f>AVERAGE(AD6:AD22)</f>
        <v>0.4485294117647059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6" t="s">
        <v>45</v>
      </c>
      <c r="B50" s="446"/>
      <c r="C50" s="446"/>
      <c r="D50" s="446"/>
      <c r="E50" s="446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7" t="s">
        <v>146</v>
      </c>
      <c r="B51" s="448"/>
      <c r="C51" s="448"/>
      <c r="D51" s="448"/>
      <c r="E51" s="448"/>
      <c r="F51" s="448"/>
      <c r="G51" s="448"/>
      <c r="H51" s="448"/>
      <c r="I51" s="448"/>
      <c r="J51" s="448"/>
      <c r="K51" s="448"/>
      <c r="L51" s="448"/>
      <c r="M51" s="449"/>
      <c r="N51" s="450" t="s">
        <v>148</v>
      </c>
      <c r="O51" s="451"/>
      <c r="P51" s="451"/>
      <c r="Q51" s="451"/>
      <c r="R51" s="451"/>
      <c r="S51" s="451"/>
      <c r="T51" s="451"/>
      <c r="U51" s="451"/>
      <c r="V51" s="451"/>
      <c r="W51" s="451"/>
      <c r="X51" s="451"/>
      <c r="Y51" s="451"/>
      <c r="Z51" s="451"/>
      <c r="AA51" s="451"/>
      <c r="AB51" s="451"/>
      <c r="AC51" s="451"/>
      <c r="AD51" s="452"/>
    </row>
    <row r="52" spans="1:32" ht="27" customHeight="1">
      <c r="A52" s="453" t="s">
        <v>2</v>
      </c>
      <c r="B52" s="454"/>
      <c r="C52" s="131" t="s">
        <v>46</v>
      </c>
      <c r="D52" s="131" t="s">
        <v>47</v>
      </c>
      <c r="E52" s="131" t="s">
        <v>107</v>
      </c>
      <c r="F52" s="455" t="s">
        <v>106</v>
      </c>
      <c r="G52" s="456"/>
      <c r="H52" s="456"/>
      <c r="I52" s="456"/>
      <c r="J52" s="456"/>
      <c r="K52" s="456"/>
      <c r="L52" s="456"/>
      <c r="M52" s="457"/>
      <c r="N52" s="67" t="s">
        <v>110</v>
      </c>
      <c r="O52" s="131" t="s">
        <v>46</v>
      </c>
      <c r="P52" s="455" t="s">
        <v>47</v>
      </c>
      <c r="Q52" s="458"/>
      <c r="R52" s="455" t="s">
        <v>38</v>
      </c>
      <c r="S52" s="456"/>
      <c r="T52" s="456"/>
      <c r="U52" s="458"/>
      <c r="V52" s="455" t="s">
        <v>48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69" t="s">
        <v>138</v>
      </c>
      <c r="B53" s="470"/>
      <c r="C53" s="127" t="s">
        <v>147</v>
      </c>
      <c r="D53" s="127" t="s">
        <v>181</v>
      </c>
      <c r="E53" s="127" t="s">
        <v>178</v>
      </c>
      <c r="F53" s="471" t="s">
        <v>182</v>
      </c>
      <c r="G53" s="472"/>
      <c r="H53" s="472"/>
      <c r="I53" s="472"/>
      <c r="J53" s="472"/>
      <c r="K53" s="472"/>
      <c r="L53" s="472"/>
      <c r="M53" s="473"/>
      <c r="N53" s="130" t="s">
        <v>138</v>
      </c>
      <c r="O53" s="124" t="s">
        <v>147</v>
      </c>
      <c r="P53" s="474" t="s">
        <v>158</v>
      </c>
      <c r="Q53" s="475"/>
      <c r="R53" s="474" t="s">
        <v>172</v>
      </c>
      <c r="S53" s="476"/>
      <c r="T53" s="476"/>
      <c r="U53" s="475"/>
      <c r="V53" s="477" t="s">
        <v>124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 t="s">
        <v>112</v>
      </c>
      <c r="B54" s="470"/>
      <c r="C54" s="127" t="s">
        <v>139</v>
      </c>
      <c r="D54" s="127" t="s">
        <v>115</v>
      </c>
      <c r="E54" s="127" t="s">
        <v>173</v>
      </c>
      <c r="F54" s="471" t="s">
        <v>132</v>
      </c>
      <c r="G54" s="472"/>
      <c r="H54" s="472"/>
      <c r="I54" s="472"/>
      <c r="J54" s="472"/>
      <c r="K54" s="472"/>
      <c r="L54" s="472"/>
      <c r="M54" s="473"/>
      <c r="N54" s="133" t="s">
        <v>120</v>
      </c>
      <c r="O54" s="134" t="s">
        <v>140</v>
      </c>
      <c r="P54" s="474"/>
      <c r="Q54" s="475"/>
      <c r="R54" s="474" t="s">
        <v>155</v>
      </c>
      <c r="S54" s="476"/>
      <c r="T54" s="476"/>
      <c r="U54" s="475"/>
      <c r="V54" s="477" t="s">
        <v>124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69" t="s">
        <v>112</v>
      </c>
      <c r="B55" s="470"/>
      <c r="C55" s="127" t="s">
        <v>183</v>
      </c>
      <c r="D55" s="127" t="s">
        <v>184</v>
      </c>
      <c r="E55" s="127" t="s">
        <v>185</v>
      </c>
      <c r="F55" s="471" t="s">
        <v>132</v>
      </c>
      <c r="G55" s="472"/>
      <c r="H55" s="472"/>
      <c r="I55" s="472"/>
      <c r="J55" s="472"/>
      <c r="K55" s="472"/>
      <c r="L55" s="472"/>
      <c r="M55" s="473"/>
      <c r="N55" s="130" t="s">
        <v>197</v>
      </c>
      <c r="O55" s="124" t="s">
        <v>198</v>
      </c>
      <c r="P55" s="474" t="s">
        <v>199</v>
      </c>
      <c r="Q55" s="475"/>
      <c r="R55" s="474" t="s">
        <v>195</v>
      </c>
      <c r="S55" s="476"/>
      <c r="T55" s="476"/>
      <c r="U55" s="475"/>
      <c r="V55" s="477" t="s">
        <v>196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186</v>
      </c>
      <c r="B56" s="470"/>
      <c r="C56" s="127" t="s">
        <v>187</v>
      </c>
      <c r="D56" s="127"/>
      <c r="E56" s="127" t="s">
        <v>188</v>
      </c>
      <c r="F56" s="471" t="s">
        <v>189</v>
      </c>
      <c r="G56" s="472"/>
      <c r="H56" s="472"/>
      <c r="I56" s="472"/>
      <c r="J56" s="472"/>
      <c r="K56" s="472"/>
      <c r="L56" s="472"/>
      <c r="M56" s="473"/>
      <c r="N56" s="130" t="s">
        <v>201</v>
      </c>
      <c r="O56" s="124" t="s">
        <v>202</v>
      </c>
      <c r="P56" s="474" t="s">
        <v>203</v>
      </c>
      <c r="Q56" s="475"/>
      <c r="R56" s="474" t="s">
        <v>200</v>
      </c>
      <c r="S56" s="476"/>
      <c r="T56" s="476"/>
      <c r="U56" s="475"/>
      <c r="V56" s="477" t="s">
        <v>196</v>
      </c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 t="s">
        <v>186</v>
      </c>
      <c r="B57" s="470"/>
      <c r="C57" s="127" t="s">
        <v>191</v>
      </c>
      <c r="D57" s="127"/>
      <c r="E57" s="127" t="s">
        <v>190</v>
      </c>
      <c r="F57" s="471" t="s">
        <v>132</v>
      </c>
      <c r="G57" s="472"/>
      <c r="H57" s="472"/>
      <c r="I57" s="472"/>
      <c r="J57" s="472"/>
      <c r="K57" s="472"/>
      <c r="L57" s="472"/>
      <c r="M57" s="473"/>
      <c r="N57" s="130"/>
      <c r="O57" s="124"/>
      <c r="P57" s="474"/>
      <c r="Q57" s="475"/>
      <c r="R57" s="474"/>
      <c r="S57" s="476"/>
      <c r="T57" s="476"/>
      <c r="U57" s="475"/>
      <c r="V57" s="477"/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 t="s">
        <v>192</v>
      </c>
      <c r="B58" s="470"/>
      <c r="C58" s="127" t="s">
        <v>193</v>
      </c>
      <c r="D58" s="127"/>
      <c r="E58" s="127" t="s">
        <v>194</v>
      </c>
      <c r="F58" s="471" t="s">
        <v>132</v>
      </c>
      <c r="G58" s="472"/>
      <c r="H58" s="472"/>
      <c r="I58" s="472"/>
      <c r="J58" s="472"/>
      <c r="K58" s="472"/>
      <c r="L58" s="472"/>
      <c r="M58" s="473"/>
      <c r="N58" s="130"/>
      <c r="O58" s="124"/>
      <c r="P58" s="474"/>
      <c r="Q58" s="475"/>
      <c r="R58" s="474"/>
      <c r="S58" s="476"/>
      <c r="T58" s="476"/>
      <c r="U58" s="475"/>
      <c r="V58" s="477"/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69"/>
      <c r="B59" s="470"/>
      <c r="C59" s="127"/>
      <c r="D59" s="127"/>
      <c r="E59" s="127"/>
      <c r="F59" s="471"/>
      <c r="G59" s="472"/>
      <c r="H59" s="472"/>
      <c r="I59" s="472"/>
      <c r="J59" s="472"/>
      <c r="K59" s="472"/>
      <c r="L59" s="472"/>
      <c r="M59" s="473"/>
      <c r="N59" s="130"/>
      <c r="O59" s="124"/>
      <c r="P59" s="474"/>
      <c r="Q59" s="475"/>
      <c r="R59" s="474"/>
      <c r="S59" s="476"/>
      <c r="T59" s="476"/>
      <c r="U59" s="475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/>
      <c r="B60" s="488"/>
      <c r="C60" s="126"/>
      <c r="D60" s="126"/>
      <c r="E60" s="127"/>
      <c r="F60" s="471"/>
      <c r="G60" s="472"/>
      <c r="H60" s="472"/>
      <c r="I60" s="472"/>
      <c r="J60" s="472"/>
      <c r="K60" s="472"/>
      <c r="L60" s="472"/>
      <c r="M60" s="473"/>
      <c r="N60" s="130"/>
      <c r="O60" s="124"/>
      <c r="P60" s="474"/>
      <c r="Q60" s="475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</row>
    <row r="61" spans="1:32" ht="27" customHeight="1">
      <c r="A61" s="487"/>
      <c r="B61" s="488"/>
      <c r="C61" s="126"/>
      <c r="D61" s="126"/>
      <c r="E61" s="127"/>
      <c r="F61" s="471"/>
      <c r="G61" s="472"/>
      <c r="H61" s="472"/>
      <c r="I61" s="472"/>
      <c r="J61" s="472"/>
      <c r="K61" s="472"/>
      <c r="L61" s="472"/>
      <c r="M61" s="473"/>
      <c r="N61" s="130"/>
      <c r="O61" s="124"/>
      <c r="P61" s="470"/>
      <c r="Q61" s="470"/>
      <c r="R61" s="470"/>
      <c r="S61" s="470"/>
      <c r="T61" s="470"/>
      <c r="U61" s="470"/>
      <c r="V61" s="477"/>
      <c r="W61" s="477"/>
      <c r="X61" s="477"/>
      <c r="Y61" s="477"/>
      <c r="Z61" s="477"/>
      <c r="AA61" s="477"/>
      <c r="AB61" s="477"/>
      <c r="AC61" s="477"/>
      <c r="AD61" s="478"/>
      <c r="AF61" s="84">
        <f>8*3000</f>
        <v>24000</v>
      </c>
    </row>
    <row r="62" spans="1:32" ht="27" customHeight="1" thickBot="1">
      <c r="A62" s="479"/>
      <c r="B62" s="480"/>
      <c r="C62" s="128"/>
      <c r="D62" s="129"/>
      <c r="E62" s="128"/>
      <c r="F62" s="481"/>
      <c r="G62" s="482"/>
      <c r="H62" s="482"/>
      <c r="I62" s="482"/>
      <c r="J62" s="482"/>
      <c r="K62" s="482"/>
      <c r="L62" s="482"/>
      <c r="M62" s="483"/>
      <c r="N62" s="111"/>
      <c r="O62" s="103"/>
      <c r="P62" s="484"/>
      <c r="Q62" s="484"/>
      <c r="R62" s="484"/>
      <c r="S62" s="484"/>
      <c r="T62" s="484"/>
      <c r="U62" s="484"/>
      <c r="V62" s="485"/>
      <c r="W62" s="485"/>
      <c r="X62" s="485"/>
      <c r="Y62" s="485"/>
      <c r="Z62" s="485"/>
      <c r="AA62" s="485"/>
      <c r="AB62" s="485"/>
      <c r="AC62" s="485"/>
      <c r="AD62" s="486"/>
      <c r="AF62" s="84">
        <f>16*3000</f>
        <v>48000</v>
      </c>
    </row>
    <row r="63" spans="1:32" ht="27.75" thickBot="1">
      <c r="A63" s="489" t="s">
        <v>149</v>
      </c>
      <c r="B63" s="489"/>
      <c r="C63" s="489"/>
      <c r="D63" s="489"/>
      <c r="E63" s="48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0" t="s">
        <v>111</v>
      </c>
      <c r="B64" s="491"/>
      <c r="C64" s="125" t="s">
        <v>2</v>
      </c>
      <c r="D64" s="125" t="s">
        <v>37</v>
      </c>
      <c r="E64" s="125" t="s">
        <v>3</v>
      </c>
      <c r="F64" s="491" t="s">
        <v>109</v>
      </c>
      <c r="G64" s="491"/>
      <c r="H64" s="491"/>
      <c r="I64" s="491"/>
      <c r="J64" s="491"/>
      <c r="K64" s="491" t="s">
        <v>39</v>
      </c>
      <c r="L64" s="491"/>
      <c r="M64" s="125" t="s">
        <v>40</v>
      </c>
      <c r="N64" s="491" t="s">
        <v>41</v>
      </c>
      <c r="O64" s="491"/>
      <c r="P64" s="492" t="s">
        <v>42</v>
      </c>
      <c r="Q64" s="493"/>
      <c r="R64" s="492" t="s">
        <v>43</v>
      </c>
      <c r="S64" s="494"/>
      <c r="T64" s="494"/>
      <c r="U64" s="494"/>
      <c r="V64" s="494"/>
      <c r="W64" s="494"/>
      <c r="X64" s="494"/>
      <c r="Y64" s="494"/>
      <c r="Z64" s="494"/>
      <c r="AA64" s="493"/>
      <c r="AB64" s="491" t="s">
        <v>44</v>
      </c>
      <c r="AC64" s="491"/>
      <c r="AD64" s="495"/>
      <c r="AF64" s="84">
        <f>SUM(AF61:AF63)</f>
        <v>96000</v>
      </c>
    </row>
    <row r="65" spans="1:32" ht="25.5" customHeight="1">
      <c r="A65" s="496">
        <v>1</v>
      </c>
      <c r="B65" s="497"/>
      <c r="C65" s="104" t="s">
        <v>118</v>
      </c>
      <c r="D65" s="120"/>
      <c r="E65" s="123" t="s">
        <v>142</v>
      </c>
      <c r="F65" s="498" t="s">
        <v>159</v>
      </c>
      <c r="G65" s="499"/>
      <c r="H65" s="499"/>
      <c r="I65" s="499"/>
      <c r="J65" s="500"/>
      <c r="K65" s="501" t="s">
        <v>204</v>
      </c>
      <c r="L65" s="501"/>
      <c r="M65" s="51" t="s">
        <v>143</v>
      </c>
      <c r="N65" s="502" t="s">
        <v>133</v>
      </c>
      <c r="O65" s="502"/>
      <c r="P65" s="503">
        <v>50</v>
      </c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2</v>
      </c>
      <c r="B66" s="497"/>
      <c r="C66" s="104" t="s">
        <v>112</v>
      </c>
      <c r="D66" s="120"/>
      <c r="E66" s="123" t="s">
        <v>184</v>
      </c>
      <c r="F66" s="498" t="s">
        <v>205</v>
      </c>
      <c r="G66" s="499"/>
      <c r="H66" s="499"/>
      <c r="I66" s="499"/>
      <c r="J66" s="500"/>
      <c r="K66" s="501" t="s">
        <v>206</v>
      </c>
      <c r="L66" s="501"/>
      <c r="M66" s="51" t="s">
        <v>143</v>
      </c>
      <c r="N66" s="502" t="s">
        <v>141</v>
      </c>
      <c r="O66" s="502"/>
      <c r="P66" s="503">
        <v>50</v>
      </c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3</v>
      </c>
      <c r="B67" s="497"/>
      <c r="C67" s="104"/>
      <c r="D67" s="120"/>
      <c r="E67" s="123"/>
      <c r="F67" s="498"/>
      <c r="G67" s="499"/>
      <c r="H67" s="499"/>
      <c r="I67" s="499"/>
      <c r="J67" s="500"/>
      <c r="K67" s="501"/>
      <c r="L67" s="501"/>
      <c r="M67" s="51"/>
      <c r="N67" s="502"/>
      <c r="O67" s="502"/>
      <c r="P67" s="503"/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4</v>
      </c>
      <c r="B68" s="497"/>
      <c r="C68" s="104"/>
      <c r="D68" s="120"/>
      <c r="E68" s="123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5</v>
      </c>
      <c r="B69" s="497"/>
      <c r="C69" s="104"/>
      <c r="D69" s="120"/>
      <c r="E69" s="123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6</v>
      </c>
      <c r="B70" s="497"/>
      <c r="C70" s="104"/>
      <c r="D70" s="120"/>
      <c r="E70" s="123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7</v>
      </c>
      <c r="B71" s="497"/>
      <c r="C71" s="104"/>
      <c r="D71" s="120"/>
      <c r="E71" s="123"/>
      <c r="F71" s="498"/>
      <c r="G71" s="499"/>
      <c r="H71" s="499"/>
      <c r="I71" s="499"/>
      <c r="J71" s="500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8</v>
      </c>
      <c r="B72" s="497"/>
      <c r="C72" s="104"/>
      <c r="D72" s="120"/>
      <c r="E72" s="123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9</v>
      </c>
      <c r="B73" s="497"/>
      <c r="C73" s="104"/>
      <c r="D73" s="120"/>
      <c r="E73" s="123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5.5" customHeight="1">
      <c r="A74" s="496">
        <v>10</v>
      </c>
      <c r="B74" s="497"/>
      <c r="C74" s="104"/>
      <c r="D74" s="120"/>
      <c r="E74" s="123"/>
      <c r="F74" s="505"/>
      <c r="G74" s="501"/>
      <c r="H74" s="501"/>
      <c r="I74" s="501"/>
      <c r="J74" s="501"/>
      <c r="K74" s="501"/>
      <c r="L74" s="501"/>
      <c r="M74" s="51"/>
      <c r="N74" s="502"/>
      <c r="O74" s="502"/>
      <c r="P74" s="503"/>
      <c r="Q74" s="503"/>
      <c r="R74" s="477"/>
      <c r="S74" s="477"/>
      <c r="T74" s="477"/>
      <c r="U74" s="477"/>
      <c r="V74" s="477"/>
      <c r="W74" s="477"/>
      <c r="X74" s="477"/>
      <c r="Y74" s="477"/>
      <c r="Z74" s="477"/>
      <c r="AA74" s="477"/>
      <c r="AB74" s="501"/>
      <c r="AC74" s="501"/>
      <c r="AD74" s="504"/>
      <c r="AF74" s="50"/>
    </row>
    <row r="75" spans="1:32" ht="26.25" customHeight="1" thickBot="1">
      <c r="A75" s="506" t="s">
        <v>150</v>
      </c>
      <c r="B75" s="506"/>
      <c r="C75" s="506"/>
      <c r="D75" s="506"/>
      <c r="E75" s="506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507" t="s">
        <v>126</v>
      </c>
      <c r="B76" s="508"/>
      <c r="C76" s="122" t="s">
        <v>2</v>
      </c>
      <c r="D76" s="122" t="s">
        <v>37</v>
      </c>
      <c r="E76" s="122" t="s">
        <v>125</v>
      </c>
      <c r="F76" s="508" t="s">
        <v>38</v>
      </c>
      <c r="G76" s="508"/>
      <c r="H76" s="508"/>
      <c r="I76" s="508"/>
      <c r="J76" s="508"/>
      <c r="K76" s="509" t="s">
        <v>58</v>
      </c>
      <c r="L76" s="510"/>
      <c r="M76" s="510"/>
      <c r="N76" s="510"/>
      <c r="O76" s="510"/>
      <c r="P76" s="510"/>
      <c r="Q76" s="510"/>
      <c r="R76" s="510"/>
      <c r="S76" s="511"/>
      <c r="T76" s="508" t="s">
        <v>49</v>
      </c>
      <c r="U76" s="508"/>
      <c r="V76" s="509" t="s">
        <v>50</v>
      </c>
      <c r="W76" s="511"/>
      <c r="X76" s="510" t="s">
        <v>51</v>
      </c>
      <c r="Y76" s="510"/>
      <c r="Z76" s="510"/>
      <c r="AA76" s="510"/>
      <c r="AB76" s="510"/>
      <c r="AC76" s="510"/>
      <c r="AD76" s="512"/>
      <c r="AF76" s="50"/>
    </row>
    <row r="77" spans="1:32" ht="33.75" customHeight="1">
      <c r="A77" s="521">
        <v>1</v>
      </c>
      <c r="B77" s="522"/>
      <c r="C77" s="121" t="s">
        <v>112</v>
      </c>
      <c r="D77" s="121"/>
      <c r="E77" s="65" t="s">
        <v>117</v>
      </c>
      <c r="F77" s="523" t="s">
        <v>116</v>
      </c>
      <c r="G77" s="524"/>
      <c r="H77" s="524"/>
      <c r="I77" s="524"/>
      <c r="J77" s="525"/>
      <c r="K77" s="526" t="s">
        <v>119</v>
      </c>
      <c r="L77" s="527"/>
      <c r="M77" s="527"/>
      <c r="N77" s="527"/>
      <c r="O77" s="527"/>
      <c r="P77" s="527"/>
      <c r="Q77" s="527"/>
      <c r="R77" s="527"/>
      <c r="S77" s="528"/>
      <c r="T77" s="529">
        <v>44118</v>
      </c>
      <c r="U77" s="530"/>
      <c r="V77" s="531"/>
      <c r="W77" s="531"/>
      <c r="X77" s="532"/>
      <c r="Y77" s="532"/>
      <c r="Z77" s="532"/>
      <c r="AA77" s="532"/>
      <c r="AB77" s="532"/>
      <c r="AC77" s="532"/>
      <c r="AD77" s="533"/>
      <c r="AF77" s="50"/>
    </row>
    <row r="78" spans="1:32" ht="30" customHeight="1">
      <c r="A78" s="513">
        <f>A77+1</f>
        <v>2</v>
      </c>
      <c r="B78" s="514"/>
      <c r="C78" s="120"/>
      <c r="D78" s="120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ref="A79:A83" si="19">A78+1</f>
        <v>3</v>
      </c>
      <c r="B79" s="514"/>
      <c r="C79" s="120"/>
      <c r="D79" s="120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9"/>
        <v>4</v>
      </c>
      <c r="B80" s="514"/>
      <c r="C80" s="120"/>
      <c r="D80" s="120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9"/>
        <v>5</v>
      </c>
      <c r="B81" s="514"/>
      <c r="C81" s="120"/>
      <c r="D81" s="120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9"/>
        <v>6</v>
      </c>
      <c r="B82" s="514"/>
      <c r="C82" s="120"/>
      <c r="D82" s="120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0" customHeight="1">
      <c r="A83" s="513">
        <f t="shared" si="19"/>
        <v>7</v>
      </c>
      <c r="B83" s="514"/>
      <c r="C83" s="120"/>
      <c r="D83" s="120"/>
      <c r="E83" s="32"/>
      <c r="F83" s="514"/>
      <c r="G83" s="514"/>
      <c r="H83" s="514"/>
      <c r="I83" s="514"/>
      <c r="J83" s="514"/>
      <c r="K83" s="515"/>
      <c r="L83" s="516"/>
      <c r="M83" s="516"/>
      <c r="N83" s="516"/>
      <c r="O83" s="516"/>
      <c r="P83" s="516"/>
      <c r="Q83" s="516"/>
      <c r="R83" s="516"/>
      <c r="S83" s="517"/>
      <c r="T83" s="518"/>
      <c r="U83" s="518"/>
      <c r="V83" s="518"/>
      <c r="W83" s="518"/>
      <c r="X83" s="519"/>
      <c r="Y83" s="519"/>
      <c r="Z83" s="519"/>
      <c r="AA83" s="519"/>
      <c r="AB83" s="519"/>
      <c r="AC83" s="519"/>
      <c r="AD83" s="520"/>
      <c r="AF83" s="50"/>
    </row>
    <row r="84" spans="1:32" ht="36" thickBot="1">
      <c r="A84" s="506" t="s">
        <v>151</v>
      </c>
      <c r="B84" s="506"/>
      <c r="C84" s="506"/>
      <c r="D84" s="506"/>
      <c r="E84" s="50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507" t="s">
        <v>111</v>
      </c>
      <c r="B85" s="508"/>
      <c r="C85" s="534" t="s">
        <v>52</v>
      </c>
      <c r="D85" s="534"/>
      <c r="E85" s="534" t="s">
        <v>53</v>
      </c>
      <c r="F85" s="534"/>
      <c r="G85" s="534"/>
      <c r="H85" s="534"/>
      <c r="I85" s="534"/>
      <c r="J85" s="534"/>
      <c r="K85" s="534" t="s">
        <v>54</v>
      </c>
      <c r="L85" s="534"/>
      <c r="M85" s="534"/>
      <c r="N85" s="534"/>
      <c r="O85" s="534"/>
      <c r="P85" s="534"/>
      <c r="Q85" s="534"/>
      <c r="R85" s="534"/>
      <c r="S85" s="534"/>
      <c r="T85" s="534" t="s">
        <v>55</v>
      </c>
      <c r="U85" s="534"/>
      <c r="V85" s="534" t="s">
        <v>56</v>
      </c>
      <c r="W85" s="534"/>
      <c r="X85" s="534"/>
      <c r="Y85" s="534" t="s">
        <v>51</v>
      </c>
      <c r="Z85" s="534"/>
      <c r="AA85" s="534"/>
      <c r="AB85" s="534"/>
      <c r="AC85" s="534"/>
      <c r="AD85" s="535"/>
      <c r="AF85" s="50"/>
    </row>
    <row r="86" spans="1:32" ht="30.75" customHeight="1">
      <c r="A86" s="521">
        <v>1</v>
      </c>
      <c r="B86" s="522"/>
      <c r="C86" s="536">
        <v>9</v>
      </c>
      <c r="D86" s="536"/>
      <c r="E86" s="536" t="s">
        <v>136</v>
      </c>
      <c r="F86" s="536"/>
      <c r="G86" s="536"/>
      <c r="H86" s="536"/>
      <c r="I86" s="536"/>
      <c r="J86" s="536"/>
      <c r="K86" s="536" t="s">
        <v>161</v>
      </c>
      <c r="L86" s="536"/>
      <c r="M86" s="536"/>
      <c r="N86" s="536"/>
      <c r="O86" s="536"/>
      <c r="P86" s="536"/>
      <c r="Q86" s="536"/>
      <c r="R86" s="536"/>
      <c r="S86" s="536"/>
      <c r="T86" s="536" t="s">
        <v>137</v>
      </c>
      <c r="U86" s="536"/>
      <c r="V86" s="537" t="s">
        <v>152</v>
      </c>
      <c r="W86" s="537"/>
      <c r="X86" s="537"/>
      <c r="Y86" s="538"/>
      <c r="Z86" s="538"/>
      <c r="AA86" s="538"/>
      <c r="AB86" s="538"/>
      <c r="AC86" s="538"/>
      <c r="AD86" s="539"/>
      <c r="AF86" s="50"/>
    </row>
    <row r="87" spans="1:32" ht="30.75" customHeight="1">
      <c r="A87" s="513">
        <v>2</v>
      </c>
      <c r="B87" s="514"/>
      <c r="C87" s="547"/>
      <c r="D87" s="547"/>
      <c r="E87" s="547"/>
      <c r="F87" s="547"/>
      <c r="G87" s="547"/>
      <c r="H87" s="547"/>
      <c r="I87" s="547"/>
      <c r="J87" s="547"/>
      <c r="K87" s="547"/>
      <c r="L87" s="547"/>
      <c r="M87" s="547"/>
      <c r="N87" s="547"/>
      <c r="O87" s="547"/>
      <c r="P87" s="547"/>
      <c r="Q87" s="547"/>
      <c r="R87" s="547"/>
      <c r="S87" s="547"/>
      <c r="T87" s="548"/>
      <c r="U87" s="548"/>
      <c r="V87" s="549"/>
      <c r="W87" s="549"/>
      <c r="X87" s="549"/>
      <c r="Y87" s="540"/>
      <c r="Z87" s="540"/>
      <c r="AA87" s="540"/>
      <c r="AB87" s="540"/>
      <c r="AC87" s="540"/>
      <c r="AD87" s="541"/>
      <c r="AF87" s="50"/>
    </row>
    <row r="88" spans="1:32" ht="30.75" customHeight="1" thickBot="1">
      <c r="A88" s="542">
        <v>3</v>
      </c>
      <c r="B88" s="543"/>
      <c r="C88" s="544"/>
      <c r="D88" s="544"/>
      <c r="E88" s="544"/>
      <c r="F88" s="544"/>
      <c r="G88" s="544"/>
      <c r="H88" s="544"/>
      <c r="I88" s="544"/>
      <c r="J88" s="544"/>
      <c r="K88" s="544"/>
      <c r="L88" s="544"/>
      <c r="M88" s="544"/>
      <c r="N88" s="544"/>
      <c r="O88" s="544"/>
      <c r="P88" s="544"/>
      <c r="Q88" s="544"/>
      <c r="R88" s="544"/>
      <c r="S88" s="544"/>
      <c r="T88" s="544"/>
      <c r="U88" s="544"/>
      <c r="V88" s="544"/>
      <c r="W88" s="544"/>
      <c r="X88" s="544"/>
      <c r="Y88" s="545"/>
      <c r="Z88" s="545"/>
      <c r="AA88" s="545"/>
      <c r="AB88" s="545"/>
      <c r="AC88" s="545"/>
      <c r="AD88" s="546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B8D2-7826-43B5-B915-FBEEC4F84419}">
  <dimension ref="A1:AF88"/>
  <sheetViews>
    <sheetView view="pageBreakPreview" zoomScale="70" zoomScaleNormal="72" zoomScaleSheetLayoutView="70" workbookViewId="0">
      <selection activeCell="F80" sqref="F80:J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207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147" t="s">
        <v>17</v>
      </c>
      <c r="L5" s="147" t="s">
        <v>18</v>
      </c>
      <c r="M5" s="147" t="s">
        <v>19</v>
      </c>
      <c r="N5" s="14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138</v>
      </c>
      <c r="D6" s="52" t="s">
        <v>158</v>
      </c>
      <c r="E6" s="53" t="s">
        <v>172</v>
      </c>
      <c r="F6" s="30" t="s">
        <v>153</v>
      </c>
      <c r="G6" s="12">
        <v>1</v>
      </c>
      <c r="H6" s="13">
        <v>24</v>
      </c>
      <c r="I6" s="31">
        <v>5000</v>
      </c>
      <c r="J6" s="14">
        <v>3356</v>
      </c>
      <c r="K6" s="15">
        <f>L6+870</f>
        <v>4226</v>
      </c>
      <c r="L6" s="15">
        <f>872+2484</f>
        <v>3356</v>
      </c>
      <c r="M6" s="15">
        <f t="shared" ref="M6:M22" si="0">L6-N6</f>
        <v>3356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16</v>
      </c>
      <c r="Q6" s="40">
        <f t="shared" ref="Q6:Q22" si="3">SUM(R6:AA6)</f>
        <v>8</v>
      </c>
      <c r="R6" s="7"/>
      <c r="S6" s="6">
        <v>8</v>
      </c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0.66666666666666663</v>
      </c>
      <c r="AD6" s="10">
        <f t="shared" ref="AD6:AD22" si="6">AC6*AB6*(1-O6)</f>
        <v>0.66666666666666663</v>
      </c>
      <c r="AE6" s="36">
        <f t="shared" ref="AE6:AE22" si="7">$AD$23</f>
        <v>0.64610976646352891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165</v>
      </c>
      <c r="F7" s="30" t="s">
        <v>127</v>
      </c>
      <c r="G7" s="12">
        <v>1</v>
      </c>
      <c r="H7" s="13">
        <v>24</v>
      </c>
      <c r="I7" s="31">
        <v>1300</v>
      </c>
      <c r="J7" s="14">
        <v>1457</v>
      </c>
      <c r="K7" s="15">
        <f>L7+1457</f>
        <v>1457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0.64610976646352891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208</v>
      </c>
      <c r="E8" s="53" t="s">
        <v>209</v>
      </c>
      <c r="F8" s="30" t="s">
        <v>156</v>
      </c>
      <c r="G8" s="33">
        <v>2</v>
      </c>
      <c r="H8" s="35">
        <v>24</v>
      </c>
      <c r="I8" s="7">
        <v>500</v>
      </c>
      <c r="J8" s="5">
        <v>660</v>
      </c>
      <c r="K8" s="15">
        <f>L8</f>
        <v>660</v>
      </c>
      <c r="L8" s="15">
        <f>330*2</f>
        <v>660</v>
      </c>
      <c r="M8" s="15">
        <f t="shared" si="0"/>
        <v>660</v>
      </c>
      <c r="N8" s="15">
        <v>0</v>
      </c>
      <c r="O8" s="58">
        <f t="shared" si="1"/>
        <v>0</v>
      </c>
      <c r="P8" s="39">
        <f t="shared" si="2"/>
        <v>3</v>
      </c>
      <c r="Q8" s="40">
        <f t="shared" si="3"/>
        <v>21</v>
      </c>
      <c r="R8" s="7"/>
      <c r="S8" s="6"/>
      <c r="T8" s="16"/>
      <c r="U8" s="16"/>
      <c r="V8" s="17"/>
      <c r="W8" s="5">
        <v>21</v>
      </c>
      <c r="X8" s="16"/>
      <c r="Y8" s="16"/>
      <c r="Z8" s="16"/>
      <c r="AA8" s="18"/>
      <c r="AB8" s="8">
        <f t="shared" si="4"/>
        <v>1</v>
      </c>
      <c r="AC8" s="9">
        <f t="shared" si="5"/>
        <v>0.125</v>
      </c>
      <c r="AD8" s="10">
        <f t="shared" si="6"/>
        <v>0.125</v>
      </c>
      <c r="AE8" s="36">
        <f t="shared" si="7"/>
        <v>0.64610976646352891</v>
      </c>
      <c r="AF8" s="84">
        <f t="shared" si="8"/>
        <v>3</v>
      </c>
    </row>
    <row r="9" spans="1:32" ht="27" customHeight="1">
      <c r="A9" s="96">
        <v>3</v>
      </c>
      <c r="B9" s="11" t="s">
        <v>57</v>
      </c>
      <c r="C9" s="34" t="s">
        <v>210</v>
      </c>
      <c r="D9" s="52" t="s">
        <v>211</v>
      </c>
      <c r="E9" s="53" t="s">
        <v>212</v>
      </c>
      <c r="F9" s="30" t="s">
        <v>213</v>
      </c>
      <c r="G9" s="33" t="s">
        <v>214</v>
      </c>
      <c r="H9" s="35">
        <v>24</v>
      </c>
      <c r="I9" s="7">
        <v>2000</v>
      </c>
      <c r="J9" s="5">
        <v>2215</v>
      </c>
      <c r="K9" s="15">
        <f>L9</f>
        <v>2215</v>
      </c>
      <c r="L9" s="15">
        <v>2215</v>
      </c>
      <c r="M9" s="15">
        <f t="shared" si="0"/>
        <v>2215</v>
      </c>
      <c r="N9" s="15">
        <v>0</v>
      </c>
      <c r="O9" s="58">
        <f t="shared" si="1"/>
        <v>0</v>
      </c>
      <c r="P9" s="39">
        <f t="shared" si="2"/>
        <v>14</v>
      </c>
      <c r="Q9" s="40">
        <f t="shared" si="3"/>
        <v>10</v>
      </c>
      <c r="R9" s="7"/>
      <c r="S9" s="6"/>
      <c r="T9" s="16">
        <v>8</v>
      </c>
      <c r="U9" s="16"/>
      <c r="V9" s="17"/>
      <c r="W9" s="5">
        <v>2</v>
      </c>
      <c r="X9" s="16"/>
      <c r="Y9" s="16"/>
      <c r="Z9" s="16"/>
      <c r="AA9" s="18"/>
      <c r="AB9" s="8">
        <f t="shared" si="4"/>
        <v>1</v>
      </c>
      <c r="AC9" s="9">
        <f t="shared" si="5"/>
        <v>0.58333333333333337</v>
      </c>
      <c r="AD9" s="10">
        <f t="shared" si="6"/>
        <v>0.58333333333333337</v>
      </c>
      <c r="AE9" s="36">
        <f t="shared" si="7"/>
        <v>0.64610976646352891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115</v>
      </c>
      <c r="E10" s="53" t="s">
        <v>169</v>
      </c>
      <c r="F10" s="30" t="s">
        <v>130</v>
      </c>
      <c r="G10" s="12">
        <v>1</v>
      </c>
      <c r="H10" s="13">
        <v>24</v>
      </c>
      <c r="I10" s="7">
        <v>28000</v>
      </c>
      <c r="J10" s="14">
        <v>5197</v>
      </c>
      <c r="K10" s="15">
        <f>L10+4421+1946+4993</f>
        <v>16557</v>
      </c>
      <c r="L10" s="15">
        <f>2628+2569</f>
        <v>5197</v>
      </c>
      <c r="M10" s="15">
        <f t="shared" si="0"/>
        <v>5197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0.64610976646352891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118</v>
      </c>
      <c r="D11" s="52" t="s">
        <v>131</v>
      </c>
      <c r="E11" s="53" t="s">
        <v>168</v>
      </c>
      <c r="F11" s="30" t="s">
        <v>144</v>
      </c>
      <c r="G11" s="33">
        <v>1</v>
      </c>
      <c r="H11" s="35">
        <v>24</v>
      </c>
      <c r="I11" s="7">
        <v>25000</v>
      </c>
      <c r="J11" s="14">
        <v>6604</v>
      </c>
      <c r="K11" s="15">
        <f>L11+6258+6648+6637+2872+6338</f>
        <v>35357</v>
      </c>
      <c r="L11" s="15">
        <f>3271+3333</f>
        <v>6604</v>
      </c>
      <c r="M11" s="15">
        <f t="shared" si="0"/>
        <v>6604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0.64610976646352891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118</v>
      </c>
      <c r="D12" s="52" t="s">
        <v>162</v>
      </c>
      <c r="E12" s="53" t="s">
        <v>163</v>
      </c>
      <c r="F12" s="30" t="s">
        <v>164</v>
      </c>
      <c r="G12" s="33">
        <v>16</v>
      </c>
      <c r="H12" s="35">
        <v>24</v>
      </c>
      <c r="I12" s="7">
        <v>100000</v>
      </c>
      <c r="J12" s="14">
        <v>15260</v>
      </c>
      <c r="K12" s="15">
        <f>L12+39816+90622+108136+15260</f>
        <v>253834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>
        <v>24</v>
      </c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0.64610976646352891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134</v>
      </c>
      <c r="F13" s="30" t="s">
        <v>135</v>
      </c>
      <c r="G13" s="12">
        <v>1</v>
      </c>
      <c r="H13" s="13">
        <v>22</v>
      </c>
      <c r="I13" s="31">
        <v>34000</v>
      </c>
      <c r="J13" s="5">
        <v>5443</v>
      </c>
      <c r="K13" s="15">
        <f>L13+5421+4981+4563+3733+2354+5233</f>
        <v>31728</v>
      </c>
      <c r="L13" s="15">
        <f>2693+2750</f>
        <v>5443</v>
      </c>
      <c r="M13" s="15">
        <f t="shared" si="0"/>
        <v>5443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0.64610976646352891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199</v>
      </c>
      <c r="E14" s="53" t="s">
        <v>195</v>
      </c>
      <c r="F14" s="30" t="s">
        <v>215</v>
      </c>
      <c r="G14" s="33">
        <v>1</v>
      </c>
      <c r="H14" s="35">
        <v>24</v>
      </c>
      <c r="I14" s="7">
        <v>4000</v>
      </c>
      <c r="J14" s="14">
        <v>5295</v>
      </c>
      <c r="K14" s="15">
        <f>L14</f>
        <v>5295</v>
      </c>
      <c r="L14" s="15">
        <f>2338+2957</f>
        <v>5295</v>
      </c>
      <c r="M14" s="15">
        <f t="shared" si="0"/>
        <v>5295</v>
      </c>
      <c r="N14" s="15">
        <v>0</v>
      </c>
      <c r="O14" s="58">
        <f t="shared" si="1"/>
        <v>0</v>
      </c>
      <c r="P14" s="39">
        <f t="shared" si="2"/>
        <v>22</v>
      </c>
      <c r="Q14" s="40">
        <f t="shared" si="3"/>
        <v>2</v>
      </c>
      <c r="R14" s="7"/>
      <c r="S14" s="6">
        <v>2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0.91666666666666663</v>
      </c>
      <c r="AD14" s="10">
        <f t="shared" si="6"/>
        <v>0.91666666666666663</v>
      </c>
      <c r="AE14" s="36">
        <f t="shared" si="7"/>
        <v>0.64610976646352891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166</v>
      </c>
      <c r="F15" s="30" t="s">
        <v>145</v>
      </c>
      <c r="G15" s="33">
        <v>1</v>
      </c>
      <c r="H15" s="35">
        <v>50</v>
      </c>
      <c r="I15" s="7">
        <v>300</v>
      </c>
      <c r="J15" s="5">
        <v>275</v>
      </c>
      <c r="K15" s="15">
        <f>L15+340+275</f>
        <v>615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0.64610976646352891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118</v>
      </c>
      <c r="D16" s="52" t="s">
        <v>129</v>
      </c>
      <c r="E16" s="53" t="s">
        <v>200</v>
      </c>
      <c r="F16" s="30" t="s">
        <v>157</v>
      </c>
      <c r="G16" s="12">
        <v>4</v>
      </c>
      <c r="H16" s="13">
        <v>24</v>
      </c>
      <c r="I16" s="31">
        <v>12000</v>
      </c>
      <c r="J16" s="14">
        <v>12356</v>
      </c>
      <c r="K16" s="15">
        <f>L16</f>
        <v>12356</v>
      </c>
      <c r="L16" s="15">
        <f>2505*4+584*4</f>
        <v>12356</v>
      </c>
      <c r="M16" s="15">
        <f t="shared" si="0"/>
        <v>12356</v>
      </c>
      <c r="N16" s="15">
        <v>0</v>
      </c>
      <c r="O16" s="58">
        <f t="shared" si="1"/>
        <v>0</v>
      </c>
      <c r="P16" s="39">
        <f t="shared" si="2"/>
        <v>17</v>
      </c>
      <c r="Q16" s="40">
        <f t="shared" si="3"/>
        <v>7</v>
      </c>
      <c r="R16" s="7"/>
      <c r="S16" s="6"/>
      <c r="T16" s="16"/>
      <c r="U16" s="16"/>
      <c r="V16" s="17"/>
      <c r="W16" s="5">
        <v>7</v>
      </c>
      <c r="X16" s="16"/>
      <c r="Y16" s="16"/>
      <c r="Z16" s="16"/>
      <c r="AA16" s="18"/>
      <c r="AB16" s="8">
        <f t="shared" si="4"/>
        <v>1</v>
      </c>
      <c r="AC16" s="9">
        <f t="shared" si="5"/>
        <v>0.70833333333333337</v>
      </c>
      <c r="AD16" s="10">
        <f t="shared" si="6"/>
        <v>0.70833333333333337</v>
      </c>
      <c r="AE16" s="36">
        <f t="shared" si="7"/>
        <v>0.64610976646352891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129</v>
      </c>
      <c r="E17" s="53" t="s">
        <v>216</v>
      </c>
      <c r="F17" s="30" t="s">
        <v>217</v>
      </c>
      <c r="G17" s="12">
        <v>1</v>
      </c>
      <c r="H17" s="13">
        <v>24</v>
      </c>
      <c r="I17" s="7">
        <v>2000</v>
      </c>
      <c r="J17" s="14">
        <v>2722</v>
      </c>
      <c r="K17" s="15">
        <f>L17</f>
        <v>3722</v>
      </c>
      <c r="L17" s="15">
        <f>824+2898</f>
        <v>3722</v>
      </c>
      <c r="M17" s="15">
        <f t="shared" si="0"/>
        <v>3722</v>
      </c>
      <c r="N17" s="15">
        <v>0</v>
      </c>
      <c r="O17" s="58">
        <f t="shared" si="1"/>
        <v>0</v>
      </c>
      <c r="P17" s="39">
        <f t="shared" si="2"/>
        <v>18</v>
      </c>
      <c r="Q17" s="40">
        <f t="shared" si="3"/>
        <v>6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6</v>
      </c>
      <c r="AB17" s="8">
        <f t="shared" si="4"/>
        <v>1.3673769287288757</v>
      </c>
      <c r="AC17" s="9">
        <f t="shared" si="5"/>
        <v>0.75</v>
      </c>
      <c r="AD17" s="10">
        <f t="shared" si="6"/>
        <v>1.0255326965466569</v>
      </c>
      <c r="AE17" s="36">
        <f t="shared" si="7"/>
        <v>0.64610976646352891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/>
      <c r="E18" s="53" t="s">
        <v>155</v>
      </c>
      <c r="F18" s="30" t="s">
        <v>127</v>
      </c>
      <c r="G18" s="12">
        <v>1</v>
      </c>
      <c r="H18" s="13">
        <v>24</v>
      </c>
      <c r="I18" s="7">
        <v>5000</v>
      </c>
      <c r="J18" s="14">
        <v>3666</v>
      </c>
      <c r="K18" s="15">
        <f>L18</f>
        <v>3666</v>
      </c>
      <c r="L18" s="15">
        <f>2889+777</f>
        <v>3666</v>
      </c>
      <c r="M18" s="15">
        <f t="shared" si="0"/>
        <v>3666</v>
      </c>
      <c r="N18" s="15">
        <v>0</v>
      </c>
      <c r="O18" s="58">
        <f t="shared" si="1"/>
        <v>0</v>
      </c>
      <c r="P18" s="39">
        <f t="shared" si="2"/>
        <v>18</v>
      </c>
      <c r="Q18" s="40">
        <f t="shared" si="3"/>
        <v>6</v>
      </c>
      <c r="R18" s="7"/>
      <c r="S18" s="6">
        <v>6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0.75</v>
      </c>
      <c r="AD18" s="10">
        <f t="shared" si="6"/>
        <v>0.75</v>
      </c>
      <c r="AE18" s="36">
        <f t="shared" si="7"/>
        <v>0.64610976646352891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/>
      <c r="E19" s="53" t="s">
        <v>174</v>
      </c>
      <c r="F19" s="30" t="s">
        <v>180</v>
      </c>
      <c r="G19" s="33">
        <v>1</v>
      </c>
      <c r="H19" s="35">
        <v>24</v>
      </c>
      <c r="I19" s="7">
        <v>5000</v>
      </c>
      <c r="J19" s="14">
        <v>5616</v>
      </c>
      <c r="K19" s="15">
        <f>L19+5625</f>
        <v>11241</v>
      </c>
      <c r="L19" s="15">
        <f>2585+3031</f>
        <v>5616</v>
      </c>
      <c r="M19" s="15">
        <f t="shared" si="0"/>
        <v>5616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0.64610976646352891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118</v>
      </c>
      <c r="D20" s="52" t="s">
        <v>129</v>
      </c>
      <c r="E20" s="53" t="s">
        <v>170</v>
      </c>
      <c r="F20" s="30" t="s">
        <v>156</v>
      </c>
      <c r="G20" s="33">
        <v>1</v>
      </c>
      <c r="H20" s="35">
        <v>24</v>
      </c>
      <c r="I20" s="7">
        <v>28000</v>
      </c>
      <c r="J20" s="14">
        <v>4728</v>
      </c>
      <c r="K20" s="15">
        <f>L20+4498+2017+4516</f>
        <v>15759</v>
      </c>
      <c r="L20" s="15">
        <f>2333+2395</f>
        <v>4728</v>
      </c>
      <c r="M20" s="15">
        <f t="shared" si="0"/>
        <v>4728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0.64610976646352891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131</v>
      </c>
      <c r="E21" s="53" t="s">
        <v>218</v>
      </c>
      <c r="F21" s="30" t="s">
        <v>144</v>
      </c>
      <c r="G21" s="12">
        <v>2</v>
      </c>
      <c r="H21" s="13">
        <v>24</v>
      </c>
      <c r="I21" s="7">
        <v>1000</v>
      </c>
      <c r="J21" s="14">
        <v>1160</v>
      </c>
      <c r="K21" s="15">
        <f>L21</f>
        <v>1160</v>
      </c>
      <c r="L21" s="15">
        <f>580*2</f>
        <v>1160</v>
      </c>
      <c r="M21" s="15">
        <f t="shared" si="0"/>
        <v>1160</v>
      </c>
      <c r="N21" s="15">
        <v>0</v>
      </c>
      <c r="O21" s="58">
        <f t="shared" si="1"/>
        <v>0</v>
      </c>
      <c r="P21" s="39">
        <f t="shared" si="2"/>
        <v>5</v>
      </c>
      <c r="Q21" s="40">
        <f t="shared" si="3"/>
        <v>19</v>
      </c>
      <c r="R21" s="7"/>
      <c r="S21" s="6"/>
      <c r="T21" s="16"/>
      <c r="U21" s="16"/>
      <c r="V21" s="17"/>
      <c r="W21" s="5"/>
      <c r="X21" s="16"/>
      <c r="Y21" s="16"/>
      <c r="Z21" s="16"/>
      <c r="AA21" s="18">
        <v>19</v>
      </c>
      <c r="AB21" s="8">
        <f t="shared" si="4"/>
        <v>1</v>
      </c>
      <c r="AC21" s="9">
        <f t="shared" si="5"/>
        <v>0.20833333333333334</v>
      </c>
      <c r="AD21" s="10">
        <f t="shared" si="6"/>
        <v>0.20833333333333334</v>
      </c>
      <c r="AE21" s="36">
        <f t="shared" si="7"/>
        <v>0.64610976646352891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175</v>
      </c>
      <c r="F22" s="12" t="s">
        <v>114</v>
      </c>
      <c r="G22" s="12">
        <v>3</v>
      </c>
      <c r="H22" s="35">
        <v>20</v>
      </c>
      <c r="I22" s="7">
        <v>1000000</v>
      </c>
      <c r="J22" s="14">
        <v>65280</v>
      </c>
      <c r="K22" s="15">
        <f>L22+62008</f>
        <v>127288</v>
      </c>
      <c r="L22" s="15">
        <f>8257*4+8063*4</f>
        <v>65280</v>
      </c>
      <c r="M22" s="15">
        <f t="shared" si="0"/>
        <v>65280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0.64610976646352891</v>
      </c>
      <c r="AF22" s="84">
        <f t="shared" si="8"/>
        <v>16</v>
      </c>
    </row>
    <row r="23" spans="1:32" ht="31.5" customHeight="1" thickBot="1">
      <c r="A23" s="443" t="s">
        <v>34</v>
      </c>
      <c r="B23" s="444"/>
      <c r="C23" s="444"/>
      <c r="D23" s="444"/>
      <c r="E23" s="444"/>
      <c r="F23" s="444"/>
      <c r="G23" s="444"/>
      <c r="H23" s="445"/>
      <c r="I23" s="22">
        <f t="shared" ref="I23:N23" si="9">SUM(I6:I22)</f>
        <v>1253100</v>
      </c>
      <c r="J23" s="19">
        <f t="shared" si="9"/>
        <v>141290</v>
      </c>
      <c r="K23" s="20">
        <f t="shared" si="9"/>
        <v>527136</v>
      </c>
      <c r="L23" s="21">
        <f t="shared" si="9"/>
        <v>125298</v>
      </c>
      <c r="M23" s="20">
        <f t="shared" si="9"/>
        <v>125298</v>
      </c>
      <c r="N23" s="21">
        <f t="shared" si="9"/>
        <v>0</v>
      </c>
      <c r="O23" s="41">
        <f t="shared" si="1"/>
        <v>0</v>
      </c>
      <c r="P23" s="42">
        <f t="shared" ref="P23:AA23" si="10">SUM(P6:P22)</f>
        <v>257</v>
      </c>
      <c r="Q23" s="43">
        <f t="shared" si="10"/>
        <v>151</v>
      </c>
      <c r="R23" s="23">
        <f t="shared" si="10"/>
        <v>24</v>
      </c>
      <c r="S23" s="24">
        <f t="shared" si="10"/>
        <v>16</v>
      </c>
      <c r="T23" s="24">
        <f t="shared" si="10"/>
        <v>8</v>
      </c>
      <c r="U23" s="24">
        <f t="shared" si="10"/>
        <v>0</v>
      </c>
      <c r="V23" s="25">
        <f t="shared" si="10"/>
        <v>0</v>
      </c>
      <c r="W23" s="26">
        <f t="shared" si="10"/>
        <v>54</v>
      </c>
      <c r="X23" s="27">
        <f t="shared" si="10"/>
        <v>0</v>
      </c>
      <c r="Y23" s="27">
        <f t="shared" si="10"/>
        <v>0</v>
      </c>
      <c r="Z23" s="27">
        <f t="shared" si="10"/>
        <v>0</v>
      </c>
      <c r="AA23" s="27">
        <f t="shared" si="10"/>
        <v>49</v>
      </c>
      <c r="AB23" s="28">
        <f>AVERAGE(AB6:AB22)</f>
        <v>0.84513981933699267</v>
      </c>
      <c r="AC23" s="4">
        <f>AVERAGE(AC6:AC22)</f>
        <v>0.62990196078431371</v>
      </c>
      <c r="AD23" s="4">
        <f>AVERAGE(AD6:AD22)</f>
        <v>0.64610976646352891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6" t="s">
        <v>45</v>
      </c>
      <c r="B50" s="446"/>
      <c r="C50" s="446"/>
      <c r="D50" s="446"/>
      <c r="E50" s="446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7" t="s">
        <v>219</v>
      </c>
      <c r="B51" s="448"/>
      <c r="C51" s="448"/>
      <c r="D51" s="448"/>
      <c r="E51" s="448"/>
      <c r="F51" s="448"/>
      <c r="G51" s="448"/>
      <c r="H51" s="448"/>
      <c r="I51" s="448"/>
      <c r="J51" s="448"/>
      <c r="K51" s="448"/>
      <c r="L51" s="448"/>
      <c r="M51" s="449"/>
      <c r="N51" s="450" t="s">
        <v>224</v>
      </c>
      <c r="O51" s="451"/>
      <c r="P51" s="451"/>
      <c r="Q51" s="451"/>
      <c r="R51" s="451"/>
      <c r="S51" s="451"/>
      <c r="T51" s="451"/>
      <c r="U51" s="451"/>
      <c r="V51" s="451"/>
      <c r="W51" s="451"/>
      <c r="X51" s="451"/>
      <c r="Y51" s="451"/>
      <c r="Z51" s="451"/>
      <c r="AA51" s="451"/>
      <c r="AB51" s="451"/>
      <c r="AC51" s="451"/>
      <c r="AD51" s="452"/>
    </row>
    <row r="52" spans="1:32" ht="27" customHeight="1">
      <c r="A52" s="453" t="s">
        <v>2</v>
      </c>
      <c r="B52" s="454"/>
      <c r="C52" s="146" t="s">
        <v>46</v>
      </c>
      <c r="D52" s="146" t="s">
        <v>47</v>
      </c>
      <c r="E52" s="146" t="s">
        <v>107</v>
      </c>
      <c r="F52" s="455" t="s">
        <v>106</v>
      </c>
      <c r="G52" s="456"/>
      <c r="H52" s="456"/>
      <c r="I52" s="456"/>
      <c r="J52" s="456"/>
      <c r="K52" s="456"/>
      <c r="L52" s="456"/>
      <c r="M52" s="457"/>
      <c r="N52" s="67" t="s">
        <v>110</v>
      </c>
      <c r="O52" s="146" t="s">
        <v>46</v>
      </c>
      <c r="P52" s="455" t="s">
        <v>47</v>
      </c>
      <c r="Q52" s="458"/>
      <c r="R52" s="455" t="s">
        <v>38</v>
      </c>
      <c r="S52" s="456"/>
      <c r="T52" s="456"/>
      <c r="U52" s="458"/>
      <c r="V52" s="455" t="s">
        <v>48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69" t="s">
        <v>138</v>
      </c>
      <c r="B53" s="470"/>
      <c r="C53" s="142" t="s">
        <v>147</v>
      </c>
      <c r="D53" s="142" t="s">
        <v>158</v>
      </c>
      <c r="E53" s="142" t="s">
        <v>172</v>
      </c>
      <c r="F53" s="471" t="s">
        <v>220</v>
      </c>
      <c r="G53" s="472"/>
      <c r="H53" s="472"/>
      <c r="I53" s="472"/>
      <c r="J53" s="472"/>
      <c r="K53" s="472"/>
      <c r="L53" s="472"/>
      <c r="M53" s="473"/>
      <c r="N53" s="145" t="s">
        <v>138</v>
      </c>
      <c r="O53" s="139" t="s">
        <v>147</v>
      </c>
      <c r="P53" s="474" t="s">
        <v>158</v>
      </c>
      <c r="Q53" s="475"/>
      <c r="R53" s="474" t="s">
        <v>172</v>
      </c>
      <c r="S53" s="476"/>
      <c r="T53" s="476"/>
      <c r="U53" s="475"/>
      <c r="V53" s="477" t="s">
        <v>124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 t="s">
        <v>112</v>
      </c>
      <c r="B54" s="470"/>
      <c r="C54" s="142" t="s">
        <v>139</v>
      </c>
      <c r="D54" s="142" t="s">
        <v>208</v>
      </c>
      <c r="E54" s="142" t="s">
        <v>209</v>
      </c>
      <c r="F54" s="471" t="s">
        <v>221</v>
      </c>
      <c r="G54" s="472"/>
      <c r="H54" s="472"/>
      <c r="I54" s="472"/>
      <c r="J54" s="472"/>
      <c r="K54" s="472"/>
      <c r="L54" s="472"/>
      <c r="M54" s="473"/>
      <c r="N54" s="145" t="s">
        <v>112</v>
      </c>
      <c r="O54" s="139" t="s">
        <v>139</v>
      </c>
      <c r="P54" s="474" t="s">
        <v>129</v>
      </c>
      <c r="Q54" s="475"/>
      <c r="R54" s="474" t="s">
        <v>225</v>
      </c>
      <c r="S54" s="476"/>
      <c r="T54" s="476"/>
      <c r="U54" s="475"/>
      <c r="V54" s="477" t="s">
        <v>132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69" t="s">
        <v>210</v>
      </c>
      <c r="B55" s="470"/>
      <c r="C55" s="142" t="s">
        <v>139</v>
      </c>
      <c r="D55" s="142" t="s">
        <v>211</v>
      </c>
      <c r="E55" s="142" t="s">
        <v>212</v>
      </c>
      <c r="F55" s="471" t="s">
        <v>132</v>
      </c>
      <c r="G55" s="472"/>
      <c r="H55" s="472"/>
      <c r="I55" s="472"/>
      <c r="J55" s="472"/>
      <c r="K55" s="472"/>
      <c r="L55" s="472"/>
      <c r="M55" s="473"/>
      <c r="N55" s="145" t="s">
        <v>112</v>
      </c>
      <c r="O55" s="139" t="s">
        <v>139</v>
      </c>
      <c r="P55" s="474" t="s">
        <v>115</v>
      </c>
      <c r="Q55" s="475"/>
      <c r="R55" s="474" t="s">
        <v>226</v>
      </c>
      <c r="S55" s="476"/>
      <c r="T55" s="476"/>
      <c r="U55" s="475"/>
      <c r="V55" s="477" t="s">
        <v>221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120</v>
      </c>
      <c r="B56" s="470"/>
      <c r="C56" s="142" t="s">
        <v>140</v>
      </c>
      <c r="D56" s="142"/>
      <c r="E56" s="142" t="s">
        <v>155</v>
      </c>
      <c r="F56" s="471" t="s">
        <v>124</v>
      </c>
      <c r="G56" s="472"/>
      <c r="H56" s="472"/>
      <c r="I56" s="472"/>
      <c r="J56" s="472"/>
      <c r="K56" s="472"/>
      <c r="L56" s="472"/>
      <c r="M56" s="473"/>
      <c r="N56" s="145" t="s">
        <v>118</v>
      </c>
      <c r="O56" s="139" t="s">
        <v>191</v>
      </c>
      <c r="P56" s="474" t="s">
        <v>115</v>
      </c>
      <c r="Q56" s="475"/>
      <c r="R56" s="474" t="s">
        <v>227</v>
      </c>
      <c r="S56" s="476"/>
      <c r="T56" s="476"/>
      <c r="U56" s="475"/>
      <c r="V56" s="477" t="s">
        <v>132</v>
      </c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 t="s">
        <v>118</v>
      </c>
      <c r="B57" s="470"/>
      <c r="C57" s="142" t="s">
        <v>222</v>
      </c>
      <c r="D57" s="142" t="s">
        <v>129</v>
      </c>
      <c r="E57" s="142" t="s">
        <v>216</v>
      </c>
      <c r="F57" s="471" t="s">
        <v>132</v>
      </c>
      <c r="G57" s="472"/>
      <c r="H57" s="472"/>
      <c r="I57" s="472"/>
      <c r="J57" s="472"/>
      <c r="K57" s="472"/>
      <c r="L57" s="472"/>
      <c r="M57" s="473"/>
      <c r="N57" s="145"/>
      <c r="O57" s="139"/>
      <c r="P57" s="474"/>
      <c r="Q57" s="475"/>
      <c r="R57" s="474"/>
      <c r="S57" s="476"/>
      <c r="T57" s="476"/>
      <c r="U57" s="475"/>
      <c r="V57" s="477"/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 t="s">
        <v>118</v>
      </c>
      <c r="B58" s="470"/>
      <c r="C58" s="142" t="s">
        <v>202</v>
      </c>
      <c r="D58" s="142" t="s">
        <v>129</v>
      </c>
      <c r="E58" s="142" t="s">
        <v>200</v>
      </c>
      <c r="F58" s="471" t="s">
        <v>132</v>
      </c>
      <c r="G58" s="472"/>
      <c r="H58" s="472"/>
      <c r="I58" s="472"/>
      <c r="J58" s="472"/>
      <c r="K58" s="472"/>
      <c r="L58" s="472"/>
      <c r="M58" s="473"/>
      <c r="N58" s="145"/>
      <c r="O58" s="139"/>
      <c r="P58" s="474"/>
      <c r="Q58" s="475"/>
      <c r="R58" s="474"/>
      <c r="S58" s="476"/>
      <c r="T58" s="476"/>
      <c r="U58" s="475"/>
      <c r="V58" s="477"/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69" t="s">
        <v>112</v>
      </c>
      <c r="B59" s="470"/>
      <c r="C59" s="142" t="s">
        <v>198</v>
      </c>
      <c r="D59" s="142" t="s">
        <v>199</v>
      </c>
      <c r="E59" s="142" t="s">
        <v>195</v>
      </c>
      <c r="F59" s="471" t="s">
        <v>223</v>
      </c>
      <c r="G59" s="472"/>
      <c r="H59" s="472"/>
      <c r="I59" s="472"/>
      <c r="J59" s="472"/>
      <c r="K59" s="472"/>
      <c r="L59" s="472"/>
      <c r="M59" s="473"/>
      <c r="N59" s="145"/>
      <c r="O59" s="139"/>
      <c r="P59" s="474"/>
      <c r="Q59" s="475"/>
      <c r="R59" s="474"/>
      <c r="S59" s="476"/>
      <c r="T59" s="476"/>
      <c r="U59" s="475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 t="s">
        <v>112</v>
      </c>
      <c r="B60" s="488"/>
      <c r="C60" s="141" t="s">
        <v>141</v>
      </c>
      <c r="D60" s="141" t="s">
        <v>184</v>
      </c>
      <c r="E60" s="142" t="s">
        <v>218</v>
      </c>
      <c r="F60" s="471" t="s">
        <v>221</v>
      </c>
      <c r="G60" s="472"/>
      <c r="H60" s="472"/>
      <c r="I60" s="472"/>
      <c r="J60" s="472"/>
      <c r="K60" s="472"/>
      <c r="L60" s="472"/>
      <c r="M60" s="473"/>
      <c r="N60" s="145"/>
      <c r="O60" s="139"/>
      <c r="P60" s="474"/>
      <c r="Q60" s="475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</row>
    <row r="61" spans="1:32" ht="27" customHeight="1">
      <c r="A61" s="487"/>
      <c r="B61" s="488"/>
      <c r="C61" s="141"/>
      <c r="D61" s="141"/>
      <c r="E61" s="142"/>
      <c r="F61" s="471"/>
      <c r="G61" s="472"/>
      <c r="H61" s="472"/>
      <c r="I61" s="472"/>
      <c r="J61" s="472"/>
      <c r="K61" s="472"/>
      <c r="L61" s="472"/>
      <c r="M61" s="473"/>
      <c r="N61" s="145"/>
      <c r="O61" s="139"/>
      <c r="P61" s="470"/>
      <c r="Q61" s="470"/>
      <c r="R61" s="470"/>
      <c r="S61" s="470"/>
      <c r="T61" s="470"/>
      <c r="U61" s="470"/>
      <c r="V61" s="477"/>
      <c r="W61" s="477"/>
      <c r="X61" s="477"/>
      <c r="Y61" s="477"/>
      <c r="Z61" s="477"/>
      <c r="AA61" s="477"/>
      <c r="AB61" s="477"/>
      <c r="AC61" s="477"/>
      <c r="AD61" s="478"/>
      <c r="AF61" s="84">
        <f>8*3000</f>
        <v>24000</v>
      </c>
    </row>
    <row r="62" spans="1:32" ht="27" customHeight="1" thickBot="1">
      <c r="A62" s="479"/>
      <c r="B62" s="480"/>
      <c r="C62" s="143"/>
      <c r="D62" s="144"/>
      <c r="E62" s="143"/>
      <c r="F62" s="481"/>
      <c r="G62" s="482"/>
      <c r="H62" s="482"/>
      <c r="I62" s="482"/>
      <c r="J62" s="482"/>
      <c r="K62" s="482"/>
      <c r="L62" s="482"/>
      <c r="M62" s="483"/>
      <c r="N62" s="111"/>
      <c r="O62" s="103"/>
      <c r="P62" s="484"/>
      <c r="Q62" s="484"/>
      <c r="R62" s="484"/>
      <c r="S62" s="484"/>
      <c r="T62" s="484"/>
      <c r="U62" s="484"/>
      <c r="V62" s="485"/>
      <c r="W62" s="485"/>
      <c r="X62" s="485"/>
      <c r="Y62" s="485"/>
      <c r="Z62" s="485"/>
      <c r="AA62" s="485"/>
      <c r="AB62" s="485"/>
      <c r="AC62" s="485"/>
      <c r="AD62" s="486"/>
      <c r="AF62" s="84">
        <f>16*3000</f>
        <v>48000</v>
      </c>
    </row>
    <row r="63" spans="1:32" ht="27.75" thickBot="1">
      <c r="A63" s="489" t="s">
        <v>228</v>
      </c>
      <c r="B63" s="489"/>
      <c r="C63" s="489"/>
      <c r="D63" s="489"/>
      <c r="E63" s="48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0" t="s">
        <v>111</v>
      </c>
      <c r="B64" s="491"/>
      <c r="C64" s="140" t="s">
        <v>2</v>
      </c>
      <c r="D64" s="140" t="s">
        <v>37</v>
      </c>
      <c r="E64" s="140" t="s">
        <v>3</v>
      </c>
      <c r="F64" s="491" t="s">
        <v>109</v>
      </c>
      <c r="G64" s="491"/>
      <c r="H64" s="491"/>
      <c r="I64" s="491"/>
      <c r="J64" s="491"/>
      <c r="K64" s="491" t="s">
        <v>39</v>
      </c>
      <c r="L64" s="491"/>
      <c r="M64" s="140" t="s">
        <v>40</v>
      </c>
      <c r="N64" s="491" t="s">
        <v>41</v>
      </c>
      <c r="O64" s="491"/>
      <c r="P64" s="492" t="s">
        <v>42</v>
      </c>
      <c r="Q64" s="493"/>
      <c r="R64" s="492" t="s">
        <v>43</v>
      </c>
      <c r="S64" s="494"/>
      <c r="T64" s="494"/>
      <c r="U64" s="494"/>
      <c r="V64" s="494"/>
      <c r="W64" s="494"/>
      <c r="X64" s="494"/>
      <c r="Y64" s="494"/>
      <c r="Z64" s="494"/>
      <c r="AA64" s="493"/>
      <c r="AB64" s="491" t="s">
        <v>44</v>
      </c>
      <c r="AC64" s="491"/>
      <c r="AD64" s="495"/>
      <c r="AF64" s="84">
        <f>SUM(AF61:AF63)</f>
        <v>96000</v>
      </c>
    </row>
    <row r="65" spans="1:32" ht="25.5" customHeight="1">
      <c r="A65" s="496">
        <v>1</v>
      </c>
      <c r="B65" s="497"/>
      <c r="C65" s="104" t="s">
        <v>138</v>
      </c>
      <c r="D65" s="135"/>
      <c r="E65" s="138"/>
      <c r="F65" s="498" t="s">
        <v>229</v>
      </c>
      <c r="G65" s="499"/>
      <c r="H65" s="499"/>
      <c r="I65" s="499"/>
      <c r="J65" s="500"/>
      <c r="K65" s="501">
        <v>8301</v>
      </c>
      <c r="L65" s="501"/>
      <c r="M65" s="51" t="s">
        <v>230</v>
      </c>
      <c r="N65" s="502" t="s">
        <v>133</v>
      </c>
      <c r="O65" s="502"/>
      <c r="P65" s="503">
        <v>100</v>
      </c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2</v>
      </c>
      <c r="B66" s="497"/>
      <c r="C66" s="104" t="s">
        <v>118</v>
      </c>
      <c r="D66" s="135"/>
      <c r="E66" s="138" t="s">
        <v>142</v>
      </c>
      <c r="F66" s="498" t="s">
        <v>231</v>
      </c>
      <c r="G66" s="499"/>
      <c r="H66" s="499"/>
      <c r="I66" s="499"/>
      <c r="J66" s="500"/>
      <c r="K66" s="501" t="s">
        <v>232</v>
      </c>
      <c r="L66" s="501"/>
      <c r="M66" s="51" t="s">
        <v>230</v>
      </c>
      <c r="N66" s="502" t="s">
        <v>133</v>
      </c>
      <c r="O66" s="502"/>
      <c r="P66" s="503">
        <v>100</v>
      </c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3</v>
      </c>
      <c r="B67" s="497"/>
      <c r="C67" s="104" t="s">
        <v>112</v>
      </c>
      <c r="D67" s="135"/>
      <c r="E67" s="138" t="s">
        <v>234</v>
      </c>
      <c r="F67" s="498" t="s">
        <v>233</v>
      </c>
      <c r="G67" s="499"/>
      <c r="H67" s="499"/>
      <c r="I67" s="499"/>
      <c r="J67" s="500"/>
      <c r="K67" s="501" t="s">
        <v>235</v>
      </c>
      <c r="L67" s="501"/>
      <c r="M67" s="51" t="s">
        <v>236</v>
      </c>
      <c r="N67" s="502" t="s">
        <v>133</v>
      </c>
      <c r="O67" s="502"/>
      <c r="P67" s="503">
        <v>400</v>
      </c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4</v>
      </c>
      <c r="B68" s="497"/>
      <c r="C68" s="104" t="s">
        <v>210</v>
      </c>
      <c r="D68" s="135"/>
      <c r="E68" s="138"/>
      <c r="F68" s="498" t="s">
        <v>237</v>
      </c>
      <c r="G68" s="499"/>
      <c r="H68" s="499"/>
      <c r="I68" s="499"/>
      <c r="J68" s="500"/>
      <c r="K68" s="501" t="s">
        <v>213</v>
      </c>
      <c r="L68" s="501"/>
      <c r="M68" s="51" t="s">
        <v>230</v>
      </c>
      <c r="N68" s="502" t="s">
        <v>139</v>
      </c>
      <c r="O68" s="502"/>
      <c r="P68" s="503">
        <v>200</v>
      </c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5</v>
      </c>
      <c r="B69" s="497"/>
      <c r="C69" s="104" t="s">
        <v>112</v>
      </c>
      <c r="D69" s="135"/>
      <c r="E69" s="138" t="s">
        <v>208</v>
      </c>
      <c r="F69" s="498" t="s">
        <v>209</v>
      </c>
      <c r="G69" s="499"/>
      <c r="H69" s="499"/>
      <c r="I69" s="499"/>
      <c r="J69" s="500"/>
      <c r="K69" s="501" t="s">
        <v>156</v>
      </c>
      <c r="L69" s="501"/>
      <c r="M69" s="51" t="s">
        <v>143</v>
      </c>
      <c r="N69" s="502" t="s">
        <v>139</v>
      </c>
      <c r="O69" s="502"/>
      <c r="P69" s="503">
        <v>100</v>
      </c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6</v>
      </c>
      <c r="B70" s="497"/>
      <c r="C70" s="104" t="s">
        <v>118</v>
      </c>
      <c r="D70" s="135"/>
      <c r="E70" s="138" t="s">
        <v>115</v>
      </c>
      <c r="F70" s="498" t="s">
        <v>238</v>
      </c>
      <c r="G70" s="499"/>
      <c r="H70" s="499"/>
      <c r="I70" s="499"/>
      <c r="J70" s="500"/>
      <c r="K70" s="501" t="s">
        <v>135</v>
      </c>
      <c r="L70" s="501"/>
      <c r="M70" s="51" t="s">
        <v>143</v>
      </c>
      <c r="N70" s="502" t="s">
        <v>222</v>
      </c>
      <c r="O70" s="502"/>
      <c r="P70" s="503">
        <v>100</v>
      </c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7</v>
      </c>
      <c r="B71" s="497"/>
      <c r="C71" s="104" t="s">
        <v>112</v>
      </c>
      <c r="D71" s="135"/>
      <c r="E71" s="138" t="s">
        <v>115</v>
      </c>
      <c r="F71" s="498" t="s">
        <v>239</v>
      </c>
      <c r="G71" s="499"/>
      <c r="H71" s="499"/>
      <c r="I71" s="499"/>
      <c r="J71" s="500"/>
      <c r="K71" s="501" t="s">
        <v>144</v>
      </c>
      <c r="L71" s="501"/>
      <c r="M71" s="51" t="s">
        <v>143</v>
      </c>
      <c r="N71" s="502" t="s">
        <v>141</v>
      </c>
      <c r="O71" s="502"/>
      <c r="P71" s="503">
        <v>50</v>
      </c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8</v>
      </c>
      <c r="B72" s="497"/>
      <c r="C72" s="104" t="s">
        <v>112</v>
      </c>
      <c r="D72" s="135"/>
      <c r="E72" s="138" t="s">
        <v>184</v>
      </c>
      <c r="F72" s="505" t="s">
        <v>218</v>
      </c>
      <c r="G72" s="501"/>
      <c r="H72" s="501"/>
      <c r="I72" s="501"/>
      <c r="J72" s="501"/>
      <c r="K72" s="501" t="s">
        <v>144</v>
      </c>
      <c r="L72" s="501"/>
      <c r="M72" s="51" t="s">
        <v>143</v>
      </c>
      <c r="N72" s="502" t="s">
        <v>141</v>
      </c>
      <c r="O72" s="502"/>
      <c r="P72" s="503">
        <v>100</v>
      </c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9</v>
      </c>
      <c r="B73" s="497"/>
      <c r="C73" s="104" t="s">
        <v>112</v>
      </c>
      <c r="D73" s="135"/>
      <c r="E73" s="138" t="s">
        <v>115</v>
      </c>
      <c r="F73" s="505" t="s">
        <v>240</v>
      </c>
      <c r="G73" s="501"/>
      <c r="H73" s="501"/>
      <c r="I73" s="501"/>
      <c r="J73" s="501"/>
      <c r="K73" s="501" t="s">
        <v>144</v>
      </c>
      <c r="L73" s="501"/>
      <c r="M73" s="51" t="s">
        <v>143</v>
      </c>
      <c r="N73" s="502" t="s">
        <v>141</v>
      </c>
      <c r="O73" s="502"/>
      <c r="P73" s="503">
        <v>50</v>
      </c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5.5" customHeight="1">
      <c r="A74" s="496">
        <v>10</v>
      </c>
      <c r="B74" s="497"/>
      <c r="C74" s="104" t="s">
        <v>112</v>
      </c>
      <c r="D74" s="135"/>
      <c r="E74" s="138" t="s">
        <v>242</v>
      </c>
      <c r="F74" s="505" t="s">
        <v>241</v>
      </c>
      <c r="G74" s="501"/>
      <c r="H74" s="501"/>
      <c r="I74" s="501"/>
      <c r="J74" s="501"/>
      <c r="K74" s="501" t="s">
        <v>217</v>
      </c>
      <c r="L74" s="501"/>
      <c r="M74" s="51" t="s">
        <v>143</v>
      </c>
      <c r="N74" s="502" t="s">
        <v>141</v>
      </c>
      <c r="O74" s="502"/>
      <c r="P74" s="503">
        <v>400</v>
      </c>
      <c r="Q74" s="503"/>
      <c r="R74" s="477"/>
      <c r="S74" s="477"/>
      <c r="T74" s="477"/>
      <c r="U74" s="477"/>
      <c r="V74" s="477"/>
      <c r="W74" s="477"/>
      <c r="X74" s="477"/>
      <c r="Y74" s="477"/>
      <c r="Z74" s="477"/>
      <c r="AA74" s="477"/>
      <c r="AB74" s="501"/>
      <c r="AC74" s="501"/>
      <c r="AD74" s="504"/>
      <c r="AF74" s="50"/>
    </row>
    <row r="75" spans="1:32" ht="26.25" customHeight="1" thickBot="1">
      <c r="A75" s="506" t="s">
        <v>243</v>
      </c>
      <c r="B75" s="506"/>
      <c r="C75" s="506"/>
      <c r="D75" s="506"/>
      <c r="E75" s="506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507" t="s">
        <v>126</v>
      </c>
      <c r="B76" s="508"/>
      <c r="C76" s="137" t="s">
        <v>2</v>
      </c>
      <c r="D76" s="137" t="s">
        <v>37</v>
      </c>
      <c r="E76" s="137" t="s">
        <v>125</v>
      </c>
      <c r="F76" s="508" t="s">
        <v>38</v>
      </c>
      <c r="G76" s="508"/>
      <c r="H76" s="508"/>
      <c r="I76" s="508"/>
      <c r="J76" s="508"/>
      <c r="K76" s="509" t="s">
        <v>58</v>
      </c>
      <c r="L76" s="510"/>
      <c r="M76" s="510"/>
      <c r="N76" s="510"/>
      <c r="O76" s="510"/>
      <c r="P76" s="510"/>
      <c r="Q76" s="510"/>
      <c r="R76" s="510"/>
      <c r="S76" s="511"/>
      <c r="T76" s="508" t="s">
        <v>49</v>
      </c>
      <c r="U76" s="508"/>
      <c r="V76" s="509" t="s">
        <v>50</v>
      </c>
      <c r="W76" s="511"/>
      <c r="X76" s="510" t="s">
        <v>51</v>
      </c>
      <c r="Y76" s="510"/>
      <c r="Z76" s="510"/>
      <c r="AA76" s="510"/>
      <c r="AB76" s="510"/>
      <c r="AC76" s="510"/>
      <c r="AD76" s="512"/>
      <c r="AF76" s="50"/>
    </row>
    <row r="77" spans="1:32" ht="33.75" customHeight="1">
      <c r="A77" s="521">
        <v>1</v>
      </c>
      <c r="B77" s="522"/>
      <c r="C77" s="136" t="s">
        <v>112</v>
      </c>
      <c r="D77" s="136"/>
      <c r="E77" s="65" t="s">
        <v>117</v>
      </c>
      <c r="F77" s="523" t="s">
        <v>116</v>
      </c>
      <c r="G77" s="524"/>
      <c r="H77" s="524"/>
      <c r="I77" s="524"/>
      <c r="J77" s="525"/>
      <c r="K77" s="526" t="s">
        <v>119</v>
      </c>
      <c r="L77" s="527"/>
      <c r="M77" s="527"/>
      <c r="N77" s="527"/>
      <c r="O77" s="527"/>
      <c r="P77" s="527"/>
      <c r="Q77" s="527"/>
      <c r="R77" s="527"/>
      <c r="S77" s="528"/>
      <c r="T77" s="529">
        <v>44118</v>
      </c>
      <c r="U77" s="530"/>
      <c r="V77" s="531"/>
      <c r="W77" s="531"/>
      <c r="X77" s="532"/>
      <c r="Y77" s="532"/>
      <c r="Z77" s="532"/>
      <c r="AA77" s="532"/>
      <c r="AB77" s="532"/>
      <c r="AC77" s="532"/>
      <c r="AD77" s="533"/>
      <c r="AF77" s="50"/>
    </row>
    <row r="78" spans="1:32" ht="30" customHeight="1">
      <c r="A78" s="513">
        <f>A77+1</f>
        <v>2</v>
      </c>
      <c r="B78" s="514"/>
      <c r="C78" s="135"/>
      <c r="D78" s="135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ref="A79:A83" si="11">A78+1</f>
        <v>3</v>
      </c>
      <c r="B79" s="514"/>
      <c r="C79" s="135"/>
      <c r="D79" s="135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1"/>
        <v>4</v>
      </c>
      <c r="B80" s="514"/>
      <c r="C80" s="135"/>
      <c r="D80" s="135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1"/>
        <v>5</v>
      </c>
      <c r="B81" s="514"/>
      <c r="C81" s="135"/>
      <c r="D81" s="135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1"/>
        <v>6</v>
      </c>
      <c r="B82" s="514"/>
      <c r="C82" s="135"/>
      <c r="D82" s="135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0" customHeight="1">
      <c r="A83" s="513">
        <f t="shared" si="11"/>
        <v>7</v>
      </c>
      <c r="B83" s="514"/>
      <c r="C83" s="135"/>
      <c r="D83" s="135"/>
      <c r="E83" s="32"/>
      <c r="F83" s="514"/>
      <c r="G83" s="514"/>
      <c r="H83" s="514"/>
      <c r="I83" s="514"/>
      <c r="J83" s="514"/>
      <c r="K83" s="515"/>
      <c r="L83" s="516"/>
      <c r="M83" s="516"/>
      <c r="N83" s="516"/>
      <c r="O83" s="516"/>
      <c r="P83" s="516"/>
      <c r="Q83" s="516"/>
      <c r="R83" s="516"/>
      <c r="S83" s="517"/>
      <c r="T83" s="518"/>
      <c r="U83" s="518"/>
      <c r="V83" s="518"/>
      <c r="W83" s="518"/>
      <c r="X83" s="519"/>
      <c r="Y83" s="519"/>
      <c r="Z83" s="519"/>
      <c r="AA83" s="519"/>
      <c r="AB83" s="519"/>
      <c r="AC83" s="519"/>
      <c r="AD83" s="520"/>
      <c r="AF83" s="50"/>
    </row>
    <row r="84" spans="1:32" ht="36" thickBot="1">
      <c r="A84" s="506" t="s">
        <v>244</v>
      </c>
      <c r="B84" s="506"/>
      <c r="C84" s="506"/>
      <c r="D84" s="506"/>
      <c r="E84" s="50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507" t="s">
        <v>111</v>
      </c>
      <c r="B85" s="508"/>
      <c r="C85" s="534" t="s">
        <v>52</v>
      </c>
      <c r="D85" s="534"/>
      <c r="E85" s="534" t="s">
        <v>53</v>
      </c>
      <c r="F85" s="534"/>
      <c r="G85" s="534"/>
      <c r="H85" s="534"/>
      <c r="I85" s="534"/>
      <c r="J85" s="534"/>
      <c r="K85" s="534" t="s">
        <v>54</v>
      </c>
      <c r="L85" s="534"/>
      <c r="M85" s="534"/>
      <c r="N85" s="534"/>
      <c r="O85" s="534"/>
      <c r="P85" s="534"/>
      <c r="Q85" s="534"/>
      <c r="R85" s="534"/>
      <c r="S85" s="534"/>
      <c r="T85" s="534" t="s">
        <v>55</v>
      </c>
      <c r="U85" s="534"/>
      <c r="V85" s="534" t="s">
        <v>56</v>
      </c>
      <c r="W85" s="534"/>
      <c r="X85" s="534"/>
      <c r="Y85" s="534" t="s">
        <v>51</v>
      </c>
      <c r="Z85" s="534"/>
      <c r="AA85" s="534"/>
      <c r="AB85" s="534"/>
      <c r="AC85" s="534"/>
      <c r="AD85" s="535"/>
      <c r="AF85" s="50"/>
    </row>
    <row r="86" spans="1:32" ht="30.75" customHeight="1">
      <c r="A86" s="521">
        <v>1</v>
      </c>
      <c r="B86" s="522"/>
      <c r="C86" s="536">
        <v>9</v>
      </c>
      <c r="D86" s="536"/>
      <c r="E86" s="536" t="s">
        <v>136</v>
      </c>
      <c r="F86" s="536"/>
      <c r="G86" s="536"/>
      <c r="H86" s="536"/>
      <c r="I86" s="536"/>
      <c r="J86" s="536"/>
      <c r="K86" s="536" t="s">
        <v>161</v>
      </c>
      <c r="L86" s="536"/>
      <c r="M86" s="536"/>
      <c r="N86" s="536"/>
      <c r="O86" s="536"/>
      <c r="P86" s="536"/>
      <c r="Q86" s="536"/>
      <c r="R86" s="536"/>
      <c r="S86" s="536"/>
      <c r="T86" s="536" t="s">
        <v>137</v>
      </c>
      <c r="U86" s="536"/>
      <c r="V86" s="537" t="s">
        <v>152</v>
      </c>
      <c r="W86" s="537"/>
      <c r="X86" s="537"/>
      <c r="Y86" s="538"/>
      <c r="Z86" s="538"/>
      <c r="AA86" s="538"/>
      <c r="AB86" s="538"/>
      <c r="AC86" s="538"/>
      <c r="AD86" s="539"/>
      <c r="AF86" s="50"/>
    </row>
    <row r="87" spans="1:32" ht="30.75" customHeight="1">
      <c r="A87" s="513">
        <v>2</v>
      </c>
      <c r="B87" s="514"/>
      <c r="C87" s="547"/>
      <c r="D87" s="547"/>
      <c r="E87" s="547"/>
      <c r="F87" s="547"/>
      <c r="G87" s="547"/>
      <c r="H87" s="547"/>
      <c r="I87" s="547"/>
      <c r="J87" s="547"/>
      <c r="K87" s="547"/>
      <c r="L87" s="547"/>
      <c r="M87" s="547"/>
      <c r="N87" s="547"/>
      <c r="O87" s="547"/>
      <c r="P87" s="547"/>
      <c r="Q87" s="547"/>
      <c r="R87" s="547"/>
      <c r="S87" s="547"/>
      <c r="T87" s="548"/>
      <c r="U87" s="548"/>
      <c r="V87" s="549"/>
      <c r="W87" s="549"/>
      <c r="X87" s="549"/>
      <c r="Y87" s="540"/>
      <c r="Z87" s="540"/>
      <c r="AA87" s="540"/>
      <c r="AB87" s="540"/>
      <c r="AC87" s="540"/>
      <c r="AD87" s="541"/>
      <c r="AF87" s="50"/>
    </row>
    <row r="88" spans="1:32" ht="30.75" customHeight="1" thickBot="1">
      <c r="A88" s="542">
        <v>3</v>
      </c>
      <c r="B88" s="543"/>
      <c r="C88" s="544"/>
      <c r="D88" s="544"/>
      <c r="E88" s="544"/>
      <c r="F88" s="544"/>
      <c r="G88" s="544"/>
      <c r="H88" s="544"/>
      <c r="I88" s="544"/>
      <c r="J88" s="544"/>
      <c r="K88" s="544"/>
      <c r="L88" s="544"/>
      <c r="M88" s="544"/>
      <c r="N88" s="544"/>
      <c r="O88" s="544"/>
      <c r="P88" s="544"/>
      <c r="Q88" s="544"/>
      <c r="R88" s="544"/>
      <c r="S88" s="544"/>
      <c r="T88" s="544"/>
      <c r="U88" s="544"/>
      <c r="V88" s="544"/>
      <c r="W88" s="544"/>
      <c r="X88" s="544"/>
      <c r="Y88" s="545"/>
      <c r="Z88" s="545"/>
      <c r="AA88" s="545"/>
      <c r="AB88" s="545"/>
      <c r="AC88" s="545"/>
      <c r="AD88" s="546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18CD-AE7D-4447-906C-4B25211E3094}">
  <dimension ref="A1:AF90"/>
  <sheetViews>
    <sheetView view="pageBreakPreview" zoomScale="70" zoomScaleNormal="72" zoomScaleSheetLayoutView="70" workbookViewId="0">
      <selection activeCell="I100" sqref="I10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245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148" t="s">
        <v>17</v>
      </c>
      <c r="L5" s="148" t="s">
        <v>18</v>
      </c>
      <c r="M5" s="148" t="s">
        <v>19</v>
      </c>
      <c r="N5" s="14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138</v>
      </c>
      <c r="D6" s="52" t="s">
        <v>158</v>
      </c>
      <c r="E6" s="53" t="s">
        <v>172</v>
      </c>
      <c r="F6" s="30" t="s">
        <v>153</v>
      </c>
      <c r="G6" s="12">
        <v>1</v>
      </c>
      <c r="H6" s="13">
        <v>24</v>
      </c>
      <c r="I6" s="31">
        <v>5000</v>
      </c>
      <c r="J6" s="14">
        <v>2238</v>
      </c>
      <c r="K6" s="15">
        <f>L6+870+3356</f>
        <v>6464</v>
      </c>
      <c r="L6" s="15">
        <v>2238</v>
      </c>
      <c r="M6" s="15">
        <f t="shared" ref="M6:M24" si="0">L6-N6</f>
        <v>2238</v>
      </c>
      <c r="N6" s="15">
        <v>0</v>
      </c>
      <c r="O6" s="58">
        <f t="shared" ref="O6:O25" si="1">IF(L6=0,"0",N6/L6)</f>
        <v>0</v>
      </c>
      <c r="P6" s="39">
        <f t="shared" ref="P6:P24" si="2">IF(L6=0,"0",(24-Q6))</f>
        <v>10</v>
      </c>
      <c r="Q6" s="40">
        <f t="shared" ref="Q6:Q24" si="3">SUM(R6:AA6)</f>
        <v>14</v>
      </c>
      <c r="R6" s="7"/>
      <c r="S6" s="6"/>
      <c r="T6" s="16"/>
      <c r="U6" s="16"/>
      <c r="V6" s="17"/>
      <c r="W6" s="5">
        <v>14</v>
      </c>
      <c r="X6" s="16"/>
      <c r="Y6" s="16"/>
      <c r="Z6" s="16"/>
      <c r="AA6" s="18"/>
      <c r="AB6" s="8">
        <f t="shared" ref="AB6:AB24" si="4">IF(J6=0,"0",(L6/J6))</f>
        <v>1</v>
      </c>
      <c r="AC6" s="9">
        <f t="shared" ref="AC6:AC24" si="5">IF(P6=0,"0",(P6/24))</f>
        <v>0.41666666666666669</v>
      </c>
      <c r="AD6" s="10">
        <f t="shared" ref="AD6:AD24" si="6">AC6*AB6*(1-O6)</f>
        <v>0.41666666666666669</v>
      </c>
      <c r="AE6" s="36">
        <f t="shared" ref="AE6:AE24" si="7">$AD$25</f>
        <v>0.51315789473684215</v>
      </c>
      <c r="AF6" s="84">
        <f t="shared" ref="AF6:AF24" si="8">A6</f>
        <v>1</v>
      </c>
    </row>
    <row r="7" spans="1:32" ht="27" customHeight="1">
      <c r="A7" s="112">
        <v>1</v>
      </c>
      <c r="B7" s="11" t="s">
        <v>57</v>
      </c>
      <c r="C7" s="34" t="s">
        <v>112</v>
      </c>
      <c r="D7" s="52" t="s">
        <v>208</v>
      </c>
      <c r="E7" s="53" t="s">
        <v>246</v>
      </c>
      <c r="F7" s="30" t="s">
        <v>247</v>
      </c>
      <c r="G7" s="12">
        <v>1</v>
      </c>
      <c r="H7" s="13">
        <v>24</v>
      </c>
      <c r="I7" s="31">
        <v>1000</v>
      </c>
      <c r="J7" s="14">
        <v>1297</v>
      </c>
      <c r="K7" s="15">
        <f>L7</f>
        <v>1297</v>
      </c>
      <c r="L7" s="15">
        <v>1297</v>
      </c>
      <c r="M7" s="15">
        <f t="shared" ref="M7" si="9">L7-N7</f>
        <v>1297</v>
      </c>
      <c r="N7" s="15">
        <v>0</v>
      </c>
      <c r="O7" s="58">
        <f t="shared" ref="O7" si="10">IF(L7=0,"0",N7/L7)</f>
        <v>0</v>
      </c>
      <c r="P7" s="39">
        <f t="shared" ref="P7" si="11">IF(L7=0,"0",(24-Q7))</f>
        <v>7</v>
      </c>
      <c r="Q7" s="40">
        <f t="shared" ref="Q7" si="12">SUM(R7:AA7)</f>
        <v>17</v>
      </c>
      <c r="R7" s="7"/>
      <c r="S7" s="6"/>
      <c r="T7" s="16">
        <v>9</v>
      </c>
      <c r="U7" s="16"/>
      <c r="V7" s="17"/>
      <c r="W7" s="5">
        <v>8</v>
      </c>
      <c r="X7" s="16"/>
      <c r="Y7" s="16"/>
      <c r="Z7" s="16"/>
      <c r="AA7" s="18"/>
      <c r="AB7" s="8">
        <f t="shared" ref="AB7" si="13">IF(J7=0,"0",(L7/J7))</f>
        <v>1</v>
      </c>
      <c r="AC7" s="9">
        <f t="shared" ref="AC7" si="14">IF(P7=0,"0",(P7/24))</f>
        <v>0.29166666666666669</v>
      </c>
      <c r="AD7" s="10">
        <f t="shared" ref="AD7" si="15">AC7*AB7*(1-O7)</f>
        <v>0.29166666666666669</v>
      </c>
      <c r="AE7" s="36">
        <f t="shared" si="7"/>
        <v>0.51315789473684215</v>
      </c>
      <c r="AF7" s="84">
        <f t="shared" ref="AF7" si="16">A7</f>
        <v>1</v>
      </c>
    </row>
    <row r="8" spans="1:32" ht="27" customHeight="1">
      <c r="A8" s="112">
        <v>2</v>
      </c>
      <c r="B8" s="11" t="s">
        <v>57</v>
      </c>
      <c r="C8" s="34" t="s">
        <v>112</v>
      </c>
      <c r="D8" s="52" t="s">
        <v>142</v>
      </c>
      <c r="E8" s="53" t="s">
        <v>248</v>
      </c>
      <c r="F8" s="30" t="s">
        <v>249</v>
      </c>
      <c r="G8" s="12">
        <v>1</v>
      </c>
      <c r="H8" s="13">
        <v>24</v>
      </c>
      <c r="I8" s="31">
        <v>3000</v>
      </c>
      <c r="J8" s="14">
        <v>4309</v>
      </c>
      <c r="K8" s="15">
        <f>L8</f>
        <v>4309</v>
      </c>
      <c r="L8" s="15">
        <f>1257+2862+190</f>
        <v>4309</v>
      </c>
      <c r="M8" s="15">
        <f t="shared" si="0"/>
        <v>4309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/>
      <c r="T8" s="16"/>
      <c r="U8" s="16"/>
      <c r="V8" s="17"/>
      <c r="W8" s="5"/>
      <c r="X8" s="16"/>
      <c r="Y8" s="16"/>
      <c r="Z8" s="16"/>
      <c r="AA8" s="18">
        <v>3</v>
      </c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6">
        <f t="shared" si="7"/>
        <v>0.51315789473684215</v>
      </c>
      <c r="AF8" s="84">
        <f t="shared" si="8"/>
        <v>2</v>
      </c>
    </row>
    <row r="9" spans="1:32" ht="27" customHeight="1">
      <c r="A9" s="96">
        <v>3</v>
      </c>
      <c r="B9" s="11" t="s">
        <v>57</v>
      </c>
      <c r="C9" s="34" t="s">
        <v>112</v>
      </c>
      <c r="D9" s="52" t="s">
        <v>129</v>
      </c>
      <c r="E9" s="53" t="s">
        <v>225</v>
      </c>
      <c r="F9" s="30" t="s">
        <v>217</v>
      </c>
      <c r="G9" s="33">
        <v>2</v>
      </c>
      <c r="H9" s="35">
        <v>24</v>
      </c>
      <c r="I9" s="7">
        <v>500</v>
      </c>
      <c r="J9" s="5">
        <v>686</v>
      </c>
      <c r="K9" s="15">
        <f>L9</f>
        <v>686</v>
      </c>
      <c r="L9" s="15">
        <f>343*2</f>
        <v>686</v>
      </c>
      <c r="M9" s="15">
        <f t="shared" si="0"/>
        <v>686</v>
      </c>
      <c r="N9" s="15">
        <v>0</v>
      </c>
      <c r="O9" s="58">
        <f t="shared" si="1"/>
        <v>0</v>
      </c>
      <c r="P9" s="39">
        <f t="shared" si="2"/>
        <v>3</v>
      </c>
      <c r="Q9" s="40">
        <f t="shared" si="3"/>
        <v>21</v>
      </c>
      <c r="R9" s="7"/>
      <c r="S9" s="6"/>
      <c r="T9" s="16"/>
      <c r="U9" s="16"/>
      <c r="V9" s="17"/>
      <c r="W9" s="5">
        <v>21</v>
      </c>
      <c r="X9" s="16"/>
      <c r="Y9" s="16"/>
      <c r="Z9" s="16"/>
      <c r="AA9" s="18"/>
      <c r="AB9" s="8">
        <f t="shared" si="4"/>
        <v>1</v>
      </c>
      <c r="AC9" s="9">
        <f t="shared" si="5"/>
        <v>0.125</v>
      </c>
      <c r="AD9" s="10">
        <f t="shared" si="6"/>
        <v>0.125</v>
      </c>
      <c r="AE9" s="36">
        <f t="shared" si="7"/>
        <v>0.51315789473684215</v>
      </c>
      <c r="AF9" s="84">
        <f t="shared" si="8"/>
        <v>3</v>
      </c>
    </row>
    <row r="10" spans="1:32" ht="27" customHeight="1">
      <c r="A10" s="96">
        <v>3</v>
      </c>
      <c r="B10" s="11" t="s">
        <v>57</v>
      </c>
      <c r="C10" s="34" t="s">
        <v>112</v>
      </c>
      <c r="D10" s="52" t="s">
        <v>115</v>
      </c>
      <c r="E10" s="53" t="s">
        <v>226</v>
      </c>
      <c r="F10" s="30" t="s">
        <v>144</v>
      </c>
      <c r="G10" s="33">
        <v>2</v>
      </c>
      <c r="H10" s="35">
        <v>24</v>
      </c>
      <c r="I10" s="7">
        <v>500</v>
      </c>
      <c r="J10" s="5">
        <v>644</v>
      </c>
      <c r="K10" s="15">
        <f>L10</f>
        <v>644</v>
      </c>
      <c r="L10" s="15">
        <f>322*2</f>
        <v>644</v>
      </c>
      <c r="M10" s="15">
        <f t="shared" si="0"/>
        <v>644</v>
      </c>
      <c r="N10" s="15">
        <v>0</v>
      </c>
      <c r="O10" s="58">
        <f t="shared" si="1"/>
        <v>0</v>
      </c>
      <c r="P10" s="39">
        <f t="shared" si="2"/>
        <v>3</v>
      </c>
      <c r="Q10" s="40">
        <f t="shared" si="3"/>
        <v>21</v>
      </c>
      <c r="R10" s="7"/>
      <c r="S10" s="6"/>
      <c r="T10" s="16"/>
      <c r="U10" s="16"/>
      <c r="V10" s="17"/>
      <c r="W10" s="5">
        <v>21</v>
      </c>
      <c r="X10" s="16"/>
      <c r="Y10" s="16"/>
      <c r="Z10" s="16"/>
      <c r="AA10" s="18"/>
      <c r="AB10" s="8">
        <f t="shared" si="4"/>
        <v>1</v>
      </c>
      <c r="AC10" s="9">
        <f t="shared" si="5"/>
        <v>0.125</v>
      </c>
      <c r="AD10" s="10">
        <f t="shared" si="6"/>
        <v>0.125</v>
      </c>
      <c r="AE10" s="36">
        <f t="shared" si="7"/>
        <v>0.51315789473684215</v>
      </c>
      <c r="AF10" s="84">
        <f t="shared" si="8"/>
        <v>3</v>
      </c>
    </row>
    <row r="11" spans="1:32" ht="27" customHeight="1">
      <c r="A11" s="96">
        <v>4</v>
      </c>
      <c r="B11" s="11" t="s">
        <v>57</v>
      </c>
      <c r="C11" s="34" t="s">
        <v>118</v>
      </c>
      <c r="D11" s="52" t="s">
        <v>115</v>
      </c>
      <c r="E11" s="53" t="s">
        <v>169</v>
      </c>
      <c r="F11" s="30" t="s">
        <v>130</v>
      </c>
      <c r="G11" s="12">
        <v>1</v>
      </c>
      <c r="H11" s="13">
        <v>24</v>
      </c>
      <c r="I11" s="7">
        <v>28000</v>
      </c>
      <c r="J11" s="14">
        <v>5228</v>
      </c>
      <c r="K11" s="15">
        <f>L11+4421+1946+4993+5197</f>
        <v>21785</v>
      </c>
      <c r="L11" s="15">
        <f>2620+2608</f>
        <v>5228</v>
      </c>
      <c r="M11" s="15">
        <f t="shared" si="0"/>
        <v>5228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0.51315789473684215</v>
      </c>
      <c r="AF11" s="84">
        <f t="shared" si="8"/>
        <v>4</v>
      </c>
    </row>
    <row r="12" spans="1:32" ht="27" customHeight="1">
      <c r="A12" s="96">
        <v>5</v>
      </c>
      <c r="B12" s="11" t="s">
        <v>57</v>
      </c>
      <c r="C12" s="11" t="s">
        <v>118</v>
      </c>
      <c r="D12" s="52" t="s">
        <v>131</v>
      </c>
      <c r="E12" s="53" t="s">
        <v>168</v>
      </c>
      <c r="F12" s="30" t="s">
        <v>144</v>
      </c>
      <c r="G12" s="33">
        <v>1</v>
      </c>
      <c r="H12" s="35">
        <v>24</v>
      </c>
      <c r="I12" s="7">
        <v>25000</v>
      </c>
      <c r="J12" s="14">
        <v>6657</v>
      </c>
      <c r="K12" s="15">
        <f>L12+6258+6648+6637+2872+6338+6604</f>
        <v>42014</v>
      </c>
      <c r="L12" s="15">
        <f>3337+3320</f>
        <v>6657</v>
      </c>
      <c r="M12" s="15">
        <f t="shared" si="0"/>
        <v>6657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0.51315789473684215</v>
      </c>
      <c r="AF12" s="84">
        <f t="shared" si="8"/>
        <v>5</v>
      </c>
    </row>
    <row r="13" spans="1:32" ht="27" customHeight="1">
      <c r="A13" s="96">
        <v>6</v>
      </c>
      <c r="B13" s="11" t="s">
        <v>57</v>
      </c>
      <c r="C13" s="11" t="s">
        <v>118</v>
      </c>
      <c r="D13" s="52" t="s">
        <v>162</v>
      </c>
      <c r="E13" s="53" t="s">
        <v>163</v>
      </c>
      <c r="F13" s="30" t="s">
        <v>164</v>
      </c>
      <c r="G13" s="33">
        <v>16</v>
      </c>
      <c r="H13" s="35">
        <v>24</v>
      </c>
      <c r="I13" s="7">
        <v>100000</v>
      </c>
      <c r="J13" s="14">
        <v>15260</v>
      </c>
      <c r="K13" s="15">
        <f>L13+39816+90622+108136+15260</f>
        <v>253834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>
        <v>24</v>
      </c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0.51315789473684215</v>
      </c>
      <c r="AF13" s="84">
        <f t="shared" si="8"/>
        <v>6</v>
      </c>
    </row>
    <row r="14" spans="1:32" ht="27" customHeight="1">
      <c r="A14" s="96">
        <v>7</v>
      </c>
      <c r="B14" s="11" t="s">
        <v>57</v>
      </c>
      <c r="C14" s="34" t="s">
        <v>118</v>
      </c>
      <c r="D14" s="52" t="s">
        <v>115</v>
      </c>
      <c r="E14" s="53" t="s">
        <v>134</v>
      </c>
      <c r="F14" s="30" t="s">
        <v>135</v>
      </c>
      <c r="G14" s="12">
        <v>1</v>
      </c>
      <c r="H14" s="13">
        <v>22</v>
      </c>
      <c r="I14" s="31">
        <v>34000</v>
      </c>
      <c r="J14" s="5">
        <v>5490</v>
      </c>
      <c r="K14" s="15">
        <f>L14+5421+4981+4563+3733+2354+5233+5443</f>
        <v>37218</v>
      </c>
      <c r="L14" s="15">
        <f>2753+2737</f>
        <v>5490</v>
      </c>
      <c r="M14" s="15">
        <f t="shared" si="0"/>
        <v>5490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7"/>
        <v>0.51315789473684215</v>
      </c>
      <c r="AF14" s="84">
        <f t="shared" si="8"/>
        <v>7</v>
      </c>
    </row>
    <row r="15" spans="1:32" ht="27" customHeight="1">
      <c r="A15" s="96">
        <v>8</v>
      </c>
      <c r="B15" s="11" t="s">
        <v>57</v>
      </c>
      <c r="C15" s="11" t="s">
        <v>112</v>
      </c>
      <c r="D15" s="52" t="s">
        <v>199</v>
      </c>
      <c r="E15" s="53" t="s">
        <v>195</v>
      </c>
      <c r="F15" s="30" t="s">
        <v>215</v>
      </c>
      <c r="G15" s="33">
        <v>1</v>
      </c>
      <c r="H15" s="35">
        <v>24</v>
      </c>
      <c r="I15" s="7">
        <v>4000</v>
      </c>
      <c r="J15" s="14">
        <v>5295</v>
      </c>
      <c r="K15" s="15">
        <f>L15+5295</f>
        <v>5295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0.51315789473684215</v>
      </c>
      <c r="AF15" s="84">
        <f t="shared" si="8"/>
        <v>8</v>
      </c>
    </row>
    <row r="16" spans="1:32" ht="27" customHeight="1">
      <c r="A16" s="105">
        <v>9</v>
      </c>
      <c r="B16" s="11" t="s">
        <v>57</v>
      </c>
      <c r="C16" s="34" t="s">
        <v>112</v>
      </c>
      <c r="D16" s="52" t="s">
        <v>115</v>
      </c>
      <c r="E16" s="53" t="s">
        <v>166</v>
      </c>
      <c r="F16" s="30" t="s">
        <v>145</v>
      </c>
      <c r="G16" s="33">
        <v>1</v>
      </c>
      <c r="H16" s="35">
        <v>50</v>
      </c>
      <c r="I16" s="7">
        <v>300</v>
      </c>
      <c r="J16" s="5">
        <v>275</v>
      </c>
      <c r="K16" s="15">
        <f>L16+340+275</f>
        <v>615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0.51315789473684215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118</v>
      </c>
      <c r="D17" s="52" t="s">
        <v>129</v>
      </c>
      <c r="E17" s="53" t="s">
        <v>200</v>
      </c>
      <c r="F17" s="30" t="s">
        <v>157</v>
      </c>
      <c r="G17" s="12">
        <v>4</v>
      </c>
      <c r="H17" s="13">
        <v>24</v>
      </c>
      <c r="I17" s="31">
        <v>12000</v>
      </c>
      <c r="J17" s="14">
        <v>12356</v>
      </c>
      <c r="K17" s="15">
        <f>L17+12356</f>
        <v>12356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0.51315789473684215</v>
      </c>
      <c r="AF17" s="84">
        <f t="shared" si="8"/>
        <v>10</v>
      </c>
    </row>
    <row r="18" spans="1:32" ht="30" customHeight="1">
      <c r="A18" s="112">
        <v>11</v>
      </c>
      <c r="B18" s="11" t="s">
        <v>57</v>
      </c>
      <c r="C18" s="34" t="s">
        <v>118</v>
      </c>
      <c r="D18" s="52" t="s">
        <v>129</v>
      </c>
      <c r="E18" s="53" t="s">
        <v>216</v>
      </c>
      <c r="F18" s="30" t="s">
        <v>217</v>
      </c>
      <c r="G18" s="12">
        <v>1</v>
      </c>
      <c r="H18" s="13">
        <v>24</v>
      </c>
      <c r="I18" s="7">
        <v>2000</v>
      </c>
      <c r="J18" s="14">
        <v>5458</v>
      </c>
      <c r="K18" s="15">
        <f>L18+3722</f>
        <v>9180</v>
      </c>
      <c r="L18" s="15">
        <f>2491+2967</f>
        <v>5458</v>
      </c>
      <c r="M18" s="15">
        <f t="shared" si="0"/>
        <v>5458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0.51315789473684215</v>
      </c>
      <c r="AF18" s="84">
        <f t="shared" si="8"/>
        <v>11</v>
      </c>
    </row>
    <row r="19" spans="1:32" ht="30" customHeight="1">
      <c r="A19" s="95">
        <v>12</v>
      </c>
      <c r="B19" s="11" t="s">
        <v>57</v>
      </c>
      <c r="C19" s="34" t="s">
        <v>120</v>
      </c>
      <c r="D19" s="52"/>
      <c r="E19" s="53" t="s">
        <v>155</v>
      </c>
      <c r="F19" s="30" t="s">
        <v>127</v>
      </c>
      <c r="G19" s="12">
        <v>1</v>
      </c>
      <c r="H19" s="13">
        <v>24</v>
      </c>
      <c r="I19" s="7">
        <v>5000</v>
      </c>
      <c r="J19" s="14">
        <v>1803</v>
      </c>
      <c r="K19" s="15">
        <f>L19+3666</f>
        <v>5469</v>
      </c>
      <c r="L19" s="15">
        <v>1803</v>
      </c>
      <c r="M19" s="15">
        <f t="shared" si="0"/>
        <v>1803</v>
      </c>
      <c r="N19" s="15">
        <v>0</v>
      </c>
      <c r="O19" s="58">
        <f t="shared" si="1"/>
        <v>0</v>
      </c>
      <c r="P19" s="39">
        <f t="shared" si="2"/>
        <v>8</v>
      </c>
      <c r="Q19" s="40">
        <f t="shared" si="3"/>
        <v>16</v>
      </c>
      <c r="R19" s="7"/>
      <c r="S19" s="6"/>
      <c r="T19" s="16"/>
      <c r="U19" s="16"/>
      <c r="V19" s="17"/>
      <c r="W19" s="5">
        <v>16</v>
      </c>
      <c r="X19" s="16"/>
      <c r="Y19" s="16"/>
      <c r="Z19" s="16"/>
      <c r="AA19" s="18"/>
      <c r="AB19" s="8">
        <f t="shared" si="4"/>
        <v>1</v>
      </c>
      <c r="AC19" s="9">
        <f t="shared" si="5"/>
        <v>0.33333333333333331</v>
      </c>
      <c r="AD19" s="10">
        <f t="shared" si="6"/>
        <v>0.33333333333333331</v>
      </c>
      <c r="AE19" s="36">
        <f t="shared" si="7"/>
        <v>0.51315789473684215</v>
      </c>
      <c r="AF19" s="84">
        <f t="shared" si="8"/>
        <v>12</v>
      </c>
    </row>
    <row r="20" spans="1:32" ht="30" customHeight="1">
      <c r="A20" s="95">
        <v>12</v>
      </c>
      <c r="B20" s="11" t="s">
        <v>57</v>
      </c>
      <c r="C20" s="34" t="s">
        <v>120</v>
      </c>
      <c r="D20" s="52"/>
      <c r="E20" s="53" t="s">
        <v>250</v>
      </c>
      <c r="F20" s="30" t="s">
        <v>127</v>
      </c>
      <c r="G20" s="12">
        <v>1</v>
      </c>
      <c r="H20" s="13">
        <v>24</v>
      </c>
      <c r="I20" s="7">
        <v>1100</v>
      </c>
      <c r="J20" s="14">
        <v>3052</v>
      </c>
      <c r="K20" s="15">
        <f>L20</f>
        <v>3052</v>
      </c>
      <c r="L20" s="15">
        <f>699+2353</f>
        <v>3052</v>
      </c>
      <c r="M20" s="15">
        <f t="shared" ref="M20" si="17">L20-N20</f>
        <v>3052</v>
      </c>
      <c r="N20" s="15">
        <v>0</v>
      </c>
      <c r="O20" s="58">
        <f t="shared" ref="O20" si="18">IF(L20=0,"0",N20/L20)</f>
        <v>0</v>
      </c>
      <c r="P20" s="39">
        <f t="shared" ref="P20" si="19">IF(L20=0,"0",(24-Q20))</f>
        <v>14</v>
      </c>
      <c r="Q20" s="40">
        <f t="shared" ref="Q20" si="20">SUM(R20:AA20)</f>
        <v>10</v>
      </c>
      <c r="R20" s="7"/>
      <c r="S20" s="6"/>
      <c r="T20" s="16">
        <v>10</v>
      </c>
      <c r="U20" s="16"/>
      <c r="V20" s="17"/>
      <c r="W20" s="5"/>
      <c r="X20" s="16"/>
      <c r="Y20" s="16"/>
      <c r="Z20" s="16"/>
      <c r="AA20" s="18"/>
      <c r="AB20" s="8">
        <f t="shared" ref="AB20" si="21">IF(J20=0,"0",(L20/J20))</f>
        <v>1</v>
      </c>
      <c r="AC20" s="9">
        <f t="shared" ref="AC20" si="22">IF(P20=0,"0",(P20/24))</f>
        <v>0.58333333333333337</v>
      </c>
      <c r="AD20" s="10">
        <f t="shared" ref="AD20" si="23">AC20*AB20*(1-O20)</f>
        <v>0.58333333333333337</v>
      </c>
      <c r="AE20" s="36">
        <f t="shared" si="7"/>
        <v>0.51315789473684215</v>
      </c>
      <c r="AF20" s="84">
        <f t="shared" ref="AF20" si="24">A20</f>
        <v>12</v>
      </c>
    </row>
    <row r="21" spans="1:32" ht="27" customHeight="1">
      <c r="A21" s="96">
        <v>13</v>
      </c>
      <c r="B21" s="11" t="s">
        <v>57</v>
      </c>
      <c r="C21" s="11" t="s">
        <v>118</v>
      </c>
      <c r="D21" s="52" t="s">
        <v>115</v>
      </c>
      <c r="E21" s="53" t="s">
        <v>227</v>
      </c>
      <c r="F21" s="30" t="s">
        <v>145</v>
      </c>
      <c r="G21" s="33">
        <v>1</v>
      </c>
      <c r="H21" s="35">
        <v>24</v>
      </c>
      <c r="I21" s="7">
        <v>2100</v>
      </c>
      <c r="J21" s="14">
        <v>4927</v>
      </c>
      <c r="K21" s="15">
        <f>L21</f>
        <v>4927</v>
      </c>
      <c r="L21" s="15">
        <f>2284+2643</f>
        <v>4927</v>
      </c>
      <c r="M21" s="15">
        <f t="shared" si="0"/>
        <v>4927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0.51315789473684215</v>
      </c>
      <c r="AF21" s="84">
        <f t="shared" si="8"/>
        <v>13</v>
      </c>
    </row>
    <row r="22" spans="1:32" ht="27" customHeight="1">
      <c r="A22" s="96">
        <v>14</v>
      </c>
      <c r="B22" s="11" t="s">
        <v>57</v>
      </c>
      <c r="C22" s="11" t="s">
        <v>118</v>
      </c>
      <c r="D22" s="52" t="s">
        <v>129</v>
      </c>
      <c r="E22" s="53" t="s">
        <v>170</v>
      </c>
      <c r="F22" s="30" t="s">
        <v>156</v>
      </c>
      <c r="G22" s="33">
        <v>1</v>
      </c>
      <c r="H22" s="35">
        <v>24</v>
      </c>
      <c r="I22" s="7">
        <v>28000</v>
      </c>
      <c r="J22" s="14">
        <v>4695</v>
      </c>
      <c r="K22" s="15">
        <f>L22+4498+2017+4516+4728</f>
        <v>20454</v>
      </c>
      <c r="L22" s="15">
        <f>2312+2383</f>
        <v>4695</v>
      </c>
      <c r="M22" s="15">
        <f t="shared" si="0"/>
        <v>4695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0.51315789473684215</v>
      </c>
      <c r="AF22" s="84">
        <f t="shared" si="8"/>
        <v>14</v>
      </c>
    </row>
    <row r="23" spans="1:32" ht="30" customHeight="1">
      <c r="A23" s="112">
        <v>15</v>
      </c>
      <c r="B23" s="11" t="s">
        <v>57</v>
      </c>
      <c r="C23" s="34" t="s">
        <v>112</v>
      </c>
      <c r="D23" s="52" t="s">
        <v>131</v>
      </c>
      <c r="E23" s="53" t="s">
        <v>218</v>
      </c>
      <c r="F23" s="30" t="s">
        <v>144</v>
      </c>
      <c r="G23" s="12">
        <v>2</v>
      </c>
      <c r="H23" s="13">
        <v>24</v>
      </c>
      <c r="I23" s="7">
        <v>1000</v>
      </c>
      <c r="J23" s="14">
        <v>1160</v>
      </c>
      <c r="K23" s="15">
        <f>L23+1160</f>
        <v>1160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0.51315789473684215</v>
      </c>
      <c r="AF23" s="84">
        <f t="shared" si="8"/>
        <v>15</v>
      </c>
    </row>
    <row r="24" spans="1:32" ht="27" customHeight="1" thickBot="1">
      <c r="A24" s="96">
        <v>16</v>
      </c>
      <c r="B24" s="11" t="s">
        <v>57</v>
      </c>
      <c r="C24" s="11" t="s">
        <v>113</v>
      </c>
      <c r="D24" s="52"/>
      <c r="E24" s="53" t="s">
        <v>175</v>
      </c>
      <c r="F24" s="12" t="s">
        <v>114</v>
      </c>
      <c r="G24" s="12">
        <v>3</v>
      </c>
      <c r="H24" s="35">
        <v>20</v>
      </c>
      <c r="I24" s="7">
        <v>1000000</v>
      </c>
      <c r="J24" s="14">
        <v>66156</v>
      </c>
      <c r="K24" s="15">
        <f>L24+62008+65280</f>
        <v>193444</v>
      </c>
      <c r="L24" s="15">
        <f>8246*4+8293*4</f>
        <v>66156</v>
      </c>
      <c r="M24" s="15">
        <f t="shared" si="0"/>
        <v>66156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17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1</v>
      </c>
      <c r="AD24" s="10">
        <f t="shared" si="6"/>
        <v>1</v>
      </c>
      <c r="AE24" s="36">
        <f t="shared" si="7"/>
        <v>0.51315789473684215</v>
      </c>
      <c r="AF24" s="84">
        <f t="shared" si="8"/>
        <v>16</v>
      </c>
    </row>
    <row r="25" spans="1:32" ht="31.5" customHeight="1" thickBot="1">
      <c r="A25" s="443" t="s">
        <v>34</v>
      </c>
      <c r="B25" s="444"/>
      <c r="C25" s="444"/>
      <c r="D25" s="444"/>
      <c r="E25" s="444"/>
      <c r="F25" s="444"/>
      <c r="G25" s="444"/>
      <c r="H25" s="445"/>
      <c r="I25" s="22">
        <f t="shared" ref="I25:N25" si="25">SUM(I6:I24)</f>
        <v>1252500</v>
      </c>
      <c r="J25" s="19">
        <f t="shared" si="25"/>
        <v>146986</v>
      </c>
      <c r="K25" s="20">
        <f t="shared" si="25"/>
        <v>624203</v>
      </c>
      <c r="L25" s="21">
        <f t="shared" si="25"/>
        <v>112640</v>
      </c>
      <c r="M25" s="20">
        <f t="shared" si="25"/>
        <v>112640</v>
      </c>
      <c r="N25" s="21">
        <f t="shared" si="25"/>
        <v>0</v>
      </c>
      <c r="O25" s="41">
        <f t="shared" si="1"/>
        <v>0</v>
      </c>
      <c r="P25" s="42">
        <f t="shared" ref="P25:AA25" si="26">SUM(P6:P24)</f>
        <v>234</v>
      </c>
      <c r="Q25" s="43">
        <f t="shared" si="26"/>
        <v>222</v>
      </c>
      <c r="R25" s="23">
        <f t="shared" si="26"/>
        <v>24</v>
      </c>
      <c r="S25" s="24">
        <f t="shared" si="26"/>
        <v>0</v>
      </c>
      <c r="T25" s="24">
        <f t="shared" si="26"/>
        <v>19</v>
      </c>
      <c r="U25" s="24">
        <f t="shared" si="26"/>
        <v>0</v>
      </c>
      <c r="V25" s="25">
        <f t="shared" si="26"/>
        <v>0</v>
      </c>
      <c r="W25" s="26">
        <f t="shared" si="26"/>
        <v>152</v>
      </c>
      <c r="X25" s="27">
        <f t="shared" si="26"/>
        <v>0</v>
      </c>
      <c r="Y25" s="27">
        <f t="shared" si="26"/>
        <v>0</v>
      </c>
      <c r="Z25" s="27">
        <f t="shared" si="26"/>
        <v>0</v>
      </c>
      <c r="AA25" s="27">
        <f t="shared" si="26"/>
        <v>27</v>
      </c>
      <c r="AB25" s="28">
        <f>AVERAGE(AB6:AB24)</f>
        <v>0.73684210526315785</v>
      </c>
      <c r="AC25" s="4">
        <f>AVERAGE(AC6:AC24)</f>
        <v>0.51315789473684215</v>
      </c>
      <c r="AD25" s="4">
        <f>AVERAGE(AD6:AD24)</f>
        <v>0.51315789473684215</v>
      </c>
      <c r="AE25" s="29"/>
    </row>
    <row r="27" spans="1:32" ht="18.75">
      <c r="A27" s="2"/>
      <c r="B27" s="2" t="s">
        <v>35</v>
      </c>
      <c r="C27" s="2"/>
      <c r="D27" s="2"/>
      <c r="E27" s="2"/>
      <c r="F27" s="2"/>
      <c r="G27" s="2"/>
      <c r="H27" s="3"/>
      <c r="I27" s="3"/>
      <c r="J27" s="2"/>
      <c r="K27" s="2"/>
      <c r="L27" s="2"/>
      <c r="M27" s="2"/>
      <c r="N27" s="2" t="s">
        <v>36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1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85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27">
      <c r="A42" s="59"/>
      <c r="B42" s="59"/>
      <c r="C42" s="59"/>
      <c r="D42" s="59"/>
      <c r="E42" s="59"/>
      <c r="F42" s="37"/>
      <c r="G42" s="37"/>
      <c r="H42" s="38"/>
      <c r="I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F42" s="50"/>
    </row>
    <row r="43" spans="1:32" ht="29.25" customHeight="1">
      <c r="A43" s="60"/>
      <c r="B43" s="60"/>
      <c r="C43" s="61"/>
      <c r="D43" s="61"/>
      <c r="E43" s="61"/>
      <c r="F43" s="60"/>
      <c r="G43" s="60"/>
      <c r="H43" s="60"/>
      <c r="I43" s="60"/>
      <c r="J43" s="60"/>
      <c r="K43" s="60"/>
      <c r="L43" s="60"/>
      <c r="M43" s="61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36" thickBot="1">
      <c r="A52" s="446" t="s">
        <v>45</v>
      </c>
      <c r="B52" s="446"/>
      <c r="C52" s="446"/>
      <c r="D52" s="446"/>
      <c r="E52" s="446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26.25" thickBot="1">
      <c r="A53" s="447" t="s">
        <v>251</v>
      </c>
      <c r="B53" s="448"/>
      <c r="C53" s="448"/>
      <c r="D53" s="448"/>
      <c r="E53" s="448"/>
      <c r="F53" s="448"/>
      <c r="G53" s="448"/>
      <c r="H53" s="448"/>
      <c r="I53" s="448"/>
      <c r="J53" s="448"/>
      <c r="K53" s="448"/>
      <c r="L53" s="448"/>
      <c r="M53" s="449"/>
      <c r="N53" s="450" t="s">
        <v>256</v>
      </c>
      <c r="O53" s="451"/>
      <c r="P53" s="451"/>
      <c r="Q53" s="451"/>
      <c r="R53" s="451"/>
      <c r="S53" s="451"/>
      <c r="T53" s="451"/>
      <c r="U53" s="451"/>
      <c r="V53" s="451"/>
      <c r="W53" s="451"/>
      <c r="X53" s="451"/>
      <c r="Y53" s="451"/>
      <c r="Z53" s="451"/>
      <c r="AA53" s="451"/>
      <c r="AB53" s="451"/>
      <c r="AC53" s="451"/>
      <c r="AD53" s="452"/>
    </row>
    <row r="54" spans="1:32" ht="27" customHeight="1">
      <c r="A54" s="453" t="s">
        <v>2</v>
      </c>
      <c r="B54" s="454"/>
      <c r="C54" s="149" t="s">
        <v>46</v>
      </c>
      <c r="D54" s="149" t="s">
        <v>47</v>
      </c>
      <c r="E54" s="149" t="s">
        <v>107</v>
      </c>
      <c r="F54" s="455" t="s">
        <v>106</v>
      </c>
      <c r="G54" s="456"/>
      <c r="H54" s="456"/>
      <c r="I54" s="456"/>
      <c r="J54" s="456"/>
      <c r="K54" s="456"/>
      <c r="L54" s="456"/>
      <c r="M54" s="457"/>
      <c r="N54" s="67" t="s">
        <v>110</v>
      </c>
      <c r="O54" s="149" t="s">
        <v>46</v>
      </c>
      <c r="P54" s="455" t="s">
        <v>47</v>
      </c>
      <c r="Q54" s="458"/>
      <c r="R54" s="455" t="s">
        <v>38</v>
      </c>
      <c r="S54" s="456"/>
      <c r="T54" s="456"/>
      <c r="U54" s="458"/>
      <c r="V54" s="455" t="s">
        <v>48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69" t="s">
        <v>138</v>
      </c>
      <c r="B55" s="470"/>
      <c r="C55" s="151" t="s">
        <v>147</v>
      </c>
      <c r="D55" s="151" t="s">
        <v>158</v>
      </c>
      <c r="E55" s="151" t="s">
        <v>172</v>
      </c>
      <c r="F55" s="471" t="s">
        <v>124</v>
      </c>
      <c r="G55" s="472"/>
      <c r="H55" s="472"/>
      <c r="I55" s="472"/>
      <c r="J55" s="472"/>
      <c r="K55" s="472"/>
      <c r="L55" s="472"/>
      <c r="M55" s="473"/>
      <c r="N55" s="150" t="s">
        <v>118</v>
      </c>
      <c r="O55" s="157" t="s">
        <v>257</v>
      </c>
      <c r="P55" s="474" t="s">
        <v>115</v>
      </c>
      <c r="Q55" s="475"/>
      <c r="R55" s="474" t="s">
        <v>258</v>
      </c>
      <c r="S55" s="476"/>
      <c r="T55" s="476"/>
      <c r="U55" s="475"/>
      <c r="V55" s="477" t="s">
        <v>132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112</v>
      </c>
      <c r="B56" s="470"/>
      <c r="C56" s="151" t="s">
        <v>147</v>
      </c>
      <c r="D56" s="151" t="s">
        <v>208</v>
      </c>
      <c r="E56" s="151" t="s">
        <v>246</v>
      </c>
      <c r="F56" s="471" t="s">
        <v>132</v>
      </c>
      <c r="G56" s="472"/>
      <c r="H56" s="472"/>
      <c r="I56" s="472"/>
      <c r="J56" s="472"/>
      <c r="K56" s="472"/>
      <c r="L56" s="472"/>
      <c r="M56" s="473"/>
      <c r="N56" s="150"/>
      <c r="O56" s="157"/>
      <c r="P56" s="474"/>
      <c r="Q56" s="475"/>
      <c r="R56" s="474"/>
      <c r="S56" s="476"/>
      <c r="T56" s="476"/>
      <c r="U56" s="475"/>
      <c r="V56" s="477"/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 t="s">
        <v>112</v>
      </c>
      <c r="B57" s="470"/>
      <c r="C57" s="151" t="s">
        <v>139</v>
      </c>
      <c r="D57" s="151" t="s">
        <v>129</v>
      </c>
      <c r="E57" s="151" t="s">
        <v>225</v>
      </c>
      <c r="F57" s="471" t="s">
        <v>132</v>
      </c>
      <c r="G57" s="472"/>
      <c r="H57" s="472"/>
      <c r="I57" s="472"/>
      <c r="J57" s="472"/>
      <c r="K57" s="472"/>
      <c r="L57" s="472"/>
      <c r="M57" s="473"/>
      <c r="N57" s="150"/>
      <c r="O57" s="157"/>
      <c r="P57" s="474"/>
      <c r="Q57" s="475"/>
      <c r="R57" s="474"/>
      <c r="S57" s="476"/>
      <c r="T57" s="476"/>
      <c r="U57" s="475"/>
      <c r="V57" s="477"/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 t="s">
        <v>120</v>
      </c>
      <c r="B58" s="470"/>
      <c r="C58" s="151" t="s">
        <v>140</v>
      </c>
      <c r="D58" s="151"/>
      <c r="E58" s="151" t="s">
        <v>250</v>
      </c>
      <c r="F58" s="471" t="s">
        <v>132</v>
      </c>
      <c r="G58" s="472"/>
      <c r="H58" s="472"/>
      <c r="I58" s="472"/>
      <c r="J58" s="472"/>
      <c r="K58" s="472"/>
      <c r="L58" s="472"/>
      <c r="M58" s="473"/>
      <c r="N58" s="150"/>
      <c r="O58" s="157"/>
      <c r="P58" s="474"/>
      <c r="Q58" s="475"/>
      <c r="R58" s="474"/>
      <c r="S58" s="476"/>
      <c r="T58" s="476"/>
      <c r="U58" s="475"/>
      <c r="V58" s="477"/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69" t="s">
        <v>112</v>
      </c>
      <c r="B59" s="470"/>
      <c r="C59" s="151" t="s">
        <v>139</v>
      </c>
      <c r="D59" s="151" t="s">
        <v>115</v>
      </c>
      <c r="E59" s="151" t="s">
        <v>226</v>
      </c>
      <c r="F59" s="471" t="s">
        <v>252</v>
      </c>
      <c r="G59" s="472"/>
      <c r="H59" s="472"/>
      <c r="I59" s="472"/>
      <c r="J59" s="472"/>
      <c r="K59" s="472"/>
      <c r="L59" s="472"/>
      <c r="M59" s="473"/>
      <c r="N59" s="150"/>
      <c r="O59" s="157"/>
      <c r="P59" s="474"/>
      <c r="Q59" s="475"/>
      <c r="R59" s="474"/>
      <c r="S59" s="476"/>
      <c r="T59" s="476"/>
      <c r="U59" s="475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69" t="s">
        <v>118</v>
      </c>
      <c r="B60" s="470"/>
      <c r="C60" s="151" t="s">
        <v>191</v>
      </c>
      <c r="D60" s="151" t="s">
        <v>115</v>
      </c>
      <c r="E60" s="151" t="s">
        <v>227</v>
      </c>
      <c r="F60" s="471" t="s">
        <v>132</v>
      </c>
      <c r="G60" s="472"/>
      <c r="H60" s="472"/>
      <c r="I60" s="472"/>
      <c r="J60" s="472"/>
      <c r="K60" s="472"/>
      <c r="L60" s="472"/>
      <c r="M60" s="473"/>
      <c r="N60" s="150"/>
      <c r="O60" s="157"/>
      <c r="P60" s="474"/>
      <c r="Q60" s="475"/>
      <c r="R60" s="474"/>
      <c r="S60" s="476"/>
      <c r="T60" s="476"/>
      <c r="U60" s="475"/>
      <c r="V60" s="477"/>
      <c r="W60" s="477"/>
      <c r="X60" s="477"/>
      <c r="Y60" s="477"/>
      <c r="Z60" s="477"/>
      <c r="AA60" s="477"/>
      <c r="AB60" s="477"/>
      <c r="AC60" s="477"/>
      <c r="AD60" s="478"/>
    </row>
    <row r="61" spans="1:32" ht="27" customHeight="1">
      <c r="A61" s="469" t="s">
        <v>112</v>
      </c>
      <c r="B61" s="470"/>
      <c r="C61" s="151" t="s">
        <v>133</v>
      </c>
      <c r="D61" s="151" t="s">
        <v>142</v>
      </c>
      <c r="E61" s="151" t="s">
        <v>248</v>
      </c>
      <c r="F61" s="471" t="s">
        <v>132</v>
      </c>
      <c r="G61" s="472"/>
      <c r="H61" s="472"/>
      <c r="I61" s="472"/>
      <c r="J61" s="472"/>
      <c r="K61" s="472"/>
      <c r="L61" s="472"/>
      <c r="M61" s="473"/>
      <c r="N61" s="150"/>
      <c r="O61" s="157"/>
      <c r="P61" s="474"/>
      <c r="Q61" s="475"/>
      <c r="R61" s="474"/>
      <c r="S61" s="476"/>
      <c r="T61" s="476"/>
      <c r="U61" s="475"/>
      <c r="V61" s="477"/>
      <c r="W61" s="477"/>
      <c r="X61" s="477"/>
      <c r="Y61" s="477"/>
      <c r="Z61" s="477"/>
      <c r="AA61" s="477"/>
      <c r="AB61" s="477"/>
      <c r="AC61" s="477"/>
      <c r="AD61" s="478"/>
    </row>
    <row r="62" spans="1:32" ht="27" customHeight="1">
      <c r="A62" s="487" t="s">
        <v>210</v>
      </c>
      <c r="B62" s="488"/>
      <c r="C62" s="154" t="s">
        <v>141</v>
      </c>
      <c r="D62" s="154" t="s">
        <v>253</v>
      </c>
      <c r="E62" s="151" t="s">
        <v>254</v>
      </c>
      <c r="F62" s="471" t="s">
        <v>255</v>
      </c>
      <c r="G62" s="472"/>
      <c r="H62" s="472"/>
      <c r="I62" s="472"/>
      <c r="J62" s="472"/>
      <c r="K62" s="472"/>
      <c r="L62" s="472"/>
      <c r="M62" s="473"/>
      <c r="N62" s="150"/>
      <c r="O62" s="157"/>
      <c r="P62" s="474"/>
      <c r="Q62" s="475"/>
      <c r="R62" s="470"/>
      <c r="S62" s="470"/>
      <c r="T62" s="470"/>
      <c r="U62" s="470"/>
      <c r="V62" s="477"/>
      <c r="W62" s="477"/>
      <c r="X62" s="477"/>
      <c r="Y62" s="477"/>
      <c r="Z62" s="477"/>
      <c r="AA62" s="477"/>
      <c r="AB62" s="477"/>
      <c r="AC62" s="477"/>
      <c r="AD62" s="478"/>
    </row>
    <row r="63" spans="1:32" ht="27" customHeight="1">
      <c r="A63" s="487"/>
      <c r="B63" s="488"/>
      <c r="C63" s="154"/>
      <c r="D63" s="154"/>
      <c r="E63" s="151"/>
      <c r="F63" s="471"/>
      <c r="G63" s="472"/>
      <c r="H63" s="472"/>
      <c r="I63" s="472"/>
      <c r="J63" s="472"/>
      <c r="K63" s="472"/>
      <c r="L63" s="472"/>
      <c r="M63" s="473"/>
      <c r="N63" s="150"/>
      <c r="O63" s="157"/>
      <c r="P63" s="470"/>
      <c r="Q63" s="470"/>
      <c r="R63" s="470"/>
      <c r="S63" s="470"/>
      <c r="T63" s="470"/>
      <c r="U63" s="470"/>
      <c r="V63" s="477"/>
      <c r="W63" s="477"/>
      <c r="X63" s="477"/>
      <c r="Y63" s="477"/>
      <c r="Z63" s="477"/>
      <c r="AA63" s="477"/>
      <c r="AB63" s="477"/>
      <c r="AC63" s="477"/>
      <c r="AD63" s="478"/>
      <c r="AF63" s="84">
        <f>8*3000</f>
        <v>24000</v>
      </c>
    </row>
    <row r="64" spans="1:32" ht="27" customHeight="1" thickBot="1">
      <c r="A64" s="479"/>
      <c r="B64" s="480"/>
      <c r="C64" s="152"/>
      <c r="D64" s="153"/>
      <c r="E64" s="152"/>
      <c r="F64" s="481"/>
      <c r="G64" s="482"/>
      <c r="H64" s="482"/>
      <c r="I64" s="482"/>
      <c r="J64" s="482"/>
      <c r="K64" s="482"/>
      <c r="L64" s="482"/>
      <c r="M64" s="483"/>
      <c r="N64" s="111"/>
      <c r="O64" s="103"/>
      <c r="P64" s="484"/>
      <c r="Q64" s="484"/>
      <c r="R64" s="484"/>
      <c r="S64" s="484"/>
      <c r="T64" s="484"/>
      <c r="U64" s="484"/>
      <c r="V64" s="485"/>
      <c r="W64" s="485"/>
      <c r="X64" s="485"/>
      <c r="Y64" s="485"/>
      <c r="Z64" s="485"/>
      <c r="AA64" s="485"/>
      <c r="AB64" s="485"/>
      <c r="AC64" s="485"/>
      <c r="AD64" s="486"/>
      <c r="AF64" s="84">
        <f>16*3000</f>
        <v>48000</v>
      </c>
    </row>
    <row r="65" spans="1:32" ht="27.75" thickBot="1">
      <c r="A65" s="489" t="s">
        <v>259</v>
      </c>
      <c r="B65" s="489"/>
      <c r="C65" s="489"/>
      <c r="D65" s="489"/>
      <c r="E65" s="489"/>
      <c r="F65" s="37"/>
      <c r="G65" s="37"/>
      <c r="H65" s="38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F65" s="84">
        <v>24000</v>
      </c>
    </row>
    <row r="66" spans="1:32" ht="29.25" customHeight="1" thickBot="1">
      <c r="A66" s="490" t="s">
        <v>111</v>
      </c>
      <c r="B66" s="491"/>
      <c r="C66" s="155" t="s">
        <v>2</v>
      </c>
      <c r="D66" s="155" t="s">
        <v>37</v>
      </c>
      <c r="E66" s="155" t="s">
        <v>3</v>
      </c>
      <c r="F66" s="491" t="s">
        <v>109</v>
      </c>
      <c r="G66" s="491"/>
      <c r="H66" s="491"/>
      <c r="I66" s="491"/>
      <c r="J66" s="491"/>
      <c r="K66" s="491" t="s">
        <v>39</v>
      </c>
      <c r="L66" s="491"/>
      <c r="M66" s="155" t="s">
        <v>40</v>
      </c>
      <c r="N66" s="491" t="s">
        <v>41</v>
      </c>
      <c r="O66" s="491"/>
      <c r="P66" s="492" t="s">
        <v>42</v>
      </c>
      <c r="Q66" s="493"/>
      <c r="R66" s="492" t="s">
        <v>43</v>
      </c>
      <c r="S66" s="494"/>
      <c r="T66" s="494"/>
      <c r="U66" s="494"/>
      <c r="V66" s="494"/>
      <c r="W66" s="494"/>
      <c r="X66" s="494"/>
      <c r="Y66" s="494"/>
      <c r="Z66" s="494"/>
      <c r="AA66" s="493"/>
      <c r="AB66" s="491" t="s">
        <v>44</v>
      </c>
      <c r="AC66" s="491"/>
      <c r="AD66" s="495"/>
      <c r="AF66" s="84">
        <f>SUM(AF63:AF65)</f>
        <v>96000</v>
      </c>
    </row>
    <row r="67" spans="1:32" ht="25.5" customHeight="1">
      <c r="A67" s="496">
        <v>1</v>
      </c>
      <c r="B67" s="497"/>
      <c r="C67" s="104" t="s">
        <v>112</v>
      </c>
      <c r="D67" s="159"/>
      <c r="E67" s="156" t="s">
        <v>142</v>
      </c>
      <c r="F67" s="498" t="s">
        <v>260</v>
      </c>
      <c r="G67" s="499"/>
      <c r="H67" s="499"/>
      <c r="I67" s="499"/>
      <c r="J67" s="500"/>
      <c r="K67" s="501" t="s">
        <v>249</v>
      </c>
      <c r="L67" s="501"/>
      <c r="M67" s="51" t="s">
        <v>143</v>
      </c>
      <c r="N67" s="502" t="s">
        <v>133</v>
      </c>
      <c r="O67" s="502"/>
      <c r="P67" s="503">
        <v>100</v>
      </c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2</v>
      </c>
      <c r="B68" s="497"/>
      <c r="C68" s="104" t="s">
        <v>120</v>
      </c>
      <c r="D68" s="159"/>
      <c r="E68" s="156"/>
      <c r="F68" s="498" t="s">
        <v>261</v>
      </c>
      <c r="G68" s="499"/>
      <c r="H68" s="499"/>
      <c r="I68" s="499"/>
      <c r="J68" s="500"/>
      <c r="K68" s="501" t="s">
        <v>262</v>
      </c>
      <c r="L68" s="501"/>
      <c r="M68" s="51" t="s">
        <v>143</v>
      </c>
      <c r="N68" s="502" t="s">
        <v>139</v>
      </c>
      <c r="O68" s="502"/>
      <c r="P68" s="503"/>
      <c r="Q68" s="503"/>
      <c r="R68" s="477" t="s">
        <v>263</v>
      </c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3</v>
      </c>
      <c r="B69" s="497"/>
      <c r="C69" s="104" t="s">
        <v>118</v>
      </c>
      <c r="D69" s="159"/>
      <c r="E69" s="156" t="s">
        <v>115</v>
      </c>
      <c r="F69" s="498" t="s">
        <v>238</v>
      </c>
      <c r="G69" s="499"/>
      <c r="H69" s="499"/>
      <c r="I69" s="499"/>
      <c r="J69" s="500"/>
      <c r="K69" s="501" t="s">
        <v>135</v>
      </c>
      <c r="L69" s="501"/>
      <c r="M69" s="51" t="s">
        <v>143</v>
      </c>
      <c r="N69" s="502" t="s">
        <v>141</v>
      </c>
      <c r="O69" s="502"/>
      <c r="P69" s="503">
        <v>100</v>
      </c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4</v>
      </c>
      <c r="B70" s="497"/>
      <c r="C70" s="104"/>
      <c r="D70" s="159"/>
      <c r="E70" s="156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5</v>
      </c>
      <c r="B71" s="497"/>
      <c r="C71" s="104"/>
      <c r="D71" s="159"/>
      <c r="E71" s="156"/>
      <c r="F71" s="498"/>
      <c r="G71" s="499"/>
      <c r="H71" s="499"/>
      <c r="I71" s="499"/>
      <c r="J71" s="500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6</v>
      </c>
      <c r="B72" s="497"/>
      <c r="C72" s="104"/>
      <c r="D72" s="159"/>
      <c r="E72" s="156"/>
      <c r="F72" s="498"/>
      <c r="G72" s="499"/>
      <c r="H72" s="499"/>
      <c r="I72" s="499"/>
      <c r="J72" s="500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7</v>
      </c>
      <c r="B73" s="497"/>
      <c r="C73" s="104"/>
      <c r="D73" s="159"/>
      <c r="E73" s="156"/>
      <c r="F73" s="498"/>
      <c r="G73" s="499"/>
      <c r="H73" s="499"/>
      <c r="I73" s="499"/>
      <c r="J73" s="500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5.5" customHeight="1">
      <c r="A74" s="496">
        <v>8</v>
      </c>
      <c r="B74" s="497"/>
      <c r="C74" s="104"/>
      <c r="D74" s="159"/>
      <c r="E74" s="156"/>
      <c r="F74" s="505"/>
      <c r="G74" s="501"/>
      <c r="H74" s="501"/>
      <c r="I74" s="501"/>
      <c r="J74" s="501"/>
      <c r="K74" s="501"/>
      <c r="L74" s="501"/>
      <c r="M74" s="51"/>
      <c r="N74" s="502"/>
      <c r="O74" s="502"/>
      <c r="P74" s="503"/>
      <c r="Q74" s="503"/>
      <c r="R74" s="477"/>
      <c r="S74" s="477"/>
      <c r="T74" s="477"/>
      <c r="U74" s="477"/>
      <c r="V74" s="477"/>
      <c r="W74" s="477"/>
      <c r="X74" s="477"/>
      <c r="Y74" s="477"/>
      <c r="Z74" s="477"/>
      <c r="AA74" s="477"/>
      <c r="AB74" s="501"/>
      <c r="AC74" s="501"/>
      <c r="AD74" s="504"/>
      <c r="AF74" s="50"/>
    </row>
    <row r="75" spans="1:32" ht="25.5" customHeight="1">
      <c r="A75" s="496">
        <v>9</v>
      </c>
      <c r="B75" s="497"/>
      <c r="C75" s="104"/>
      <c r="D75" s="159"/>
      <c r="E75" s="156"/>
      <c r="F75" s="505"/>
      <c r="G75" s="501"/>
      <c r="H75" s="501"/>
      <c r="I75" s="501"/>
      <c r="J75" s="501"/>
      <c r="K75" s="501"/>
      <c r="L75" s="501"/>
      <c r="M75" s="51"/>
      <c r="N75" s="502"/>
      <c r="O75" s="502"/>
      <c r="P75" s="503"/>
      <c r="Q75" s="503"/>
      <c r="R75" s="477"/>
      <c r="S75" s="477"/>
      <c r="T75" s="477"/>
      <c r="U75" s="477"/>
      <c r="V75" s="477"/>
      <c r="W75" s="477"/>
      <c r="X75" s="477"/>
      <c r="Y75" s="477"/>
      <c r="Z75" s="477"/>
      <c r="AA75" s="477"/>
      <c r="AB75" s="501"/>
      <c r="AC75" s="501"/>
      <c r="AD75" s="504"/>
      <c r="AF75" s="50"/>
    </row>
    <row r="76" spans="1:32" ht="25.5" customHeight="1">
      <c r="A76" s="496">
        <v>10</v>
      </c>
      <c r="B76" s="497"/>
      <c r="C76" s="104"/>
      <c r="D76" s="159"/>
      <c r="E76" s="156"/>
      <c r="F76" s="505"/>
      <c r="G76" s="501"/>
      <c r="H76" s="501"/>
      <c r="I76" s="501"/>
      <c r="J76" s="501"/>
      <c r="K76" s="501"/>
      <c r="L76" s="501"/>
      <c r="M76" s="51"/>
      <c r="N76" s="502"/>
      <c r="O76" s="502"/>
      <c r="P76" s="503"/>
      <c r="Q76" s="503"/>
      <c r="R76" s="477"/>
      <c r="S76" s="477"/>
      <c r="T76" s="477"/>
      <c r="U76" s="477"/>
      <c r="V76" s="477"/>
      <c r="W76" s="477"/>
      <c r="X76" s="477"/>
      <c r="Y76" s="477"/>
      <c r="Z76" s="477"/>
      <c r="AA76" s="477"/>
      <c r="AB76" s="501"/>
      <c r="AC76" s="501"/>
      <c r="AD76" s="504"/>
      <c r="AF76" s="50"/>
    </row>
    <row r="77" spans="1:32" ht="26.25" customHeight="1" thickBot="1">
      <c r="A77" s="506" t="s">
        <v>264</v>
      </c>
      <c r="B77" s="506"/>
      <c r="C77" s="506"/>
      <c r="D77" s="506"/>
      <c r="E77" s="506"/>
      <c r="F77" s="37"/>
      <c r="G77" s="37"/>
      <c r="H77" s="38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F77" s="50"/>
    </row>
    <row r="78" spans="1:32" ht="23.25" thickBot="1">
      <c r="A78" s="507" t="s">
        <v>126</v>
      </c>
      <c r="B78" s="508"/>
      <c r="C78" s="158" t="s">
        <v>2</v>
      </c>
      <c r="D78" s="158" t="s">
        <v>37</v>
      </c>
      <c r="E78" s="158" t="s">
        <v>125</v>
      </c>
      <c r="F78" s="508" t="s">
        <v>38</v>
      </c>
      <c r="G78" s="508"/>
      <c r="H78" s="508"/>
      <c r="I78" s="508"/>
      <c r="J78" s="508"/>
      <c r="K78" s="509" t="s">
        <v>58</v>
      </c>
      <c r="L78" s="510"/>
      <c r="M78" s="510"/>
      <c r="N78" s="510"/>
      <c r="O78" s="510"/>
      <c r="P78" s="510"/>
      <c r="Q78" s="510"/>
      <c r="R78" s="510"/>
      <c r="S78" s="511"/>
      <c r="T78" s="508" t="s">
        <v>49</v>
      </c>
      <c r="U78" s="508"/>
      <c r="V78" s="509" t="s">
        <v>50</v>
      </c>
      <c r="W78" s="511"/>
      <c r="X78" s="510" t="s">
        <v>51</v>
      </c>
      <c r="Y78" s="510"/>
      <c r="Z78" s="510"/>
      <c r="AA78" s="510"/>
      <c r="AB78" s="510"/>
      <c r="AC78" s="510"/>
      <c r="AD78" s="512"/>
      <c r="AF78" s="50"/>
    </row>
    <row r="79" spans="1:32" ht="33.75" customHeight="1">
      <c r="A79" s="521">
        <v>1</v>
      </c>
      <c r="B79" s="522"/>
      <c r="C79" s="160" t="s">
        <v>112</v>
      </c>
      <c r="D79" s="160"/>
      <c r="E79" s="65" t="s">
        <v>117</v>
      </c>
      <c r="F79" s="523" t="s">
        <v>116</v>
      </c>
      <c r="G79" s="524"/>
      <c r="H79" s="524"/>
      <c r="I79" s="524"/>
      <c r="J79" s="525"/>
      <c r="K79" s="526" t="s">
        <v>119</v>
      </c>
      <c r="L79" s="527"/>
      <c r="M79" s="527"/>
      <c r="N79" s="527"/>
      <c r="O79" s="527"/>
      <c r="P79" s="527"/>
      <c r="Q79" s="527"/>
      <c r="R79" s="527"/>
      <c r="S79" s="528"/>
      <c r="T79" s="529">
        <v>44118</v>
      </c>
      <c r="U79" s="530"/>
      <c r="V79" s="531"/>
      <c r="W79" s="531"/>
      <c r="X79" s="532"/>
      <c r="Y79" s="532"/>
      <c r="Z79" s="532"/>
      <c r="AA79" s="532"/>
      <c r="AB79" s="532"/>
      <c r="AC79" s="532"/>
      <c r="AD79" s="533"/>
      <c r="AF79" s="50"/>
    </row>
    <row r="80" spans="1:32" ht="30" customHeight="1">
      <c r="A80" s="513">
        <f>A79+1</f>
        <v>2</v>
      </c>
      <c r="B80" s="514"/>
      <c r="C80" s="159"/>
      <c r="D80" s="159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ref="A81:A85" si="27">A80+1</f>
        <v>3</v>
      </c>
      <c r="B81" s="514"/>
      <c r="C81" s="159"/>
      <c r="D81" s="159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27"/>
        <v>4</v>
      </c>
      <c r="B82" s="514"/>
      <c r="C82" s="159"/>
      <c r="D82" s="159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0" customHeight="1">
      <c r="A83" s="513">
        <f t="shared" si="27"/>
        <v>5</v>
      </c>
      <c r="B83" s="514"/>
      <c r="C83" s="159"/>
      <c r="D83" s="159"/>
      <c r="E83" s="32"/>
      <c r="F83" s="514"/>
      <c r="G83" s="514"/>
      <c r="H83" s="514"/>
      <c r="I83" s="514"/>
      <c r="J83" s="514"/>
      <c r="K83" s="515"/>
      <c r="L83" s="516"/>
      <c r="M83" s="516"/>
      <c r="N83" s="516"/>
      <c r="O83" s="516"/>
      <c r="P83" s="516"/>
      <c r="Q83" s="516"/>
      <c r="R83" s="516"/>
      <c r="S83" s="517"/>
      <c r="T83" s="518"/>
      <c r="U83" s="518"/>
      <c r="V83" s="518"/>
      <c r="W83" s="518"/>
      <c r="X83" s="519"/>
      <c r="Y83" s="519"/>
      <c r="Z83" s="519"/>
      <c r="AA83" s="519"/>
      <c r="AB83" s="519"/>
      <c r="AC83" s="519"/>
      <c r="AD83" s="520"/>
      <c r="AF83" s="50"/>
    </row>
    <row r="84" spans="1:32" ht="30" customHeight="1">
      <c r="A84" s="513">
        <f t="shared" si="27"/>
        <v>6</v>
      </c>
      <c r="B84" s="514"/>
      <c r="C84" s="159"/>
      <c r="D84" s="159"/>
      <c r="E84" s="32"/>
      <c r="F84" s="514"/>
      <c r="G84" s="514"/>
      <c r="H84" s="514"/>
      <c r="I84" s="514"/>
      <c r="J84" s="514"/>
      <c r="K84" s="515"/>
      <c r="L84" s="516"/>
      <c r="M84" s="516"/>
      <c r="N84" s="516"/>
      <c r="O84" s="516"/>
      <c r="P84" s="516"/>
      <c r="Q84" s="516"/>
      <c r="R84" s="516"/>
      <c r="S84" s="517"/>
      <c r="T84" s="518"/>
      <c r="U84" s="518"/>
      <c r="V84" s="518"/>
      <c r="W84" s="518"/>
      <c r="X84" s="519"/>
      <c r="Y84" s="519"/>
      <c r="Z84" s="519"/>
      <c r="AA84" s="519"/>
      <c r="AB84" s="519"/>
      <c r="AC84" s="519"/>
      <c r="AD84" s="520"/>
      <c r="AF84" s="50"/>
    </row>
    <row r="85" spans="1:32" ht="30" customHeight="1">
      <c r="A85" s="513">
        <f t="shared" si="27"/>
        <v>7</v>
      </c>
      <c r="B85" s="514"/>
      <c r="C85" s="159"/>
      <c r="D85" s="159"/>
      <c r="E85" s="32"/>
      <c r="F85" s="514"/>
      <c r="G85" s="514"/>
      <c r="H85" s="514"/>
      <c r="I85" s="514"/>
      <c r="J85" s="514"/>
      <c r="K85" s="515"/>
      <c r="L85" s="516"/>
      <c r="M85" s="516"/>
      <c r="N85" s="516"/>
      <c r="O85" s="516"/>
      <c r="P85" s="516"/>
      <c r="Q85" s="516"/>
      <c r="R85" s="516"/>
      <c r="S85" s="517"/>
      <c r="T85" s="518"/>
      <c r="U85" s="518"/>
      <c r="V85" s="518"/>
      <c r="W85" s="518"/>
      <c r="X85" s="519"/>
      <c r="Y85" s="519"/>
      <c r="Z85" s="519"/>
      <c r="AA85" s="519"/>
      <c r="AB85" s="519"/>
      <c r="AC85" s="519"/>
      <c r="AD85" s="520"/>
      <c r="AF85" s="50"/>
    </row>
    <row r="86" spans="1:32" ht="36" thickBot="1">
      <c r="A86" s="506" t="s">
        <v>265</v>
      </c>
      <c r="B86" s="506"/>
      <c r="C86" s="506"/>
      <c r="D86" s="506"/>
      <c r="E86" s="506"/>
      <c r="F86" s="37"/>
      <c r="G86" s="37"/>
      <c r="H86" s="38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F86" s="50"/>
    </row>
    <row r="87" spans="1:32" ht="30.75" customHeight="1" thickBot="1">
      <c r="A87" s="507" t="s">
        <v>111</v>
      </c>
      <c r="B87" s="508"/>
      <c r="C87" s="534" t="s">
        <v>52</v>
      </c>
      <c r="D87" s="534"/>
      <c r="E87" s="534" t="s">
        <v>53</v>
      </c>
      <c r="F87" s="534"/>
      <c r="G87" s="534"/>
      <c r="H87" s="534"/>
      <c r="I87" s="534"/>
      <c r="J87" s="534"/>
      <c r="K87" s="534" t="s">
        <v>54</v>
      </c>
      <c r="L87" s="534"/>
      <c r="M87" s="534"/>
      <c r="N87" s="534"/>
      <c r="O87" s="534"/>
      <c r="P87" s="534"/>
      <c r="Q87" s="534"/>
      <c r="R87" s="534"/>
      <c r="S87" s="534"/>
      <c r="T87" s="534" t="s">
        <v>55</v>
      </c>
      <c r="U87" s="534"/>
      <c r="V87" s="534" t="s">
        <v>56</v>
      </c>
      <c r="W87" s="534"/>
      <c r="X87" s="534"/>
      <c r="Y87" s="534" t="s">
        <v>51</v>
      </c>
      <c r="Z87" s="534"/>
      <c r="AA87" s="534"/>
      <c r="AB87" s="534"/>
      <c r="AC87" s="534"/>
      <c r="AD87" s="535"/>
      <c r="AF87" s="50"/>
    </row>
    <row r="88" spans="1:32" ht="30.75" customHeight="1">
      <c r="A88" s="521">
        <v>1</v>
      </c>
      <c r="B88" s="522"/>
      <c r="C88" s="536">
        <v>9</v>
      </c>
      <c r="D88" s="536"/>
      <c r="E88" s="536" t="s">
        <v>136</v>
      </c>
      <c r="F88" s="536"/>
      <c r="G88" s="536"/>
      <c r="H88" s="536"/>
      <c r="I88" s="536"/>
      <c r="J88" s="536"/>
      <c r="K88" s="536" t="s">
        <v>161</v>
      </c>
      <c r="L88" s="536"/>
      <c r="M88" s="536"/>
      <c r="N88" s="536"/>
      <c r="O88" s="536"/>
      <c r="P88" s="536"/>
      <c r="Q88" s="536"/>
      <c r="R88" s="536"/>
      <c r="S88" s="536"/>
      <c r="T88" s="536" t="s">
        <v>137</v>
      </c>
      <c r="U88" s="536"/>
      <c r="V88" s="537" t="s">
        <v>152</v>
      </c>
      <c r="W88" s="537"/>
      <c r="X88" s="537"/>
      <c r="Y88" s="538"/>
      <c r="Z88" s="538"/>
      <c r="AA88" s="538"/>
      <c r="AB88" s="538"/>
      <c r="AC88" s="538"/>
      <c r="AD88" s="539"/>
      <c r="AF88" s="50"/>
    </row>
    <row r="89" spans="1:32" ht="30.75" customHeight="1">
      <c r="A89" s="513">
        <v>2</v>
      </c>
      <c r="B89" s="514"/>
      <c r="C89" s="547"/>
      <c r="D89" s="547"/>
      <c r="E89" s="547"/>
      <c r="F89" s="547"/>
      <c r="G89" s="547"/>
      <c r="H89" s="547"/>
      <c r="I89" s="547"/>
      <c r="J89" s="547"/>
      <c r="K89" s="547"/>
      <c r="L89" s="547"/>
      <c r="M89" s="547"/>
      <c r="N89" s="547"/>
      <c r="O89" s="547"/>
      <c r="P89" s="547"/>
      <c r="Q89" s="547"/>
      <c r="R89" s="547"/>
      <c r="S89" s="547"/>
      <c r="T89" s="548"/>
      <c r="U89" s="548"/>
      <c r="V89" s="549"/>
      <c r="W89" s="549"/>
      <c r="X89" s="549"/>
      <c r="Y89" s="540"/>
      <c r="Z89" s="540"/>
      <c r="AA89" s="540"/>
      <c r="AB89" s="540"/>
      <c r="AC89" s="540"/>
      <c r="AD89" s="541"/>
      <c r="AF89" s="50"/>
    </row>
    <row r="90" spans="1:32" ht="30.75" customHeight="1" thickBot="1">
      <c r="A90" s="542">
        <v>3</v>
      </c>
      <c r="B90" s="543"/>
      <c r="C90" s="544"/>
      <c r="D90" s="544"/>
      <c r="E90" s="544"/>
      <c r="F90" s="544"/>
      <c r="G90" s="544"/>
      <c r="H90" s="544"/>
      <c r="I90" s="544"/>
      <c r="J90" s="544"/>
      <c r="K90" s="544"/>
      <c r="L90" s="544"/>
      <c r="M90" s="544"/>
      <c r="N90" s="544"/>
      <c r="O90" s="544"/>
      <c r="P90" s="544"/>
      <c r="Q90" s="544"/>
      <c r="R90" s="544"/>
      <c r="S90" s="544"/>
      <c r="T90" s="544"/>
      <c r="U90" s="544"/>
      <c r="V90" s="544"/>
      <c r="W90" s="544"/>
      <c r="X90" s="544"/>
      <c r="Y90" s="545"/>
      <c r="Z90" s="545"/>
      <c r="AA90" s="545"/>
      <c r="AB90" s="545"/>
      <c r="AC90" s="545"/>
      <c r="AD90" s="546"/>
      <c r="AF90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5:H25"/>
    <mergeCell ref="A52:E52"/>
    <mergeCell ref="A53:M53"/>
    <mergeCell ref="N53:AD53"/>
    <mergeCell ref="A54:B54"/>
    <mergeCell ref="F54:M54"/>
    <mergeCell ref="P54:Q54"/>
    <mergeCell ref="R54:U54"/>
    <mergeCell ref="V54:AD54"/>
    <mergeCell ref="I4:O4"/>
    <mergeCell ref="P4:Q4"/>
    <mergeCell ref="R4:V4"/>
    <mergeCell ref="W4:AA4"/>
    <mergeCell ref="AB4:AB5"/>
    <mergeCell ref="AC4:AC5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5:E65"/>
    <mergeCell ref="A66:B66"/>
    <mergeCell ref="F66:J66"/>
    <mergeCell ref="K66:L66"/>
    <mergeCell ref="N66:O66"/>
    <mergeCell ref="P66:Q66"/>
    <mergeCell ref="A63:B63"/>
    <mergeCell ref="F63:M63"/>
    <mergeCell ref="P63:Q63"/>
    <mergeCell ref="R66:AA66"/>
    <mergeCell ref="AB66:AD66"/>
    <mergeCell ref="A67:B67"/>
    <mergeCell ref="F67:J67"/>
    <mergeCell ref="K67:L67"/>
    <mergeCell ref="N67:O67"/>
    <mergeCell ref="P67:Q67"/>
    <mergeCell ref="R67:AA67"/>
    <mergeCell ref="AB67:AD67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E77"/>
    <mergeCell ref="A78:B78"/>
    <mergeCell ref="F78:J78"/>
    <mergeCell ref="K78:S78"/>
    <mergeCell ref="T78:U78"/>
    <mergeCell ref="V78:W78"/>
    <mergeCell ref="X78:AD78"/>
    <mergeCell ref="A76:B76"/>
    <mergeCell ref="F76:J76"/>
    <mergeCell ref="K76:L76"/>
    <mergeCell ref="N76:O76"/>
    <mergeCell ref="P76:Q76"/>
    <mergeCell ref="R76:AA76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E86"/>
    <mergeCell ref="A87:B87"/>
    <mergeCell ref="C87:D87"/>
    <mergeCell ref="E87:J87"/>
    <mergeCell ref="K87:S87"/>
    <mergeCell ref="T87:U87"/>
    <mergeCell ref="A85:B85"/>
    <mergeCell ref="F85:J85"/>
    <mergeCell ref="K85:S85"/>
    <mergeCell ref="T85:U85"/>
    <mergeCell ref="V87:X87"/>
    <mergeCell ref="Y87:AD87"/>
    <mergeCell ref="A88:B88"/>
    <mergeCell ref="C88:D88"/>
    <mergeCell ref="E88:J88"/>
    <mergeCell ref="K88:S88"/>
    <mergeCell ref="T88:U88"/>
    <mergeCell ref="V88:X88"/>
    <mergeCell ref="Y88:AD88"/>
    <mergeCell ref="Y89:AD89"/>
    <mergeCell ref="A90:B90"/>
    <mergeCell ref="C90:D90"/>
    <mergeCell ref="E90:J90"/>
    <mergeCell ref="K90:S90"/>
    <mergeCell ref="T90:U90"/>
    <mergeCell ref="V90:X90"/>
    <mergeCell ref="Y90:AD90"/>
    <mergeCell ref="A89:B89"/>
    <mergeCell ref="C89:D89"/>
    <mergeCell ref="E89:J89"/>
    <mergeCell ref="K89:S89"/>
    <mergeCell ref="T89:U89"/>
    <mergeCell ref="V89:X89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0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3FB7-DF2B-48DE-AEDC-BF83F563BDB9}">
  <dimension ref="A1:AF87"/>
  <sheetViews>
    <sheetView view="pageBreakPreview" zoomScale="70" zoomScaleNormal="72" zoomScaleSheetLayoutView="70" workbookViewId="0">
      <selection activeCell="K70" sqref="K70:L7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266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173" t="s">
        <v>17</v>
      </c>
      <c r="L5" s="173" t="s">
        <v>18</v>
      </c>
      <c r="M5" s="173" t="s">
        <v>19</v>
      </c>
      <c r="N5" s="17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208</v>
      </c>
      <c r="E6" s="53" t="s">
        <v>246</v>
      </c>
      <c r="F6" s="30" t="s">
        <v>247</v>
      </c>
      <c r="G6" s="12">
        <v>1</v>
      </c>
      <c r="H6" s="13">
        <v>24</v>
      </c>
      <c r="I6" s="31">
        <v>1000</v>
      </c>
      <c r="J6" s="14">
        <v>1297</v>
      </c>
      <c r="K6" s="15">
        <f>L6+1297</f>
        <v>1297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0.18001974544121399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142</v>
      </c>
      <c r="E7" s="53" t="s">
        <v>248</v>
      </c>
      <c r="F7" s="30" t="s">
        <v>249</v>
      </c>
      <c r="G7" s="12">
        <v>1</v>
      </c>
      <c r="H7" s="13">
        <v>24</v>
      </c>
      <c r="I7" s="31">
        <v>3000</v>
      </c>
      <c r="J7" s="14">
        <v>4309</v>
      </c>
      <c r="K7" s="15">
        <f>L7+4309</f>
        <v>4309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0.18001974544121399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115</v>
      </c>
      <c r="E8" s="53" t="s">
        <v>226</v>
      </c>
      <c r="F8" s="30" t="s">
        <v>144</v>
      </c>
      <c r="G8" s="33">
        <v>2</v>
      </c>
      <c r="H8" s="35">
        <v>24</v>
      </c>
      <c r="I8" s="7">
        <v>500</v>
      </c>
      <c r="J8" s="5">
        <v>644</v>
      </c>
      <c r="K8" s="15">
        <f>L8+644</f>
        <v>644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0.18001974544121399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115</v>
      </c>
      <c r="E9" s="53" t="s">
        <v>169</v>
      </c>
      <c r="F9" s="30" t="s">
        <v>130</v>
      </c>
      <c r="G9" s="12">
        <v>1</v>
      </c>
      <c r="H9" s="13">
        <v>24</v>
      </c>
      <c r="I9" s="7">
        <v>28000</v>
      </c>
      <c r="J9" s="14">
        <v>5228</v>
      </c>
      <c r="K9" s="15">
        <f>L9+4421+1946+4993+5197+5228</f>
        <v>24222</v>
      </c>
      <c r="L9" s="15">
        <v>2437</v>
      </c>
      <c r="M9" s="15">
        <f t="shared" si="0"/>
        <v>2437</v>
      </c>
      <c r="N9" s="15">
        <v>0</v>
      </c>
      <c r="O9" s="58">
        <f t="shared" si="1"/>
        <v>0</v>
      </c>
      <c r="P9" s="39">
        <f t="shared" si="2"/>
        <v>11</v>
      </c>
      <c r="Q9" s="40">
        <f t="shared" si="3"/>
        <v>13</v>
      </c>
      <c r="R9" s="7"/>
      <c r="S9" s="6"/>
      <c r="T9" s="16"/>
      <c r="U9" s="16"/>
      <c r="V9" s="17">
        <v>13</v>
      </c>
      <c r="W9" s="5"/>
      <c r="X9" s="16"/>
      <c r="Y9" s="16"/>
      <c r="Z9" s="16"/>
      <c r="AA9" s="18"/>
      <c r="AB9" s="8">
        <f t="shared" si="4"/>
        <v>0.46614384085692423</v>
      </c>
      <c r="AC9" s="9">
        <f t="shared" si="5"/>
        <v>0.45833333333333331</v>
      </c>
      <c r="AD9" s="10">
        <f t="shared" si="6"/>
        <v>0.21364926039275692</v>
      </c>
      <c r="AE9" s="36">
        <f t="shared" si="7"/>
        <v>0.18001974544121399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131</v>
      </c>
      <c r="E10" s="53" t="s">
        <v>168</v>
      </c>
      <c r="F10" s="30" t="s">
        <v>144</v>
      </c>
      <c r="G10" s="33">
        <v>1</v>
      </c>
      <c r="H10" s="35">
        <v>24</v>
      </c>
      <c r="I10" s="7">
        <v>25000</v>
      </c>
      <c r="J10" s="14">
        <v>3122</v>
      </c>
      <c r="K10" s="15">
        <f>L10+6258+6648+6637+2872+6338+6604+6657</f>
        <v>45136</v>
      </c>
      <c r="L10" s="15">
        <v>3122</v>
      </c>
      <c r="M10" s="15">
        <f t="shared" si="0"/>
        <v>3122</v>
      </c>
      <c r="N10" s="15">
        <v>0</v>
      </c>
      <c r="O10" s="58">
        <f t="shared" si="1"/>
        <v>0</v>
      </c>
      <c r="P10" s="39">
        <f t="shared" si="2"/>
        <v>11</v>
      </c>
      <c r="Q10" s="40">
        <f t="shared" si="3"/>
        <v>13</v>
      </c>
      <c r="R10" s="7"/>
      <c r="S10" s="6"/>
      <c r="T10" s="16"/>
      <c r="U10" s="16"/>
      <c r="V10" s="17">
        <v>13</v>
      </c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0.45833333333333331</v>
      </c>
      <c r="AD10" s="10">
        <f t="shared" si="6"/>
        <v>0.45833333333333331</v>
      </c>
      <c r="AE10" s="36">
        <f t="shared" si="7"/>
        <v>0.18001974544121399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162</v>
      </c>
      <c r="E11" s="53" t="s">
        <v>163</v>
      </c>
      <c r="F11" s="30" t="s">
        <v>164</v>
      </c>
      <c r="G11" s="33">
        <v>16</v>
      </c>
      <c r="H11" s="35">
        <v>24</v>
      </c>
      <c r="I11" s="7">
        <v>100000</v>
      </c>
      <c r="J11" s="14">
        <v>15260</v>
      </c>
      <c r="K11" s="15">
        <f>L11+39816+90622+108136+15260</f>
        <v>253834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0.18001974544121399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134</v>
      </c>
      <c r="F12" s="30" t="s">
        <v>135</v>
      </c>
      <c r="G12" s="12">
        <v>1</v>
      </c>
      <c r="H12" s="13">
        <v>22</v>
      </c>
      <c r="I12" s="31">
        <v>34000</v>
      </c>
      <c r="J12" s="5">
        <v>2615</v>
      </c>
      <c r="K12" s="15">
        <f>L12+5421+4981+4563+3733+2354+5233+5443+5490</f>
        <v>39833</v>
      </c>
      <c r="L12" s="15">
        <v>2615</v>
      </c>
      <c r="M12" s="15">
        <f t="shared" si="0"/>
        <v>2615</v>
      </c>
      <c r="N12" s="15">
        <v>0</v>
      </c>
      <c r="O12" s="58">
        <f t="shared" si="1"/>
        <v>0</v>
      </c>
      <c r="P12" s="39">
        <f t="shared" si="2"/>
        <v>11</v>
      </c>
      <c r="Q12" s="40">
        <f t="shared" si="3"/>
        <v>13</v>
      </c>
      <c r="R12" s="7"/>
      <c r="S12" s="6"/>
      <c r="T12" s="16"/>
      <c r="U12" s="16"/>
      <c r="V12" s="17">
        <v>13</v>
      </c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0.45833333333333331</v>
      </c>
      <c r="AD12" s="10">
        <f t="shared" si="6"/>
        <v>0.45833333333333331</v>
      </c>
      <c r="AE12" s="36">
        <f t="shared" si="7"/>
        <v>0.18001974544121399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199</v>
      </c>
      <c r="E13" s="53" t="s">
        <v>195</v>
      </c>
      <c r="F13" s="30" t="s">
        <v>215</v>
      </c>
      <c r="G13" s="33">
        <v>1</v>
      </c>
      <c r="H13" s="35">
        <v>24</v>
      </c>
      <c r="I13" s="7">
        <v>4000</v>
      </c>
      <c r="J13" s="14">
        <v>5295</v>
      </c>
      <c r="K13" s="15">
        <f>L13+5295</f>
        <v>5295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0.18001974544121399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118</v>
      </c>
      <c r="D14" s="52" t="s">
        <v>115</v>
      </c>
      <c r="E14" s="53" t="s">
        <v>258</v>
      </c>
      <c r="F14" s="30" t="s">
        <v>145</v>
      </c>
      <c r="G14" s="33">
        <v>1</v>
      </c>
      <c r="H14" s="35">
        <v>50</v>
      </c>
      <c r="I14" s="7">
        <v>300</v>
      </c>
      <c r="J14" s="5">
        <v>850</v>
      </c>
      <c r="K14" s="15">
        <f>L14</f>
        <v>850</v>
      </c>
      <c r="L14" s="15">
        <v>850</v>
      </c>
      <c r="M14" s="15">
        <f t="shared" si="0"/>
        <v>850</v>
      </c>
      <c r="N14" s="15">
        <v>0</v>
      </c>
      <c r="O14" s="58">
        <f t="shared" si="1"/>
        <v>0</v>
      </c>
      <c r="P14" s="39">
        <f t="shared" si="2"/>
        <v>8</v>
      </c>
      <c r="Q14" s="40">
        <f t="shared" si="3"/>
        <v>16</v>
      </c>
      <c r="R14" s="7"/>
      <c r="S14" s="6"/>
      <c r="T14" s="16">
        <v>2</v>
      </c>
      <c r="U14" s="16"/>
      <c r="V14" s="17"/>
      <c r="W14" s="5">
        <v>14</v>
      </c>
      <c r="X14" s="16"/>
      <c r="Y14" s="16"/>
      <c r="Z14" s="16"/>
      <c r="AA14" s="18"/>
      <c r="AB14" s="8">
        <f t="shared" si="4"/>
        <v>1</v>
      </c>
      <c r="AC14" s="9">
        <f t="shared" si="5"/>
        <v>0.33333333333333331</v>
      </c>
      <c r="AD14" s="10">
        <f t="shared" si="6"/>
        <v>0.33333333333333331</v>
      </c>
      <c r="AE14" s="36">
        <f t="shared" si="7"/>
        <v>0.18001974544121399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0.18001974544121399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129</v>
      </c>
      <c r="E16" s="53" t="s">
        <v>216</v>
      </c>
      <c r="F16" s="30" t="s">
        <v>217</v>
      </c>
      <c r="G16" s="12">
        <v>1</v>
      </c>
      <c r="H16" s="13">
        <v>24</v>
      </c>
      <c r="I16" s="7">
        <v>2000</v>
      </c>
      <c r="J16" s="14">
        <v>5458</v>
      </c>
      <c r="K16" s="15">
        <f>L16+3722+5458</f>
        <v>9180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0.18001974544121399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/>
      <c r="E17" s="53" t="s">
        <v>250</v>
      </c>
      <c r="F17" s="30" t="s">
        <v>127</v>
      </c>
      <c r="G17" s="12">
        <v>1</v>
      </c>
      <c r="H17" s="13">
        <v>24</v>
      </c>
      <c r="I17" s="7">
        <v>1100</v>
      </c>
      <c r="J17" s="14">
        <v>3052</v>
      </c>
      <c r="K17" s="15">
        <f>L17+3052</f>
        <v>3052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0.18001974544121399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227</v>
      </c>
      <c r="F18" s="30" t="s">
        <v>145</v>
      </c>
      <c r="G18" s="33">
        <v>1</v>
      </c>
      <c r="H18" s="35">
        <v>24</v>
      </c>
      <c r="I18" s="7">
        <v>2100</v>
      </c>
      <c r="J18" s="14">
        <v>731</v>
      </c>
      <c r="K18" s="15">
        <f>L18+4927</f>
        <v>5658</v>
      </c>
      <c r="L18" s="15">
        <v>731</v>
      </c>
      <c r="M18" s="15">
        <f t="shared" si="0"/>
        <v>731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6">
        <f t="shared" si="7"/>
        <v>0.18001974544121399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129</v>
      </c>
      <c r="E19" s="53" t="s">
        <v>170</v>
      </c>
      <c r="F19" s="30" t="s">
        <v>156</v>
      </c>
      <c r="G19" s="33">
        <v>1</v>
      </c>
      <c r="H19" s="35">
        <v>24</v>
      </c>
      <c r="I19" s="7">
        <v>28000</v>
      </c>
      <c r="J19" s="14">
        <v>2256</v>
      </c>
      <c r="K19" s="15">
        <f>L19+4498+2017+4516+4728+4695</f>
        <v>22710</v>
      </c>
      <c r="L19" s="15">
        <v>2256</v>
      </c>
      <c r="M19" s="15">
        <f t="shared" si="0"/>
        <v>2256</v>
      </c>
      <c r="N19" s="15">
        <v>0</v>
      </c>
      <c r="O19" s="58">
        <f t="shared" si="1"/>
        <v>0</v>
      </c>
      <c r="P19" s="39">
        <f t="shared" si="2"/>
        <v>11</v>
      </c>
      <c r="Q19" s="40">
        <f t="shared" si="3"/>
        <v>13</v>
      </c>
      <c r="R19" s="7"/>
      <c r="S19" s="6"/>
      <c r="T19" s="16"/>
      <c r="U19" s="16"/>
      <c r="V19" s="17">
        <v>13</v>
      </c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0.45833333333333331</v>
      </c>
      <c r="AD19" s="10">
        <f t="shared" si="6"/>
        <v>0.45833333333333331</v>
      </c>
      <c r="AE19" s="36">
        <f t="shared" si="7"/>
        <v>0.18001974544121399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210</v>
      </c>
      <c r="D20" s="52" t="s">
        <v>253</v>
      </c>
      <c r="E20" s="53" t="s">
        <v>254</v>
      </c>
      <c r="F20" s="30" t="s">
        <v>145</v>
      </c>
      <c r="G20" s="12">
        <v>1</v>
      </c>
      <c r="H20" s="13">
        <v>24</v>
      </c>
      <c r="I20" s="7">
        <v>1650</v>
      </c>
      <c r="J20" s="14">
        <v>1509</v>
      </c>
      <c r="K20" s="15">
        <f>L20</f>
        <v>1509</v>
      </c>
      <c r="L20" s="15">
        <v>1509</v>
      </c>
      <c r="M20" s="15">
        <f t="shared" si="0"/>
        <v>1509</v>
      </c>
      <c r="N20" s="15">
        <v>0</v>
      </c>
      <c r="O20" s="58">
        <f t="shared" si="1"/>
        <v>0</v>
      </c>
      <c r="P20" s="39">
        <f t="shared" si="2"/>
        <v>8</v>
      </c>
      <c r="Q20" s="40">
        <f t="shared" si="3"/>
        <v>16</v>
      </c>
      <c r="R20" s="7"/>
      <c r="S20" s="6">
        <v>3</v>
      </c>
      <c r="T20" s="16"/>
      <c r="U20" s="16"/>
      <c r="V20" s="17">
        <v>13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0.33333333333333331</v>
      </c>
      <c r="AD20" s="10">
        <f t="shared" si="6"/>
        <v>0.33333333333333331</v>
      </c>
      <c r="AE20" s="36">
        <f t="shared" si="7"/>
        <v>0.18001974544121399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31132</v>
      </c>
      <c r="K21" s="15">
        <f>L21+62008+65280+66156</f>
        <v>224576</v>
      </c>
      <c r="L21" s="15">
        <f>7783*4</f>
        <v>31132</v>
      </c>
      <c r="M21" s="15">
        <f t="shared" si="0"/>
        <v>31132</v>
      </c>
      <c r="N21" s="15">
        <v>0</v>
      </c>
      <c r="O21" s="58">
        <f t="shared" si="1"/>
        <v>0</v>
      </c>
      <c r="P21" s="39">
        <f t="shared" si="2"/>
        <v>11</v>
      </c>
      <c r="Q21" s="40">
        <f t="shared" si="3"/>
        <v>13</v>
      </c>
      <c r="R21" s="7"/>
      <c r="S21" s="6"/>
      <c r="T21" s="16"/>
      <c r="U21" s="16"/>
      <c r="V21" s="17">
        <v>13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0.45833333333333331</v>
      </c>
      <c r="AD21" s="10">
        <f t="shared" si="6"/>
        <v>0.45833333333333331</v>
      </c>
      <c r="AE21" s="36">
        <f t="shared" si="7"/>
        <v>0.18001974544121399</v>
      </c>
      <c r="AF21" s="84">
        <f t="shared" si="8"/>
        <v>16</v>
      </c>
    </row>
    <row r="22" spans="1:32" ht="31.5" customHeight="1" thickBot="1">
      <c r="A22" s="443" t="s">
        <v>34</v>
      </c>
      <c r="B22" s="444"/>
      <c r="C22" s="444"/>
      <c r="D22" s="444"/>
      <c r="E22" s="444"/>
      <c r="F22" s="444"/>
      <c r="G22" s="444"/>
      <c r="H22" s="445"/>
      <c r="I22" s="22">
        <f t="shared" ref="I22:N22" si="9">SUM(I6:I21)</f>
        <v>1242650</v>
      </c>
      <c r="J22" s="19">
        <f t="shared" si="9"/>
        <v>95114</v>
      </c>
      <c r="K22" s="20">
        <f t="shared" si="9"/>
        <v>654461</v>
      </c>
      <c r="L22" s="21">
        <f t="shared" si="9"/>
        <v>44652</v>
      </c>
      <c r="M22" s="20">
        <f t="shared" si="9"/>
        <v>44652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75</v>
      </c>
      <c r="Q22" s="43">
        <f t="shared" si="10"/>
        <v>309</v>
      </c>
      <c r="R22" s="23">
        <f t="shared" si="10"/>
        <v>24</v>
      </c>
      <c r="S22" s="24">
        <f t="shared" si="10"/>
        <v>3</v>
      </c>
      <c r="T22" s="24">
        <f t="shared" si="10"/>
        <v>2</v>
      </c>
      <c r="U22" s="24">
        <f t="shared" si="10"/>
        <v>0</v>
      </c>
      <c r="V22" s="25">
        <f t="shared" si="10"/>
        <v>78</v>
      </c>
      <c r="W22" s="26">
        <f t="shared" si="10"/>
        <v>130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72</v>
      </c>
      <c r="AB22" s="28">
        <f>AVERAGE(AB6:AB21)</f>
        <v>0.46663399005355777</v>
      </c>
      <c r="AC22" s="4">
        <f>AVERAGE(AC6:AC21)</f>
        <v>0.19531250000000003</v>
      </c>
      <c r="AD22" s="4">
        <f>AVERAGE(AD6:AD21)</f>
        <v>0.18001974544121399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6" t="s">
        <v>45</v>
      </c>
      <c r="B49" s="446"/>
      <c r="C49" s="446"/>
      <c r="D49" s="446"/>
      <c r="E49" s="446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7" t="s">
        <v>267</v>
      </c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9"/>
      <c r="N50" s="450" t="s">
        <v>268</v>
      </c>
      <c r="O50" s="451"/>
      <c r="P50" s="451"/>
      <c r="Q50" s="451"/>
      <c r="R50" s="451"/>
      <c r="S50" s="451"/>
      <c r="T50" s="451"/>
      <c r="U50" s="451"/>
      <c r="V50" s="451"/>
      <c r="W50" s="451"/>
      <c r="X50" s="451"/>
      <c r="Y50" s="451"/>
      <c r="Z50" s="451"/>
      <c r="AA50" s="451"/>
      <c r="AB50" s="451"/>
      <c r="AC50" s="451"/>
      <c r="AD50" s="452"/>
    </row>
    <row r="51" spans="1:32" ht="27" customHeight="1">
      <c r="A51" s="453" t="s">
        <v>2</v>
      </c>
      <c r="B51" s="454"/>
      <c r="C51" s="172" t="s">
        <v>46</v>
      </c>
      <c r="D51" s="172" t="s">
        <v>47</v>
      </c>
      <c r="E51" s="172" t="s">
        <v>107</v>
      </c>
      <c r="F51" s="455" t="s">
        <v>106</v>
      </c>
      <c r="G51" s="456"/>
      <c r="H51" s="456"/>
      <c r="I51" s="456"/>
      <c r="J51" s="456"/>
      <c r="K51" s="456"/>
      <c r="L51" s="456"/>
      <c r="M51" s="457"/>
      <c r="N51" s="67" t="s">
        <v>110</v>
      </c>
      <c r="O51" s="172" t="s">
        <v>46</v>
      </c>
      <c r="P51" s="455" t="s">
        <v>47</v>
      </c>
      <c r="Q51" s="458"/>
      <c r="R51" s="455" t="s">
        <v>38</v>
      </c>
      <c r="S51" s="456"/>
      <c r="T51" s="456"/>
      <c r="U51" s="458"/>
      <c r="V51" s="455" t="s">
        <v>48</v>
      </c>
      <c r="W51" s="456"/>
      <c r="X51" s="456"/>
      <c r="Y51" s="456"/>
      <c r="Z51" s="456"/>
      <c r="AA51" s="456"/>
      <c r="AB51" s="456"/>
      <c r="AC51" s="456"/>
      <c r="AD51" s="457"/>
    </row>
    <row r="52" spans="1:32" ht="27" customHeight="1">
      <c r="A52" s="469" t="s">
        <v>118</v>
      </c>
      <c r="B52" s="470"/>
      <c r="C52" s="168" t="s">
        <v>257</v>
      </c>
      <c r="D52" s="168" t="s">
        <v>115</v>
      </c>
      <c r="E52" s="168" t="s">
        <v>258</v>
      </c>
      <c r="F52" s="471" t="s">
        <v>132</v>
      </c>
      <c r="G52" s="472"/>
      <c r="H52" s="472"/>
      <c r="I52" s="472"/>
      <c r="J52" s="472"/>
      <c r="K52" s="472"/>
      <c r="L52" s="472"/>
      <c r="M52" s="473"/>
      <c r="N52" s="171" t="s">
        <v>112</v>
      </c>
      <c r="O52" s="165" t="s">
        <v>147</v>
      </c>
      <c r="P52" s="474" t="s">
        <v>269</v>
      </c>
      <c r="Q52" s="475"/>
      <c r="R52" s="474" t="s">
        <v>270</v>
      </c>
      <c r="S52" s="476"/>
      <c r="T52" s="476"/>
      <c r="U52" s="475"/>
      <c r="V52" s="477" t="s">
        <v>132</v>
      </c>
      <c r="W52" s="477"/>
      <c r="X52" s="477"/>
      <c r="Y52" s="477"/>
      <c r="Z52" s="477"/>
      <c r="AA52" s="477"/>
      <c r="AB52" s="477"/>
      <c r="AC52" s="477"/>
      <c r="AD52" s="478"/>
    </row>
    <row r="53" spans="1:32" ht="27" customHeight="1">
      <c r="A53" s="469" t="s">
        <v>210</v>
      </c>
      <c r="B53" s="470"/>
      <c r="C53" s="167" t="s">
        <v>141</v>
      </c>
      <c r="D53" s="167" t="s">
        <v>253</v>
      </c>
      <c r="E53" s="168" t="s">
        <v>254</v>
      </c>
      <c r="F53" s="471" t="s">
        <v>124</v>
      </c>
      <c r="G53" s="472"/>
      <c r="H53" s="472"/>
      <c r="I53" s="472"/>
      <c r="J53" s="472"/>
      <c r="K53" s="472"/>
      <c r="L53" s="472"/>
      <c r="M53" s="473"/>
      <c r="N53" s="171" t="s">
        <v>112</v>
      </c>
      <c r="O53" s="165" t="s">
        <v>198</v>
      </c>
      <c r="P53" s="474" t="s">
        <v>184</v>
      </c>
      <c r="Q53" s="475"/>
      <c r="R53" s="474" t="s">
        <v>271</v>
      </c>
      <c r="S53" s="476"/>
      <c r="T53" s="476"/>
      <c r="U53" s="475"/>
      <c r="V53" s="477" t="s">
        <v>132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/>
      <c r="B54" s="470"/>
      <c r="C54" s="168"/>
      <c r="D54" s="168"/>
      <c r="E54" s="168"/>
      <c r="F54" s="471"/>
      <c r="G54" s="472"/>
      <c r="H54" s="472"/>
      <c r="I54" s="472"/>
      <c r="J54" s="472"/>
      <c r="K54" s="472"/>
      <c r="L54" s="472"/>
      <c r="M54" s="473"/>
      <c r="N54" s="171" t="s">
        <v>273</v>
      </c>
      <c r="O54" s="165" t="s">
        <v>191</v>
      </c>
      <c r="P54" s="474" t="s">
        <v>115</v>
      </c>
      <c r="Q54" s="475"/>
      <c r="R54" s="474" t="s">
        <v>272</v>
      </c>
      <c r="S54" s="476"/>
      <c r="T54" s="476"/>
      <c r="U54" s="475"/>
      <c r="V54" s="477" t="s">
        <v>132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69"/>
      <c r="B55" s="470"/>
      <c r="C55" s="168"/>
      <c r="D55" s="168"/>
      <c r="E55" s="168"/>
      <c r="F55" s="471"/>
      <c r="G55" s="472"/>
      <c r="H55" s="472"/>
      <c r="I55" s="472"/>
      <c r="J55" s="472"/>
      <c r="K55" s="472"/>
      <c r="L55" s="472"/>
      <c r="M55" s="473"/>
      <c r="N55" s="171"/>
      <c r="O55" s="165"/>
      <c r="P55" s="474"/>
      <c r="Q55" s="475"/>
      <c r="R55" s="474"/>
      <c r="S55" s="476"/>
      <c r="T55" s="476"/>
      <c r="U55" s="475"/>
      <c r="V55" s="477"/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/>
      <c r="B56" s="470"/>
      <c r="C56" s="168"/>
      <c r="D56" s="168"/>
      <c r="E56" s="168"/>
      <c r="F56" s="471"/>
      <c r="G56" s="472"/>
      <c r="H56" s="472"/>
      <c r="I56" s="472"/>
      <c r="J56" s="472"/>
      <c r="K56" s="472"/>
      <c r="L56" s="472"/>
      <c r="M56" s="473"/>
      <c r="N56" s="171"/>
      <c r="O56" s="165"/>
      <c r="P56" s="474"/>
      <c r="Q56" s="475"/>
      <c r="R56" s="474"/>
      <c r="S56" s="476"/>
      <c r="T56" s="476"/>
      <c r="U56" s="475"/>
      <c r="V56" s="477"/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/>
      <c r="B57" s="470"/>
      <c r="C57" s="168"/>
      <c r="D57" s="168"/>
      <c r="E57" s="168"/>
      <c r="F57" s="471"/>
      <c r="G57" s="472"/>
      <c r="H57" s="472"/>
      <c r="I57" s="472"/>
      <c r="J57" s="472"/>
      <c r="K57" s="472"/>
      <c r="L57" s="472"/>
      <c r="M57" s="473"/>
      <c r="N57" s="171"/>
      <c r="O57" s="165"/>
      <c r="P57" s="474"/>
      <c r="Q57" s="475"/>
      <c r="R57" s="474"/>
      <c r="S57" s="476"/>
      <c r="T57" s="476"/>
      <c r="U57" s="475"/>
      <c r="V57" s="477"/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/>
      <c r="B58" s="470"/>
      <c r="C58" s="168"/>
      <c r="D58" s="168"/>
      <c r="E58" s="168"/>
      <c r="F58" s="471"/>
      <c r="G58" s="472"/>
      <c r="H58" s="472"/>
      <c r="I58" s="472"/>
      <c r="J58" s="472"/>
      <c r="K58" s="472"/>
      <c r="L58" s="472"/>
      <c r="M58" s="473"/>
      <c r="N58" s="171"/>
      <c r="O58" s="165"/>
      <c r="P58" s="474"/>
      <c r="Q58" s="475"/>
      <c r="R58" s="474"/>
      <c r="S58" s="476"/>
      <c r="T58" s="476"/>
      <c r="U58" s="475"/>
      <c r="V58" s="477"/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/>
      <c r="B59" s="488"/>
      <c r="C59" s="167"/>
      <c r="D59" s="167"/>
      <c r="E59" s="168"/>
      <c r="F59" s="471"/>
      <c r="G59" s="472"/>
      <c r="H59" s="472"/>
      <c r="I59" s="472"/>
      <c r="J59" s="472"/>
      <c r="K59" s="472"/>
      <c r="L59" s="472"/>
      <c r="M59" s="473"/>
      <c r="N59" s="171"/>
      <c r="O59" s="165"/>
      <c r="P59" s="474"/>
      <c r="Q59" s="475"/>
      <c r="R59" s="470"/>
      <c r="S59" s="470"/>
      <c r="T59" s="470"/>
      <c r="U59" s="470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/>
      <c r="B60" s="488"/>
      <c r="C60" s="167"/>
      <c r="D60" s="167"/>
      <c r="E60" s="168"/>
      <c r="F60" s="471"/>
      <c r="G60" s="472"/>
      <c r="H60" s="472"/>
      <c r="I60" s="472"/>
      <c r="J60" s="472"/>
      <c r="K60" s="472"/>
      <c r="L60" s="472"/>
      <c r="M60" s="473"/>
      <c r="N60" s="171"/>
      <c r="O60" s="165"/>
      <c r="P60" s="470"/>
      <c r="Q60" s="470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  <c r="AF60" s="84">
        <f>8*3000</f>
        <v>24000</v>
      </c>
    </row>
    <row r="61" spans="1:32" ht="27" customHeight="1" thickBot="1">
      <c r="A61" s="479"/>
      <c r="B61" s="480"/>
      <c r="C61" s="169"/>
      <c r="D61" s="170"/>
      <c r="E61" s="169"/>
      <c r="F61" s="481"/>
      <c r="G61" s="482"/>
      <c r="H61" s="482"/>
      <c r="I61" s="482"/>
      <c r="J61" s="482"/>
      <c r="K61" s="482"/>
      <c r="L61" s="482"/>
      <c r="M61" s="483"/>
      <c r="N61" s="111"/>
      <c r="O61" s="103"/>
      <c r="P61" s="484"/>
      <c r="Q61" s="484"/>
      <c r="R61" s="484"/>
      <c r="S61" s="484"/>
      <c r="T61" s="484"/>
      <c r="U61" s="484"/>
      <c r="V61" s="485"/>
      <c r="W61" s="485"/>
      <c r="X61" s="485"/>
      <c r="Y61" s="485"/>
      <c r="Z61" s="485"/>
      <c r="AA61" s="485"/>
      <c r="AB61" s="485"/>
      <c r="AC61" s="485"/>
      <c r="AD61" s="486"/>
      <c r="AF61" s="84">
        <f>16*3000</f>
        <v>48000</v>
      </c>
    </row>
    <row r="62" spans="1:32" ht="27.75" thickBot="1">
      <c r="A62" s="489" t="s">
        <v>274</v>
      </c>
      <c r="B62" s="489"/>
      <c r="C62" s="489"/>
      <c r="D62" s="489"/>
      <c r="E62" s="48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0" t="s">
        <v>111</v>
      </c>
      <c r="B63" s="491"/>
      <c r="C63" s="166" t="s">
        <v>2</v>
      </c>
      <c r="D63" s="166" t="s">
        <v>37</v>
      </c>
      <c r="E63" s="166" t="s">
        <v>3</v>
      </c>
      <c r="F63" s="491" t="s">
        <v>109</v>
      </c>
      <c r="G63" s="491"/>
      <c r="H63" s="491"/>
      <c r="I63" s="491"/>
      <c r="J63" s="491"/>
      <c r="K63" s="491" t="s">
        <v>39</v>
      </c>
      <c r="L63" s="491"/>
      <c r="M63" s="166" t="s">
        <v>40</v>
      </c>
      <c r="N63" s="491" t="s">
        <v>41</v>
      </c>
      <c r="O63" s="491"/>
      <c r="P63" s="492" t="s">
        <v>42</v>
      </c>
      <c r="Q63" s="493"/>
      <c r="R63" s="492" t="s">
        <v>43</v>
      </c>
      <c r="S63" s="494"/>
      <c r="T63" s="494"/>
      <c r="U63" s="494"/>
      <c r="V63" s="494"/>
      <c r="W63" s="494"/>
      <c r="X63" s="494"/>
      <c r="Y63" s="494"/>
      <c r="Z63" s="494"/>
      <c r="AA63" s="493"/>
      <c r="AB63" s="491" t="s">
        <v>44</v>
      </c>
      <c r="AC63" s="491"/>
      <c r="AD63" s="495"/>
      <c r="AF63" s="84">
        <f>SUM(AF60:AF62)</f>
        <v>96000</v>
      </c>
    </row>
    <row r="64" spans="1:32" ht="25.5" customHeight="1">
      <c r="A64" s="496">
        <v>1</v>
      </c>
      <c r="B64" s="497"/>
      <c r="C64" s="104" t="s">
        <v>118</v>
      </c>
      <c r="D64" s="161"/>
      <c r="E64" s="164" t="s">
        <v>142</v>
      </c>
      <c r="F64" s="498" t="s">
        <v>159</v>
      </c>
      <c r="G64" s="499"/>
      <c r="H64" s="499"/>
      <c r="I64" s="499"/>
      <c r="J64" s="500"/>
      <c r="K64" s="501" t="s">
        <v>275</v>
      </c>
      <c r="L64" s="501"/>
      <c r="M64" s="51" t="s">
        <v>143</v>
      </c>
      <c r="N64" s="502" t="s">
        <v>133</v>
      </c>
      <c r="O64" s="502"/>
      <c r="P64" s="503">
        <v>50</v>
      </c>
      <c r="Q64" s="503"/>
      <c r="R64" s="477"/>
      <c r="S64" s="477"/>
      <c r="T64" s="477"/>
      <c r="U64" s="477"/>
      <c r="V64" s="477"/>
      <c r="W64" s="477"/>
      <c r="X64" s="477"/>
      <c r="Y64" s="477"/>
      <c r="Z64" s="477"/>
      <c r="AA64" s="477"/>
      <c r="AB64" s="501"/>
      <c r="AC64" s="501"/>
      <c r="AD64" s="504"/>
      <c r="AF64" s="50"/>
    </row>
    <row r="65" spans="1:32" ht="25.5" customHeight="1">
      <c r="A65" s="496">
        <v>2</v>
      </c>
      <c r="B65" s="497"/>
      <c r="C65" s="104" t="s">
        <v>120</v>
      </c>
      <c r="D65" s="161"/>
      <c r="E65" s="164" t="s">
        <v>115</v>
      </c>
      <c r="F65" s="498" t="s">
        <v>261</v>
      </c>
      <c r="G65" s="499"/>
      <c r="H65" s="499"/>
      <c r="I65" s="499"/>
      <c r="J65" s="500"/>
      <c r="K65" s="501" t="s">
        <v>262</v>
      </c>
      <c r="L65" s="501"/>
      <c r="M65" s="51" t="s">
        <v>143</v>
      </c>
      <c r="N65" s="502" t="s">
        <v>139</v>
      </c>
      <c r="O65" s="502"/>
      <c r="P65" s="503">
        <v>100</v>
      </c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3</v>
      </c>
      <c r="B66" s="497"/>
      <c r="C66" s="104" t="s">
        <v>118</v>
      </c>
      <c r="D66" s="161"/>
      <c r="E66" s="164" t="s">
        <v>115</v>
      </c>
      <c r="F66" s="498" t="s">
        <v>276</v>
      </c>
      <c r="G66" s="499"/>
      <c r="H66" s="499"/>
      <c r="I66" s="499"/>
      <c r="J66" s="500"/>
      <c r="K66" s="501" t="s">
        <v>130</v>
      </c>
      <c r="L66" s="501"/>
      <c r="M66" s="51" t="s">
        <v>143</v>
      </c>
      <c r="N66" s="502" t="s">
        <v>222</v>
      </c>
      <c r="O66" s="502"/>
      <c r="P66" s="503">
        <v>100</v>
      </c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4</v>
      </c>
      <c r="B67" s="497"/>
      <c r="C67" s="104"/>
      <c r="D67" s="161"/>
      <c r="E67" s="164"/>
      <c r="F67" s="498"/>
      <c r="G67" s="499"/>
      <c r="H67" s="499"/>
      <c r="I67" s="499"/>
      <c r="J67" s="500"/>
      <c r="K67" s="501"/>
      <c r="L67" s="501"/>
      <c r="M67" s="51"/>
      <c r="N67" s="502"/>
      <c r="O67" s="502"/>
      <c r="P67" s="503"/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5</v>
      </c>
      <c r="B68" s="497"/>
      <c r="C68" s="104"/>
      <c r="D68" s="161"/>
      <c r="E68" s="164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6</v>
      </c>
      <c r="B69" s="497"/>
      <c r="C69" s="104"/>
      <c r="D69" s="161"/>
      <c r="E69" s="164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7</v>
      </c>
      <c r="B70" s="497"/>
      <c r="C70" s="104"/>
      <c r="D70" s="161"/>
      <c r="E70" s="164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8</v>
      </c>
      <c r="B71" s="497"/>
      <c r="C71" s="104"/>
      <c r="D71" s="161"/>
      <c r="E71" s="164"/>
      <c r="F71" s="505"/>
      <c r="G71" s="501"/>
      <c r="H71" s="501"/>
      <c r="I71" s="501"/>
      <c r="J71" s="501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9</v>
      </c>
      <c r="B72" s="497"/>
      <c r="C72" s="104"/>
      <c r="D72" s="161"/>
      <c r="E72" s="164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10</v>
      </c>
      <c r="B73" s="497"/>
      <c r="C73" s="104"/>
      <c r="D73" s="161"/>
      <c r="E73" s="164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6.25" customHeight="1" thickBot="1">
      <c r="A74" s="506" t="s">
        <v>277</v>
      </c>
      <c r="B74" s="506"/>
      <c r="C74" s="506"/>
      <c r="D74" s="506"/>
      <c r="E74" s="50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7" t="s">
        <v>126</v>
      </c>
      <c r="B75" s="508"/>
      <c r="C75" s="163" t="s">
        <v>2</v>
      </c>
      <c r="D75" s="163" t="s">
        <v>37</v>
      </c>
      <c r="E75" s="163" t="s">
        <v>125</v>
      </c>
      <c r="F75" s="508" t="s">
        <v>38</v>
      </c>
      <c r="G75" s="508"/>
      <c r="H75" s="508"/>
      <c r="I75" s="508"/>
      <c r="J75" s="508"/>
      <c r="K75" s="509" t="s">
        <v>58</v>
      </c>
      <c r="L75" s="510"/>
      <c r="M75" s="510"/>
      <c r="N75" s="510"/>
      <c r="O75" s="510"/>
      <c r="P75" s="510"/>
      <c r="Q75" s="510"/>
      <c r="R75" s="510"/>
      <c r="S75" s="511"/>
      <c r="T75" s="508" t="s">
        <v>49</v>
      </c>
      <c r="U75" s="508"/>
      <c r="V75" s="509" t="s">
        <v>50</v>
      </c>
      <c r="W75" s="511"/>
      <c r="X75" s="510" t="s">
        <v>51</v>
      </c>
      <c r="Y75" s="510"/>
      <c r="Z75" s="510"/>
      <c r="AA75" s="510"/>
      <c r="AB75" s="510"/>
      <c r="AC75" s="510"/>
      <c r="AD75" s="512"/>
      <c r="AF75" s="50"/>
    </row>
    <row r="76" spans="1:32" ht="33.75" customHeight="1">
      <c r="A76" s="521">
        <v>1</v>
      </c>
      <c r="B76" s="522"/>
      <c r="C76" s="162" t="s">
        <v>112</v>
      </c>
      <c r="D76" s="162"/>
      <c r="E76" s="65" t="s">
        <v>117</v>
      </c>
      <c r="F76" s="523" t="s">
        <v>116</v>
      </c>
      <c r="G76" s="524"/>
      <c r="H76" s="524"/>
      <c r="I76" s="524"/>
      <c r="J76" s="525"/>
      <c r="K76" s="526" t="s">
        <v>119</v>
      </c>
      <c r="L76" s="527"/>
      <c r="M76" s="527"/>
      <c r="N76" s="527"/>
      <c r="O76" s="527"/>
      <c r="P76" s="527"/>
      <c r="Q76" s="527"/>
      <c r="R76" s="527"/>
      <c r="S76" s="528"/>
      <c r="T76" s="529">
        <v>44118</v>
      </c>
      <c r="U76" s="530"/>
      <c r="V76" s="531"/>
      <c r="W76" s="531"/>
      <c r="X76" s="532"/>
      <c r="Y76" s="532"/>
      <c r="Z76" s="532"/>
      <c r="AA76" s="532"/>
      <c r="AB76" s="532"/>
      <c r="AC76" s="532"/>
      <c r="AD76" s="533"/>
      <c r="AF76" s="50"/>
    </row>
    <row r="77" spans="1:32" ht="30" customHeight="1">
      <c r="A77" s="513">
        <f>A76+1</f>
        <v>2</v>
      </c>
      <c r="B77" s="514"/>
      <c r="C77" s="161"/>
      <c r="D77" s="161"/>
      <c r="E77" s="32"/>
      <c r="F77" s="514"/>
      <c r="G77" s="514"/>
      <c r="H77" s="514"/>
      <c r="I77" s="514"/>
      <c r="J77" s="514"/>
      <c r="K77" s="515"/>
      <c r="L77" s="516"/>
      <c r="M77" s="516"/>
      <c r="N77" s="516"/>
      <c r="O77" s="516"/>
      <c r="P77" s="516"/>
      <c r="Q77" s="516"/>
      <c r="R77" s="516"/>
      <c r="S77" s="517"/>
      <c r="T77" s="518"/>
      <c r="U77" s="518"/>
      <c r="V77" s="518"/>
      <c r="W77" s="518"/>
      <c r="X77" s="519"/>
      <c r="Y77" s="519"/>
      <c r="Z77" s="519"/>
      <c r="AA77" s="519"/>
      <c r="AB77" s="519"/>
      <c r="AC77" s="519"/>
      <c r="AD77" s="520"/>
      <c r="AF77" s="50"/>
    </row>
    <row r="78" spans="1:32" ht="30" customHeight="1">
      <c r="A78" s="513">
        <f t="shared" ref="A78:A82" si="11">A77+1</f>
        <v>3</v>
      </c>
      <c r="B78" s="514"/>
      <c r="C78" s="161"/>
      <c r="D78" s="161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si="11"/>
        <v>4</v>
      </c>
      <c r="B79" s="514"/>
      <c r="C79" s="161"/>
      <c r="D79" s="161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1"/>
        <v>5</v>
      </c>
      <c r="B80" s="514"/>
      <c r="C80" s="161"/>
      <c r="D80" s="161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1"/>
        <v>6</v>
      </c>
      <c r="B81" s="514"/>
      <c r="C81" s="161"/>
      <c r="D81" s="161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1"/>
        <v>7</v>
      </c>
      <c r="B82" s="514"/>
      <c r="C82" s="161"/>
      <c r="D82" s="161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6" thickBot="1">
      <c r="A83" s="506" t="s">
        <v>278</v>
      </c>
      <c r="B83" s="506"/>
      <c r="C83" s="506"/>
      <c r="D83" s="506"/>
      <c r="E83" s="50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7" t="s">
        <v>111</v>
      </c>
      <c r="B84" s="508"/>
      <c r="C84" s="534" t="s">
        <v>52</v>
      </c>
      <c r="D84" s="534"/>
      <c r="E84" s="534" t="s">
        <v>53</v>
      </c>
      <c r="F84" s="534"/>
      <c r="G84" s="534"/>
      <c r="H84" s="534"/>
      <c r="I84" s="534"/>
      <c r="J84" s="534"/>
      <c r="K84" s="534" t="s">
        <v>54</v>
      </c>
      <c r="L84" s="534"/>
      <c r="M84" s="534"/>
      <c r="N84" s="534"/>
      <c r="O84" s="534"/>
      <c r="P84" s="534"/>
      <c r="Q84" s="534"/>
      <c r="R84" s="534"/>
      <c r="S84" s="534"/>
      <c r="T84" s="534" t="s">
        <v>55</v>
      </c>
      <c r="U84" s="534"/>
      <c r="V84" s="534" t="s">
        <v>56</v>
      </c>
      <c r="W84" s="534"/>
      <c r="X84" s="534"/>
      <c r="Y84" s="534" t="s">
        <v>51</v>
      </c>
      <c r="Z84" s="534"/>
      <c r="AA84" s="534"/>
      <c r="AB84" s="534"/>
      <c r="AC84" s="534"/>
      <c r="AD84" s="535"/>
      <c r="AF84" s="50"/>
    </row>
    <row r="85" spans="1:32" ht="30.75" customHeight="1">
      <c r="A85" s="521">
        <v>1</v>
      </c>
      <c r="B85" s="522"/>
      <c r="C85" s="536">
        <v>9</v>
      </c>
      <c r="D85" s="536"/>
      <c r="E85" s="536" t="s">
        <v>136</v>
      </c>
      <c r="F85" s="536"/>
      <c r="G85" s="536"/>
      <c r="H85" s="536"/>
      <c r="I85" s="536"/>
      <c r="J85" s="536"/>
      <c r="K85" s="536" t="s">
        <v>161</v>
      </c>
      <c r="L85" s="536"/>
      <c r="M85" s="536"/>
      <c r="N85" s="536"/>
      <c r="O85" s="536"/>
      <c r="P85" s="536"/>
      <c r="Q85" s="536"/>
      <c r="R85" s="536"/>
      <c r="S85" s="536"/>
      <c r="T85" s="536" t="s">
        <v>137</v>
      </c>
      <c r="U85" s="536"/>
      <c r="V85" s="537" t="s">
        <v>152</v>
      </c>
      <c r="W85" s="537"/>
      <c r="X85" s="537"/>
      <c r="Y85" s="538"/>
      <c r="Z85" s="538"/>
      <c r="AA85" s="538"/>
      <c r="AB85" s="538"/>
      <c r="AC85" s="538"/>
      <c r="AD85" s="539"/>
      <c r="AF85" s="50"/>
    </row>
    <row r="86" spans="1:32" ht="30.75" customHeight="1">
      <c r="A86" s="513">
        <v>2</v>
      </c>
      <c r="B86" s="514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  <c r="P86" s="547"/>
      <c r="Q86" s="547"/>
      <c r="R86" s="547"/>
      <c r="S86" s="547"/>
      <c r="T86" s="548"/>
      <c r="U86" s="548"/>
      <c r="V86" s="549"/>
      <c r="W86" s="549"/>
      <c r="X86" s="549"/>
      <c r="Y86" s="540"/>
      <c r="Z86" s="540"/>
      <c r="AA86" s="540"/>
      <c r="AB86" s="540"/>
      <c r="AC86" s="540"/>
      <c r="AD86" s="541"/>
      <c r="AF86" s="50"/>
    </row>
    <row r="87" spans="1:32" ht="30.75" customHeight="1" thickBot="1">
      <c r="A87" s="542">
        <v>3</v>
      </c>
      <c r="B87" s="543"/>
      <c r="C87" s="544"/>
      <c r="D87" s="544"/>
      <c r="E87" s="544"/>
      <c r="F87" s="544"/>
      <c r="G87" s="544"/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5"/>
      <c r="Z87" s="545"/>
      <c r="AA87" s="545"/>
      <c r="AB87" s="545"/>
      <c r="AC87" s="545"/>
      <c r="AD87" s="546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C9A6-9E7F-45C2-B59B-148AAB0A306A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279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174" t="s">
        <v>17</v>
      </c>
      <c r="L5" s="174" t="s">
        <v>18</v>
      </c>
      <c r="M5" s="174" t="s">
        <v>19</v>
      </c>
      <c r="N5" s="17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208</v>
      </c>
      <c r="E6" s="53" t="s">
        <v>270</v>
      </c>
      <c r="F6" s="30" t="s">
        <v>249</v>
      </c>
      <c r="G6" s="12">
        <v>1</v>
      </c>
      <c r="H6" s="13">
        <v>24</v>
      </c>
      <c r="I6" s="31">
        <v>5000</v>
      </c>
      <c r="J6" s="14">
        <v>5268</v>
      </c>
      <c r="K6" s="15">
        <f>L6</f>
        <v>5268</v>
      </c>
      <c r="L6" s="15">
        <f>2782+2486</f>
        <v>5268</v>
      </c>
      <c r="M6" s="15">
        <f t="shared" ref="M6:M21" si="0">L6-N6</f>
        <v>5268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0.61458333333333326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280</v>
      </c>
      <c r="E7" s="53" t="s">
        <v>281</v>
      </c>
      <c r="F7" s="30" t="s">
        <v>157</v>
      </c>
      <c r="G7" s="12">
        <v>4</v>
      </c>
      <c r="H7" s="13">
        <v>24</v>
      </c>
      <c r="I7" s="31">
        <v>6000</v>
      </c>
      <c r="J7" s="14">
        <v>9238</v>
      </c>
      <c r="K7" s="15">
        <f>L7</f>
        <v>9238</v>
      </c>
      <c r="L7" s="15">
        <f>2237*4+290</f>
        <v>9238</v>
      </c>
      <c r="M7" s="15">
        <f t="shared" si="0"/>
        <v>9238</v>
      </c>
      <c r="N7" s="15">
        <v>0</v>
      </c>
      <c r="O7" s="58">
        <f t="shared" si="1"/>
        <v>0</v>
      </c>
      <c r="P7" s="39">
        <f t="shared" si="2"/>
        <v>14</v>
      </c>
      <c r="Q7" s="40">
        <f t="shared" si="3"/>
        <v>10</v>
      </c>
      <c r="R7" s="7"/>
      <c r="S7" s="6"/>
      <c r="T7" s="16"/>
      <c r="U7" s="16"/>
      <c r="V7" s="17"/>
      <c r="W7" s="5"/>
      <c r="X7" s="16"/>
      <c r="Y7" s="16"/>
      <c r="Z7" s="16"/>
      <c r="AA7" s="18">
        <v>10</v>
      </c>
      <c r="AB7" s="8">
        <f t="shared" si="4"/>
        <v>1</v>
      </c>
      <c r="AC7" s="9">
        <f t="shared" si="5"/>
        <v>0.58333333333333337</v>
      </c>
      <c r="AD7" s="10">
        <f t="shared" si="6"/>
        <v>0.58333333333333337</v>
      </c>
      <c r="AE7" s="36">
        <f t="shared" si="7"/>
        <v>0.61458333333333326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282</v>
      </c>
      <c r="E8" s="53" t="s">
        <v>283</v>
      </c>
      <c r="F8" s="30" t="s">
        <v>156</v>
      </c>
      <c r="G8" s="33">
        <v>4</v>
      </c>
      <c r="H8" s="35">
        <v>24</v>
      </c>
      <c r="I8" s="7">
        <v>6000</v>
      </c>
      <c r="J8" s="5">
        <v>10252</v>
      </c>
      <c r="K8" s="15">
        <f>L8</f>
        <v>10252</v>
      </c>
      <c r="L8" s="15">
        <f>2563*4</f>
        <v>10252</v>
      </c>
      <c r="M8" s="15">
        <f t="shared" si="0"/>
        <v>10252</v>
      </c>
      <c r="N8" s="15">
        <v>0</v>
      </c>
      <c r="O8" s="58">
        <f t="shared" si="1"/>
        <v>0</v>
      </c>
      <c r="P8" s="39">
        <f t="shared" si="2"/>
        <v>14</v>
      </c>
      <c r="Q8" s="40">
        <f t="shared" si="3"/>
        <v>10</v>
      </c>
      <c r="R8" s="7"/>
      <c r="S8" s="6"/>
      <c r="T8" s="16">
        <v>10</v>
      </c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0.58333333333333337</v>
      </c>
      <c r="AD8" s="10">
        <f t="shared" si="6"/>
        <v>0.58333333333333337</v>
      </c>
      <c r="AE8" s="36">
        <f t="shared" si="7"/>
        <v>0.61458333333333326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115</v>
      </c>
      <c r="E9" s="53" t="s">
        <v>169</v>
      </c>
      <c r="F9" s="30" t="s">
        <v>130</v>
      </c>
      <c r="G9" s="12">
        <v>1</v>
      </c>
      <c r="H9" s="13">
        <v>24</v>
      </c>
      <c r="I9" s="7">
        <v>28000</v>
      </c>
      <c r="J9" s="14">
        <v>2504</v>
      </c>
      <c r="K9" s="15">
        <f>L9+4421+1946+4993+5197+5228+2437</f>
        <v>26726</v>
      </c>
      <c r="L9" s="15">
        <f>1838+666</f>
        <v>2504</v>
      </c>
      <c r="M9" s="15">
        <f t="shared" si="0"/>
        <v>2504</v>
      </c>
      <c r="N9" s="15">
        <v>0</v>
      </c>
      <c r="O9" s="58">
        <f t="shared" si="1"/>
        <v>0</v>
      </c>
      <c r="P9" s="39">
        <f t="shared" si="2"/>
        <v>13</v>
      </c>
      <c r="Q9" s="40">
        <f t="shared" si="3"/>
        <v>11</v>
      </c>
      <c r="R9" s="7"/>
      <c r="S9" s="6">
        <v>11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0.54166666666666663</v>
      </c>
      <c r="AD9" s="10">
        <f t="shared" si="6"/>
        <v>0.54166666666666663</v>
      </c>
      <c r="AE9" s="36">
        <f t="shared" si="7"/>
        <v>0.61458333333333326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131</v>
      </c>
      <c r="E10" s="53" t="s">
        <v>168</v>
      </c>
      <c r="F10" s="30" t="s">
        <v>144</v>
      </c>
      <c r="G10" s="33">
        <v>1</v>
      </c>
      <c r="H10" s="35">
        <v>24</v>
      </c>
      <c r="I10" s="7">
        <v>25000</v>
      </c>
      <c r="J10" s="14">
        <v>6284</v>
      </c>
      <c r="K10" s="15">
        <f>L10+6258+6648+6637+2872+6338+6604+6657+3122</f>
        <v>51420</v>
      </c>
      <c r="L10" s="15">
        <f>2970+3314</f>
        <v>6284</v>
      </c>
      <c r="M10" s="15">
        <f t="shared" si="0"/>
        <v>6284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0.61458333333333326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162</v>
      </c>
      <c r="E11" s="53" t="s">
        <v>163</v>
      </c>
      <c r="F11" s="30" t="s">
        <v>164</v>
      </c>
      <c r="G11" s="33">
        <v>16</v>
      </c>
      <c r="H11" s="35">
        <v>24</v>
      </c>
      <c r="I11" s="7">
        <v>100000</v>
      </c>
      <c r="J11" s="14">
        <v>15260</v>
      </c>
      <c r="K11" s="15">
        <f>L11+39816+90622+108136+15260</f>
        <v>253834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0.61458333333333326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134</v>
      </c>
      <c r="F12" s="30" t="s">
        <v>135</v>
      </c>
      <c r="G12" s="12">
        <v>1</v>
      </c>
      <c r="H12" s="13">
        <v>22</v>
      </c>
      <c r="I12" s="31">
        <v>34000</v>
      </c>
      <c r="J12" s="5">
        <v>5249</v>
      </c>
      <c r="K12" s="15">
        <f>L12+5421+4981+4563+3733+2354+5233+5443+5490+2615</f>
        <v>45082</v>
      </c>
      <c r="L12" s="15">
        <f>2728+2521</f>
        <v>5249</v>
      </c>
      <c r="M12" s="15">
        <f t="shared" si="0"/>
        <v>5249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0.61458333333333326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131</v>
      </c>
      <c r="E13" s="53" t="s">
        <v>154</v>
      </c>
      <c r="F13" s="30" t="s">
        <v>144</v>
      </c>
      <c r="G13" s="33">
        <v>2</v>
      </c>
      <c r="H13" s="35">
        <v>24</v>
      </c>
      <c r="I13" s="7">
        <v>12000</v>
      </c>
      <c r="J13" s="14">
        <v>11292</v>
      </c>
      <c r="K13" s="15">
        <f>L13</f>
        <v>11292</v>
      </c>
      <c r="L13" s="15">
        <f>2665*2+2981*2</f>
        <v>11292</v>
      </c>
      <c r="M13" s="15">
        <f t="shared" si="0"/>
        <v>11292</v>
      </c>
      <c r="N13" s="15">
        <v>0</v>
      </c>
      <c r="O13" s="58">
        <f t="shared" si="1"/>
        <v>0</v>
      </c>
      <c r="P13" s="39">
        <f t="shared" si="2"/>
        <v>23</v>
      </c>
      <c r="Q13" s="40">
        <f t="shared" si="3"/>
        <v>1</v>
      </c>
      <c r="R13" s="7"/>
      <c r="S13" s="6"/>
      <c r="T13" s="16">
        <v>1</v>
      </c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0.95833333333333337</v>
      </c>
      <c r="AD13" s="10">
        <f t="shared" si="6"/>
        <v>0.95833333333333337</v>
      </c>
      <c r="AE13" s="36">
        <f t="shared" si="7"/>
        <v>0.61458333333333326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118</v>
      </c>
      <c r="D14" s="52" t="s">
        <v>115</v>
      </c>
      <c r="E14" s="53" t="s">
        <v>258</v>
      </c>
      <c r="F14" s="30" t="s">
        <v>145</v>
      </c>
      <c r="G14" s="33">
        <v>1</v>
      </c>
      <c r="H14" s="35">
        <v>50</v>
      </c>
      <c r="I14" s="7">
        <v>300</v>
      </c>
      <c r="J14" s="5">
        <v>850</v>
      </c>
      <c r="K14" s="15">
        <f>L14+850</f>
        <v>850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0.61458333333333326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0.61458333333333326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129</v>
      </c>
      <c r="E16" s="53" t="s">
        <v>284</v>
      </c>
      <c r="F16" s="30" t="s">
        <v>285</v>
      </c>
      <c r="G16" s="12">
        <v>4</v>
      </c>
      <c r="H16" s="13">
        <v>24</v>
      </c>
      <c r="I16" s="7">
        <v>6000</v>
      </c>
      <c r="J16" s="14">
        <v>10276</v>
      </c>
      <c r="K16" s="15">
        <f>L16</f>
        <v>10276</v>
      </c>
      <c r="L16" s="15">
        <f>277*4+2292*4</f>
        <v>10276</v>
      </c>
      <c r="M16" s="15">
        <f t="shared" si="0"/>
        <v>10276</v>
      </c>
      <c r="N16" s="15">
        <v>0</v>
      </c>
      <c r="O16" s="58">
        <f t="shared" si="1"/>
        <v>0</v>
      </c>
      <c r="P16" s="39">
        <f t="shared" si="2"/>
        <v>14</v>
      </c>
      <c r="Q16" s="40">
        <f t="shared" si="3"/>
        <v>10</v>
      </c>
      <c r="R16" s="7"/>
      <c r="S16" s="6"/>
      <c r="T16" s="16">
        <v>10</v>
      </c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0.58333333333333337</v>
      </c>
      <c r="AD16" s="10">
        <f t="shared" si="6"/>
        <v>0.58333333333333337</v>
      </c>
      <c r="AE16" s="36">
        <f t="shared" si="7"/>
        <v>0.61458333333333326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/>
      <c r="E17" s="53" t="s">
        <v>250</v>
      </c>
      <c r="F17" s="30" t="s">
        <v>127</v>
      </c>
      <c r="G17" s="12">
        <v>1</v>
      </c>
      <c r="H17" s="13">
        <v>24</v>
      </c>
      <c r="I17" s="7">
        <v>1100</v>
      </c>
      <c r="J17" s="14">
        <v>3052</v>
      </c>
      <c r="K17" s="15">
        <f>L17+3052</f>
        <v>3052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0.61458333333333326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273</v>
      </c>
      <c r="D18" s="52" t="s">
        <v>115</v>
      </c>
      <c r="E18" s="53" t="s">
        <v>272</v>
      </c>
      <c r="F18" s="30" t="s">
        <v>286</v>
      </c>
      <c r="G18" s="33">
        <v>1</v>
      </c>
      <c r="H18" s="35">
        <v>24</v>
      </c>
      <c r="I18" s="7">
        <v>11000</v>
      </c>
      <c r="J18" s="14">
        <v>5514</v>
      </c>
      <c r="K18" s="15">
        <f>L18</f>
        <v>5514</v>
      </c>
      <c r="L18" s="15">
        <f>3458+2056</f>
        <v>5514</v>
      </c>
      <c r="M18" s="15">
        <f t="shared" si="0"/>
        <v>5514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>
        <v>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6">
        <f t="shared" si="7"/>
        <v>0.61458333333333326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129</v>
      </c>
      <c r="E19" s="53" t="s">
        <v>170</v>
      </c>
      <c r="F19" s="30" t="s">
        <v>156</v>
      </c>
      <c r="G19" s="33">
        <v>1</v>
      </c>
      <c r="H19" s="35">
        <v>24</v>
      </c>
      <c r="I19" s="7">
        <v>28000</v>
      </c>
      <c r="J19" s="14">
        <v>4538</v>
      </c>
      <c r="K19" s="15">
        <f>L19+4498+2017+4516+4728+4695+2256</f>
        <v>27248</v>
      </c>
      <c r="L19" s="15">
        <f>2184+2354</f>
        <v>4538</v>
      </c>
      <c r="M19" s="15">
        <f t="shared" si="0"/>
        <v>4538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0.61458333333333326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210</v>
      </c>
      <c r="D20" s="52" t="s">
        <v>253</v>
      </c>
      <c r="E20" s="53" t="s">
        <v>254</v>
      </c>
      <c r="F20" s="30" t="s">
        <v>145</v>
      </c>
      <c r="G20" s="12">
        <v>1</v>
      </c>
      <c r="H20" s="13">
        <v>24</v>
      </c>
      <c r="I20" s="7">
        <v>1650</v>
      </c>
      <c r="J20" s="14">
        <v>3719</v>
      </c>
      <c r="K20" s="15">
        <f>L20+1509</f>
        <v>5228</v>
      </c>
      <c r="L20" s="15">
        <f>2526+1193</f>
        <v>3719</v>
      </c>
      <c r="M20" s="15">
        <f t="shared" si="0"/>
        <v>3719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/>
      <c r="S20" s="6"/>
      <c r="T20" s="16"/>
      <c r="U20" s="16"/>
      <c r="V20" s="17"/>
      <c r="W20" s="5">
        <v>4</v>
      </c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 t="shared" si="6"/>
        <v>0.83333333333333337</v>
      </c>
      <c r="AE20" s="36">
        <f t="shared" si="7"/>
        <v>0.61458333333333326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60100</v>
      </c>
      <c r="K21" s="15">
        <f>L21+62008+65280+66156+31132</f>
        <v>284676</v>
      </c>
      <c r="L21" s="15">
        <f>6854*4+8171*4</f>
        <v>60100</v>
      </c>
      <c r="M21" s="15">
        <f t="shared" si="0"/>
        <v>60100</v>
      </c>
      <c r="N21" s="15">
        <v>0</v>
      </c>
      <c r="O21" s="58">
        <f t="shared" si="1"/>
        <v>0</v>
      </c>
      <c r="P21" s="39">
        <f t="shared" si="2"/>
        <v>22</v>
      </c>
      <c r="Q21" s="40">
        <f t="shared" si="3"/>
        <v>2</v>
      </c>
      <c r="R21" s="7"/>
      <c r="S21" s="6"/>
      <c r="T21" s="16"/>
      <c r="U21" s="16"/>
      <c r="V21" s="17">
        <v>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0.91666666666666663</v>
      </c>
      <c r="AD21" s="10">
        <f t="shared" si="6"/>
        <v>0.91666666666666663</v>
      </c>
      <c r="AE21" s="36">
        <f t="shared" si="7"/>
        <v>0.61458333333333326</v>
      </c>
      <c r="AF21" s="84">
        <f t="shared" si="8"/>
        <v>16</v>
      </c>
    </row>
    <row r="22" spans="1:32" ht="31.5" customHeight="1" thickBot="1">
      <c r="A22" s="443" t="s">
        <v>34</v>
      </c>
      <c r="B22" s="444"/>
      <c r="C22" s="444"/>
      <c r="D22" s="444"/>
      <c r="E22" s="444"/>
      <c r="F22" s="444"/>
      <c r="G22" s="444"/>
      <c r="H22" s="445"/>
      <c r="I22" s="22">
        <f t="shared" ref="I22:N22" si="9">SUM(I6:I21)</f>
        <v>1276050</v>
      </c>
      <c r="J22" s="19">
        <f t="shared" si="9"/>
        <v>165752</v>
      </c>
      <c r="K22" s="20">
        <f t="shared" si="9"/>
        <v>762312</v>
      </c>
      <c r="L22" s="21">
        <f t="shared" si="9"/>
        <v>134234</v>
      </c>
      <c r="M22" s="20">
        <f t="shared" si="9"/>
        <v>134234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236</v>
      </c>
      <c r="Q22" s="43">
        <f t="shared" si="10"/>
        <v>148</v>
      </c>
      <c r="R22" s="23">
        <f t="shared" si="10"/>
        <v>24</v>
      </c>
      <c r="S22" s="24">
        <f t="shared" si="10"/>
        <v>15</v>
      </c>
      <c r="T22" s="24">
        <f t="shared" si="10"/>
        <v>21</v>
      </c>
      <c r="U22" s="24">
        <f t="shared" si="10"/>
        <v>0</v>
      </c>
      <c r="V22" s="25">
        <f t="shared" si="10"/>
        <v>2</v>
      </c>
      <c r="W22" s="26">
        <f t="shared" si="10"/>
        <v>76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10</v>
      </c>
      <c r="AB22" s="28">
        <f>AVERAGE(AB6:AB21)</f>
        <v>0.75</v>
      </c>
      <c r="AC22" s="4">
        <f>AVERAGE(AC6:AC21)</f>
        <v>0.61458333333333326</v>
      </c>
      <c r="AD22" s="4">
        <f>AVERAGE(AD6:AD21)</f>
        <v>0.61458333333333326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6" t="s">
        <v>45</v>
      </c>
      <c r="B49" s="446"/>
      <c r="C49" s="446"/>
      <c r="D49" s="446"/>
      <c r="E49" s="446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7" t="s">
        <v>287</v>
      </c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9"/>
      <c r="N50" s="450" t="s">
        <v>293</v>
      </c>
      <c r="O50" s="451"/>
      <c r="P50" s="451"/>
      <c r="Q50" s="451"/>
      <c r="R50" s="451"/>
      <c r="S50" s="451"/>
      <c r="T50" s="451"/>
      <c r="U50" s="451"/>
      <c r="V50" s="451"/>
      <c r="W50" s="451"/>
      <c r="X50" s="451"/>
      <c r="Y50" s="451"/>
      <c r="Z50" s="451"/>
      <c r="AA50" s="451"/>
      <c r="AB50" s="451"/>
      <c r="AC50" s="451"/>
      <c r="AD50" s="452"/>
    </row>
    <row r="51" spans="1:32" ht="27" customHeight="1">
      <c r="A51" s="453" t="s">
        <v>2</v>
      </c>
      <c r="B51" s="454"/>
      <c r="C51" s="175" t="s">
        <v>46</v>
      </c>
      <c r="D51" s="175" t="s">
        <v>47</v>
      </c>
      <c r="E51" s="175" t="s">
        <v>107</v>
      </c>
      <c r="F51" s="455" t="s">
        <v>106</v>
      </c>
      <c r="G51" s="456"/>
      <c r="H51" s="456"/>
      <c r="I51" s="456"/>
      <c r="J51" s="456"/>
      <c r="K51" s="456"/>
      <c r="L51" s="456"/>
      <c r="M51" s="457"/>
      <c r="N51" s="67" t="s">
        <v>110</v>
      </c>
      <c r="O51" s="175" t="s">
        <v>46</v>
      </c>
      <c r="P51" s="455" t="s">
        <v>47</v>
      </c>
      <c r="Q51" s="458"/>
      <c r="R51" s="455" t="s">
        <v>38</v>
      </c>
      <c r="S51" s="456"/>
      <c r="T51" s="456"/>
      <c r="U51" s="458"/>
      <c r="V51" s="455" t="s">
        <v>48</v>
      </c>
      <c r="W51" s="456"/>
      <c r="X51" s="456"/>
      <c r="Y51" s="456"/>
      <c r="Z51" s="456"/>
      <c r="AA51" s="456"/>
      <c r="AB51" s="456"/>
      <c r="AC51" s="456"/>
      <c r="AD51" s="457"/>
    </row>
    <row r="52" spans="1:32" ht="27" customHeight="1">
      <c r="A52" s="469" t="s">
        <v>112</v>
      </c>
      <c r="B52" s="470"/>
      <c r="C52" s="177" t="s">
        <v>147</v>
      </c>
      <c r="D52" s="177" t="s">
        <v>269</v>
      </c>
      <c r="E52" s="177" t="s">
        <v>270</v>
      </c>
      <c r="F52" s="471" t="s">
        <v>132</v>
      </c>
      <c r="G52" s="472"/>
      <c r="H52" s="472"/>
      <c r="I52" s="472"/>
      <c r="J52" s="472"/>
      <c r="K52" s="472"/>
      <c r="L52" s="472"/>
      <c r="M52" s="473"/>
      <c r="N52" s="176" t="s">
        <v>118</v>
      </c>
      <c r="O52" s="183" t="s">
        <v>292</v>
      </c>
      <c r="P52" s="474" t="s">
        <v>115</v>
      </c>
      <c r="Q52" s="475"/>
      <c r="R52" s="474" t="s">
        <v>169</v>
      </c>
      <c r="S52" s="476"/>
      <c r="T52" s="476"/>
      <c r="U52" s="475"/>
      <c r="V52" s="477" t="s">
        <v>124</v>
      </c>
      <c r="W52" s="477"/>
      <c r="X52" s="477"/>
      <c r="Y52" s="477"/>
      <c r="Z52" s="477"/>
      <c r="AA52" s="477"/>
      <c r="AB52" s="477"/>
      <c r="AC52" s="477"/>
      <c r="AD52" s="478"/>
    </row>
    <row r="53" spans="1:32" ht="27" customHeight="1">
      <c r="A53" s="469" t="s">
        <v>118</v>
      </c>
      <c r="B53" s="470"/>
      <c r="C53" s="180" t="s">
        <v>133</v>
      </c>
      <c r="D53" s="180" t="s">
        <v>280</v>
      </c>
      <c r="E53" s="177" t="s">
        <v>281</v>
      </c>
      <c r="F53" s="471" t="s">
        <v>288</v>
      </c>
      <c r="G53" s="472"/>
      <c r="H53" s="472"/>
      <c r="I53" s="472"/>
      <c r="J53" s="472"/>
      <c r="K53" s="472"/>
      <c r="L53" s="472"/>
      <c r="M53" s="473"/>
      <c r="N53" s="176" t="s">
        <v>138</v>
      </c>
      <c r="O53" s="183" t="s">
        <v>147</v>
      </c>
      <c r="P53" s="474"/>
      <c r="Q53" s="475"/>
      <c r="R53" s="474" t="s">
        <v>294</v>
      </c>
      <c r="S53" s="476"/>
      <c r="T53" s="476"/>
      <c r="U53" s="475"/>
      <c r="V53" s="477" t="s">
        <v>295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 t="s">
        <v>118</v>
      </c>
      <c r="B54" s="470"/>
      <c r="C54" s="177" t="s">
        <v>139</v>
      </c>
      <c r="D54" s="177" t="s">
        <v>289</v>
      </c>
      <c r="E54" s="177" t="s">
        <v>283</v>
      </c>
      <c r="F54" s="471" t="s">
        <v>132</v>
      </c>
      <c r="G54" s="472"/>
      <c r="H54" s="472"/>
      <c r="I54" s="472"/>
      <c r="J54" s="472"/>
      <c r="K54" s="472"/>
      <c r="L54" s="472"/>
      <c r="M54" s="473"/>
      <c r="N54" s="176" t="s">
        <v>273</v>
      </c>
      <c r="O54" s="183" t="s">
        <v>257</v>
      </c>
      <c r="P54" s="474" t="s">
        <v>115</v>
      </c>
      <c r="Q54" s="475"/>
      <c r="R54" s="474" t="s">
        <v>296</v>
      </c>
      <c r="S54" s="476"/>
      <c r="T54" s="476"/>
      <c r="U54" s="475"/>
      <c r="V54" s="477" t="s">
        <v>132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69" t="s">
        <v>118</v>
      </c>
      <c r="B55" s="470"/>
      <c r="C55" s="177" t="s">
        <v>222</v>
      </c>
      <c r="D55" s="177" t="s">
        <v>129</v>
      </c>
      <c r="E55" s="177" t="s">
        <v>284</v>
      </c>
      <c r="F55" s="471" t="s">
        <v>132</v>
      </c>
      <c r="G55" s="472"/>
      <c r="H55" s="472"/>
      <c r="I55" s="472"/>
      <c r="J55" s="472"/>
      <c r="K55" s="472"/>
      <c r="L55" s="472"/>
      <c r="M55" s="473"/>
      <c r="N55" s="176" t="s">
        <v>118</v>
      </c>
      <c r="O55" s="183" t="s">
        <v>141</v>
      </c>
      <c r="P55" s="474" t="s">
        <v>115</v>
      </c>
      <c r="Q55" s="475"/>
      <c r="R55" s="474" t="s">
        <v>297</v>
      </c>
      <c r="S55" s="476"/>
      <c r="T55" s="476"/>
      <c r="U55" s="475"/>
      <c r="V55" s="477" t="s">
        <v>132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112</v>
      </c>
      <c r="B56" s="470"/>
      <c r="C56" s="177" t="s">
        <v>198</v>
      </c>
      <c r="D56" s="177" t="s">
        <v>184</v>
      </c>
      <c r="E56" s="177" t="s">
        <v>154</v>
      </c>
      <c r="F56" s="471" t="s">
        <v>132</v>
      </c>
      <c r="G56" s="472"/>
      <c r="H56" s="472"/>
      <c r="I56" s="472"/>
      <c r="J56" s="472"/>
      <c r="K56" s="472"/>
      <c r="L56" s="472"/>
      <c r="M56" s="473"/>
      <c r="N56" s="176"/>
      <c r="O56" s="183"/>
      <c r="P56" s="474"/>
      <c r="Q56" s="475"/>
      <c r="R56" s="474"/>
      <c r="S56" s="476"/>
      <c r="T56" s="476"/>
      <c r="U56" s="475"/>
      <c r="V56" s="477"/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 t="s">
        <v>273</v>
      </c>
      <c r="B57" s="470"/>
      <c r="C57" s="177" t="s">
        <v>191</v>
      </c>
      <c r="D57" s="177" t="s">
        <v>115</v>
      </c>
      <c r="E57" s="177" t="s">
        <v>272</v>
      </c>
      <c r="F57" s="471" t="s">
        <v>290</v>
      </c>
      <c r="G57" s="472"/>
      <c r="H57" s="472"/>
      <c r="I57" s="472"/>
      <c r="J57" s="472"/>
      <c r="K57" s="472"/>
      <c r="L57" s="472"/>
      <c r="M57" s="473"/>
      <c r="N57" s="176"/>
      <c r="O57" s="183"/>
      <c r="P57" s="474"/>
      <c r="Q57" s="475"/>
      <c r="R57" s="474"/>
      <c r="S57" s="476"/>
      <c r="T57" s="476"/>
      <c r="U57" s="475"/>
      <c r="V57" s="477"/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 t="s">
        <v>118</v>
      </c>
      <c r="B58" s="470"/>
      <c r="C58" s="177" t="s">
        <v>292</v>
      </c>
      <c r="D58" s="177" t="s">
        <v>115</v>
      </c>
      <c r="E58" s="177" t="s">
        <v>169</v>
      </c>
      <c r="F58" s="471" t="s">
        <v>291</v>
      </c>
      <c r="G58" s="472"/>
      <c r="H58" s="472"/>
      <c r="I58" s="472"/>
      <c r="J58" s="472"/>
      <c r="K58" s="472"/>
      <c r="L58" s="472"/>
      <c r="M58" s="473"/>
      <c r="N58" s="176"/>
      <c r="O58" s="183"/>
      <c r="P58" s="474"/>
      <c r="Q58" s="475"/>
      <c r="R58" s="474"/>
      <c r="S58" s="476"/>
      <c r="T58" s="476"/>
      <c r="U58" s="475"/>
      <c r="V58" s="477"/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/>
      <c r="B59" s="488"/>
      <c r="C59" s="180"/>
      <c r="D59" s="180"/>
      <c r="E59" s="177"/>
      <c r="F59" s="471"/>
      <c r="G59" s="472"/>
      <c r="H59" s="472"/>
      <c r="I59" s="472"/>
      <c r="J59" s="472"/>
      <c r="K59" s="472"/>
      <c r="L59" s="472"/>
      <c r="M59" s="473"/>
      <c r="N59" s="176"/>
      <c r="O59" s="183"/>
      <c r="P59" s="474"/>
      <c r="Q59" s="475"/>
      <c r="R59" s="470"/>
      <c r="S59" s="470"/>
      <c r="T59" s="470"/>
      <c r="U59" s="470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/>
      <c r="B60" s="488"/>
      <c r="C60" s="180"/>
      <c r="D60" s="180"/>
      <c r="E60" s="177"/>
      <c r="F60" s="471"/>
      <c r="G60" s="472"/>
      <c r="H60" s="472"/>
      <c r="I60" s="472"/>
      <c r="J60" s="472"/>
      <c r="K60" s="472"/>
      <c r="L60" s="472"/>
      <c r="M60" s="473"/>
      <c r="N60" s="176"/>
      <c r="O60" s="183"/>
      <c r="P60" s="470"/>
      <c r="Q60" s="470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  <c r="AF60" s="84">
        <f>8*3000</f>
        <v>24000</v>
      </c>
    </row>
    <row r="61" spans="1:32" ht="27" customHeight="1" thickBot="1">
      <c r="A61" s="479"/>
      <c r="B61" s="480"/>
      <c r="C61" s="178"/>
      <c r="D61" s="179"/>
      <c r="E61" s="178"/>
      <c r="F61" s="481"/>
      <c r="G61" s="482"/>
      <c r="H61" s="482"/>
      <c r="I61" s="482"/>
      <c r="J61" s="482"/>
      <c r="K61" s="482"/>
      <c r="L61" s="482"/>
      <c r="M61" s="483"/>
      <c r="N61" s="111"/>
      <c r="O61" s="103"/>
      <c r="P61" s="484"/>
      <c r="Q61" s="484"/>
      <c r="R61" s="484"/>
      <c r="S61" s="484"/>
      <c r="T61" s="484"/>
      <c r="U61" s="484"/>
      <c r="V61" s="485"/>
      <c r="W61" s="485"/>
      <c r="X61" s="485"/>
      <c r="Y61" s="485"/>
      <c r="Z61" s="485"/>
      <c r="AA61" s="485"/>
      <c r="AB61" s="485"/>
      <c r="AC61" s="485"/>
      <c r="AD61" s="486"/>
      <c r="AF61" s="84">
        <f>16*3000</f>
        <v>48000</v>
      </c>
    </row>
    <row r="62" spans="1:32" ht="27.75" thickBot="1">
      <c r="A62" s="489" t="s">
        <v>298</v>
      </c>
      <c r="B62" s="489"/>
      <c r="C62" s="489"/>
      <c r="D62" s="489"/>
      <c r="E62" s="48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0" t="s">
        <v>111</v>
      </c>
      <c r="B63" s="491"/>
      <c r="C63" s="181" t="s">
        <v>2</v>
      </c>
      <c r="D63" s="181" t="s">
        <v>37</v>
      </c>
      <c r="E63" s="181" t="s">
        <v>3</v>
      </c>
      <c r="F63" s="491" t="s">
        <v>109</v>
      </c>
      <c r="G63" s="491"/>
      <c r="H63" s="491"/>
      <c r="I63" s="491"/>
      <c r="J63" s="491"/>
      <c r="K63" s="491" t="s">
        <v>39</v>
      </c>
      <c r="L63" s="491"/>
      <c r="M63" s="181" t="s">
        <v>40</v>
      </c>
      <c r="N63" s="491" t="s">
        <v>41</v>
      </c>
      <c r="O63" s="491"/>
      <c r="P63" s="492" t="s">
        <v>42</v>
      </c>
      <c r="Q63" s="493"/>
      <c r="R63" s="492" t="s">
        <v>43</v>
      </c>
      <c r="S63" s="494"/>
      <c r="T63" s="494"/>
      <c r="U63" s="494"/>
      <c r="V63" s="494"/>
      <c r="W63" s="494"/>
      <c r="X63" s="494"/>
      <c r="Y63" s="494"/>
      <c r="Z63" s="494"/>
      <c r="AA63" s="493"/>
      <c r="AB63" s="491" t="s">
        <v>44</v>
      </c>
      <c r="AC63" s="491"/>
      <c r="AD63" s="495"/>
      <c r="AF63" s="84">
        <f>SUM(AF60:AF62)</f>
        <v>96000</v>
      </c>
    </row>
    <row r="64" spans="1:32" ht="25.5" customHeight="1">
      <c r="A64" s="496">
        <v>1</v>
      </c>
      <c r="B64" s="497"/>
      <c r="C64" s="104" t="s">
        <v>118</v>
      </c>
      <c r="D64" s="185"/>
      <c r="E64" s="182" t="s">
        <v>142</v>
      </c>
      <c r="F64" s="498" t="s">
        <v>231</v>
      </c>
      <c r="G64" s="499"/>
      <c r="H64" s="499"/>
      <c r="I64" s="499"/>
      <c r="J64" s="500"/>
      <c r="K64" s="501" t="s">
        <v>232</v>
      </c>
      <c r="L64" s="501"/>
      <c r="M64" s="51" t="s">
        <v>143</v>
      </c>
      <c r="N64" s="502" t="s">
        <v>133</v>
      </c>
      <c r="O64" s="502"/>
      <c r="P64" s="503">
        <v>100</v>
      </c>
      <c r="Q64" s="503"/>
      <c r="R64" s="477" t="s">
        <v>299</v>
      </c>
      <c r="S64" s="477"/>
      <c r="T64" s="477"/>
      <c r="U64" s="477"/>
      <c r="V64" s="477"/>
      <c r="W64" s="477"/>
      <c r="X64" s="477"/>
      <c r="Y64" s="477"/>
      <c r="Z64" s="477"/>
      <c r="AA64" s="477"/>
      <c r="AB64" s="501"/>
      <c r="AC64" s="501"/>
      <c r="AD64" s="504"/>
      <c r="AF64" s="50"/>
    </row>
    <row r="65" spans="1:32" ht="25.5" customHeight="1">
      <c r="A65" s="496">
        <v>2</v>
      </c>
      <c r="B65" s="497"/>
      <c r="C65" s="104" t="s">
        <v>138</v>
      </c>
      <c r="D65" s="185"/>
      <c r="E65" s="182"/>
      <c r="F65" s="498" t="s">
        <v>300</v>
      </c>
      <c r="G65" s="499"/>
      <c r="H65" s="499"/>
      <c r="I65" s="499"/>
      <c r="J65" s="500"/>
      <c r="K65" s="501">
        <v>8301</v>
      </c>
      <c r="L65" s="501"/>
      <c r="M65" s="51" t="s">
        <v>143</v>
      </c>
      <c r="N65" s="502" t="s">
        <v>133</v>
      </c>
      <c r="O65" s="502"/>
      <c r="P65" s="503">
        <v>100</v>
      </c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3</v>
      </c>
      <c r="B66" s="497"/>
      <c r="C66" s="104" t="s">
        <v>118</v>
      </c>
      <c r="D66" s="185"/>
      <c r="E66" s="182" t="s">
        <v>142</v>
      </c>
      <c r="F66" s="498" t="s">
        <v>301</v>
      </c>
      <c r="G66" s="499"/>
      <c r="H66" s="499"/>
      <c r="I66" s="499"/>
      <c r="J66" s="500"/>
      <c r="K66" s="501">
        <v>8301</v>
      </c>
      <c r="L66" s="501"/>
      <c r="M66" s="51" t="s">
        <v>230</v>
      </c>
      <c r="N66" s="502" t="s">
        <v>140</v>
      </c>
      <c r="O66" s="502"/>
      <c r="P66" s="503">
        <v>50</v>
      </c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4</v>
      </c>
      <c r="B67" s="497"/>
      <c r="C67" s="104"/>
      <c r="D67" s="185"/>
      <c r="E67" s="182"/>
      <c r="F67" s="498"/>
      <c r="G67" s="499"/>
      <c r="H67" s="499"/>
      <c r="I67" s="499"/>
      <c r="J67" s="500"/>
      <c r="K67" s="501"/>
      <c r="L67" s="501"/>
      <c r="M67" s="51"/>
      <c r="N67" s="502"/>
      <c r="O67" s="502"/>
      <c r="P67" s="503"/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5</v>
      </c>
      <c r="B68" s="497"/>
      <c r="C68" s="104"/>
      <c r="D68" s="185"/>
      <c r="E68" s="182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6</v>
      </c>
      <c r="B69" s="497"/>
      <c r="C69" s="104"/>
      <c r="D69" s="185"/>
      <c r="E69" s="182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7</v>
      </c>
      <c r="B70" s="497"/>
      <c r="C70" s="104"/>
      <c r="D70" s="185"/>
      <c r="E70" s="182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8</v>
      </c>
      <c r="B71" s="497"/>
      <c r="C71" s="104"/>
      <c r="D71" s="185"/>
      <c r="E71" s="182"/>
      <c r="F71" s="505"/>
      <c r="G71" s="501"/>
      <c r="H71" s="501"/>
      <c r="I71" s="501"/>
      <c r="J71" s="501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9</v>
      </c>
      <c r="B72" s="497"/>
      <c r="C72" s="104"/>
      <c r="D72" s="185"/>
      <c r="E72" s="182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10</v>
      </c>
      <c r="B73" s="497"/>
      <c r="C73" s="104"/>
      <c r="D73" s="185"/>
      <c r="E73" s="182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6.25" customHeight="1" thickBot="1">
      <c r="A74" s="506" t="s">
        <v>302</v>
      </c>
      <c r="B74" s="506"/>
      <c r="C74" s="506"/>
      <c r="D74" s="506"/>
      <c r="E74" s="50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7" t="s">
        <v>126</v>
      </c>
      <c r="B75" s="508"/>
      <c r="C75" s="184" t="s">
        <v>2</v>
      </c>
      <c r="D75" s="184" t="s">
        <v>37</v>
      </c>
      <c r="E75" s="184" t="s">
        <v>125</v>
      </c>
      <c r="F75" s="508" t="s">
        <v>38</v>
      </c>
      <c r="G75" s="508"/>
      <c r="H75" s="508"/>
      <c r="I75" s="508"/>
      <c r="J75" s="508"/>
      <c r="K75" s="509" t="s">
        <v>58</v>
      </c>
      <c r="L75" s="510"/>
      <c r="M75" s="510"/>
      <c r="N75" s="510"/>
      <c r="O75" s="510"/>
      <c r="P75" s="510"/>
      <c r="Q75" s="510"/>
      <c r="R75" s="510"/>
      <c r="S75" s="511"/>
      <c r="T75" s="508" t="s">
        <v>49</v>
      </c>
      <c r="U75" s="508"/>
      <c r="V75" s="509" t="s">
        <v>50</v>
      </c>
      <c r="W75" s="511"/>
      <c r="X75" s="510" t="s">
        <v>51</v>
      </c>
      <c r="Y75" s="510"/>
      <c r="Z75" s="510"/>
      <c r="AA75" s="510"/>
      <c r="AB75" s="510"/>
      <c r="AC75" s="510"/>
      <c r="AD75" s="512"/>
      <c r="AF75" s="50"/>
    </row>
    <row r="76" spans="1:32" ht="33.75" customHeight="1">
      <c r="A76" s="521">
        <v>1</v>
      </c>
      <c r="B76" s="522"/>
      <c r="C76" s="186" t="s">
        <v>112</v>
      </c>
      <c r="D76" s="186"/>
      <c r="E76" s="65" t="s">
        <v>117</v>
      </c>
      <c r="F76" s="523" t="s">
        <v>116</v>
      </c>
      <c r="G76" s="524"/>
      <c r="H76" s="524"/>
      <c r="I76" s="524"/>
      <c r="J76" s="525"/>
      <c r="K76" s="526" t="s">
        <v>119</v>
      </c>
      <c r="L76" s="527"/>
      <c r="M76" s="527"/>
      <c r="N76" s="527"/>
      <c r="O76" s="527"/>
      <c r="P76" s="527"/>
      <c r="Q76" s="527"/>
      <c r="R76" s="527"/>
      <c r="S76" s="528"/>
      <c r="T76" s="529">
        <v>44118</v>
      </c>
      <c r="U76" s="530"/>
      <c r="V76" s="531"/>
      <c r="W76" s="531"/>
      <c r="X76" s="532"/>
      <c r="Y76" s="532"/>
      <c r="Z76" s="532"/>
      <c r="AA76" s="532"/>
      <c r="AB76" s="532"/>
      <c r="AC76" s="532"/>
      <c r="AD76" s="533"/>
      <c r="AF76" s="50"/>
    </row>
    <row r="77" spans="1:32" ht="30" customHeight="1">
      <c r="A77" s="513">
        <f>A76+1</f>
        <v>2</v>
      </c>
      <c r="B77" s="514"/>
      <c r="C77" s="185"/>
      <c r="D77" s="185"/>
      <c r="E77" s="32"/>
      <c r="F77" s="514"/>
      <c r="G77" s="514"/>
      <c r="H77" s="514"/>
      <c r="I77" s="514"/>
      <c r="J77" s="514"/>
      <c r="K77" s="515"/>
      <c r="L77" s="516"/>
      <c r="M77" s="516"/>
      <c r="N77" s="516"/>
      <c r="O77" s="516"/>
      <c r="P77" s="516"/>
      <c r="Q77" s="516"/>
      <c r="R77" s="516"/>
      <c r="S77" s="517"/>
      <c r="T77" s="518"/>
      <c r="U77" s="518"/>
      <c r="V77" s="518"/>
      <c r="W77" s="518"/>
      <c r="X77" s="519"/>
      <c r="Y77" s="519"/>
      <c r="Z77" s="519"/>
      <c r="AA77" s="519"/>
      <c r="AB77" s="519"/>
      <c r="AC77" s="519"/>
      <c r="AD77" s="520"/>
      <c r="AF77" s="50"/>
    </row>
    <row r="78" spans="1:32" ht="30" customHeight="1">
      <c r="A78" s="513">
        <f t="shared" ref="A78:A82" si="11">A77+1</f>
        <v>3</v>
      </c>
      <c r="B78" s="514"/>
      <c r="C78" s="185"/>
      <c r="D78" s="185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si="11"/>
        <v>4</v>
      </c>
      <c r="B79" s="514"/>
      <c r="C79" s="185"/>
      <c r="D79" s="185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1"/>
        <v>5</v>
      </c>
      <c r="B80" s="514"/>
      <c r="C80" s="185"/>
      <c r="D80" s="185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1"/>
        <v>6</v>
      </c>
      <c r="B81" s="514"/>
      <c r="C81" s="185"/>
      <c r="D81" s="185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1"/>
        <v>7</v>
      </c>
      <c r="B82" s="514"/>
      <c r="C82" s="185"/>
      <c r="D82" s="185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6" thickBot="1">
      <c r="A83" s="506" t="s">
        <v>303</v>
      </c>
      <c r="B83" s="506"/>
      <c r="C83" s="506"/>
      <c r="D83" s="506"/>
      <c r="E83" s="50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7" t="s">
        <v>111</v>
      </c>
      <c r="B84" s="508"/>
      <c r="C84" s="534" t="s">
        <v>52</v>
      </c>
      <c r="D84" s="534"/>
      <c r="E84" s="534" t="s">
        <v>53</v>
      </c>
      <c r="F84" s="534"/>
      <c r="G84" s="534"/>
      <c r="H84" s="534"/>
      <c r="I84" s="534"/>
      <c r="J84" s="534"/>
      <c r="K84" s="534" t="s">
        <v>54</v>
      </c>
      <c r="L84" s="534"/>
      <c r="M84" s="534"/>
      <c r="N84" s="534"/>
      <c r="O84" s="534"/>
      <c r="P84" s="534"/>
      <c r="Q84" s="534"/>
      <c r="R84" s="534"/>
      <c r="S84" s="534"/>
      <c r="T84" s="534" t="s">
        <v>55</v>
      </c>
      <c r="U84" s="534"/>
      <c r="V84" s="534" t="s">
        <v>56</v>
      </c>
      <c r="W84" s="534"/>
      <c r="X84" s="534"/>
      <c r="Y84" s="534" t="s">
        <v>51</v>
      </c>
      <c r="Z84" s="534"/>
      <c r="AA84" s="534"/>
      <c r="AB84" s="534"/>
      <c r="AC84" s="534"/>
      <c r="AD84" s="535"/>
      <c r="AF84" s="50"/>
    </row>
    <row r="85" spans="1:32" ht="30.75" customHeight="1">
      <c r="A85" s="521">
        <v>1</v>
      </c>
      <c r="B85" s="522"/>
      <c r="C85" s="536">
        <v>9</v>
      </c>
      <c r="D85" s="536"/>
      <c r="E85" s="536" t="s">
        <v>136</v>
      </c>
      <c r="F85" s="536"/>
      <c r="G85" s="536"/>
      <c r="H85" s="536"/>
      <c r="I85" s="536"/>
      <c r="J85" s="536"/>
      <c r="K85" s="536" t="s">
        <v>161</v>
      </c>
      <c r="L85" s="536"/>
      <c r="M85" s="536"/>
      <c r="N85" s="536"/>
      <c r="O85" s="536"/>
      <c r="P85" s="536"/>
      <c r="Q85" s="536"/>
      <c r="R85" s="536"/>
      <c r="S85" s="536"/>
      <c r="T85" s="536" t="s">
        <v>137</v>
      </c>
      <c r="U85" s="536"/>
      <c r="V85" s="537" t="s">
        <v>152</v>
      </c>
      <c r="W85" s="537"/>
      <c r="X85" s="537"/>
      <c r="Y85" s="538"/>
      <c r="Z85" s="538"/>
      <c r="AA85" s="538"/>
      <c r="AB85" s="538"/>
      <c r="AC85" s="538"/>
      <c r="AD85" s="539"/>
      <c r="AF85" s="50"/>
    </row>
    <row r="86" spans="1:32" ht="30.75" customHeight="1">
      <c r="A86" s="513">
        <v>2</v>
      </c>
      <c r="B86" s="514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  <c r="P86" s="547"/>
      <c r="Q86" s="547"/>
      <c r="R86" s="547"/>
      <c r="S86" s="547"/>
      <c r="T86" s="548"/>
      <c r="U86" s="548"/>
      <c r="V86" s="549"/>
      <c r="W86" s="549"/>
      <c r="X86" s="549"/>
      <c r="Y86" s="540"/>
      <c r="Z86" s="540"/>
      <c r="AA86" s="540"/>
      <c r="AB86" s="540"/>
      <c r="AC86" s="540"/>
      <c r="AD86" s="541"/>
      <c r="AF86" s="50"/>
    </row>
    <row r="87" spans="1:32" ht="30.75" customHeight="1" thickBot="1">
      <c r="A87" s="542">
        <v>3</v>
      </c>
      <c r="B87" s="543"/>
      <c r="C87" s="544"/>
      <c r="D87" s="544"/>
      <c r="E87" s="544"/>
      <c r="F87" s="544"/>
      <c r="G87" s="544"/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5"/>
      <c r="Z87" s="545"/>
      <c r="AA87" s="545"/>
      <c r="AB87" s="545"/>
      <c r="AC87" s="545"/>
      <c r="AD87" s="546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862E-9A4F-4C86-9CB8-ED39A81849B0}">
  <dimension ref="A1:AF87"/>
  <sheetViews>
    <sheetView view="pageBreakPreview" zoomScale="70" zoomScaleNormal="72" zoomScaleSheetLayoutView="70" workbookViewId="0">
      <selection activeCell="E6" sqref="E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304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199" t="s">
        <v>17</v>
      </c>
      <c r="L5" s="199" t="s">
        <v>18</v>
      </c>
      <c r="M5" s="199" t="s">
        <v>19</v>
      </c>
      <c r="N5" s="19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138</v>
      </c>
      <c r="D6" s="52" t="s">
        <v>305</v>
      </c>
      <c r="E6" s="53" t="s">
        <v>306</v>
      </c>
      <c r="F6" s="30" t="s">
        <v>153</v>
      </c>
      <c r="G6" s="12" t="s">
        <v>214</v>
      </c>
      <c r="H6" s="13">
        <v>24</v>
      </c>
      <c r="I6" s="31">
        <v>6000</v>
      </c>
      <c r="J6" s="14">
        <v>3924</v>
      </c>
      <c r="K6" s="15">
        <f>L6</f>
        <v>3924</v>
      </c>
      <c r="L6" s="15">
        <f>600+3324</f>
        <v>3924</v>
      </c>
      <c r="M6" s="15">
        <f t="shared" ref="M6:M21" si="0">L6-N6</f>
        <v>3924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14</v>
      </c>
      <c r="Q6" s="40">
        <f t="shared" ref="Q6:Q21" si="3">SUM(R6:AA6)</f>
        <v>10</v>
      </c>
      <c r="R6" s="7"/>
      <c r="S6" s="6">
        <v>10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0.58333333333333337</v>
      </c>
      <c r="AD6" s="10">
        <f t="shared" ref="AD6:AD21" si="6">AC6*AB6*(1-O6)</f>
        <v>0.58333333333333337</v>
      </c>
      <c r="AE6" s="36">
        <f t="shared" ref="AE6:AE21" si="7">$AD$22</f>
        <v>0.55729166666666674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142</v>
      </c>
      <c r="E7" s="53" t="s">
        <v>231</v>
      </c>
      <c r="F7" s="30" t="s">
        <v>232</v>
      </c>
      <c r="G7" s="12">
        <v>2</v>
      </c>
      <c r="H7" s="13">
        <v>24</v>
      </c>
      <c r="I7" s="31">
        <v>1600</v>
      </c>
      <c r="J7" s="14">
        <v>2184</v>
      </c>
      <c r="K7" s="15">
        <f>L7</f>
        <v>2184</v>
      </c>
      <c r="L7" s="15">
        <f>294*2+798*2</f>
        <v>2184</v>
      </c>
      <c r="M7" s="15">
        <f t="shared" si="0"/>
        <v>2184</v>
      </c>
      <c r="N7" s="15">
        <v>0</v>
      </c>
      <c r="O7" s="58">
        <f t="shared" si="1"/>
        <v>0</v>
      </c>
      <c r="P7" s="39">
        <f t="shared" si="2"/>
        <v>8</v>
      </c>
      <c r="Q7" s="40">
        <f t="shared" si="3"/>
        <v>16</v>
      </c>
      <c r="R7" s="7"/>
      <c r="S7" s="6"/>
      <c r="T7" s="16">
        <v>9</v>
      </c>
      <c r="U7" s="16"/>
      <c r="V7" s="17"/>
      <c r="W7" s="5">
        <v>7</v>
      </c>
      <c r="X7" s="16"/>
      <c r="Y7" s="16"/>
      <c r="Z7" s="16"/>
      <c r="AA7" s="18"/>
      <c r="AB7" s="8">
        <f t="shared" si="4"/>
        <v>1</v>
      </c>
      <c r="AC7" s="9">
        <f t="shared" si="5"/>
        <v>0.33333333333333331</v>
      </c>
      <c r="AD7" s="10">
        <f t="shared" si="6"/>
        <v>0.33333333333333331</v>
      </c>
      <c r="AE7" s="36">
        <f t="shared" si="7"/>
        <v>0.55729166666666674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210</v>
      </c>
      <c r="D8" s="52" t="s">
        <v>323</v>
      </c>
      <c r="E8" s="52" t="s">
        <v>323</v>
      </c>
      <c r="F8" s="30" t="s">
        <v>213</v>
      </c>
      <c r="G8" s="33" t="s">
        <v>324</v>
      </c>
      <c r="H8" s="35">
        <v>24</v>
      </c>
      <c r="I8" s="7">
        <v>300</v>
      </c>
      <c r="J8" s="5">
        <v>500</v>
      </c>
      <c r="K8" s="15">
        <f>L8</f>
        <v>500</v>
      </c>
      <c r="L8" s="15">
        <v>500</v>
      </c>
      <c r="M8" s="15">
        <f t="shared" si="0"/>
        <v>500</v>
      </c>
      <c r="N8" s="15">
        <v>0</v>
      </c>
      <c r="O8" s="58">
        <f t="shared" si="1"/>
        <v>0</v>
      </c>
      <c r="P8" s="39">
        <f t="shared" si="2"/>
        <v>4</v>
      </c>
      <c r="Q8" s="40">
        <f t="shared" si="3"/>
        <v>20</v>
      </c>
      <c r="R8" s="7"/>
      <c r="S8" s="6"/>
      <c r="T8" s="16"/>
      <c r="U8" s="16"/>
      <c r="V8" s="17"/>
      <c r="W8" s="5"/>
      <c r="X8" s="16"/>
      <c r="Y8" s="16"/>
      <c r="Z8" s="16"/>
      <c r="AA8" s="18">
        <v>20</v>
      </c>
      <c r="AB8" s="8">
        <f t="shared" si="4"/>
        <v>1</v>
      </c>
      <c r="AC8" s="9">
        <f t="shared" si="5"/>
        <v>0.16666666666666666</v>
      </c>
      <c r="AD8" s="10">
        <f t="shared" si="6"/>
        <v>0.16666666666666666</v>
      </c>
      <c r="AE8" s="36">
        <f t="shared" si="7"/>
        <v>0.55729166666666674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115</v>
      </c>
      <c r="E9" s="53" t="s">
        <v>169</v>
      </c>
      <c r="F9" s="30" t="s">
        <v>130</v>
      </c>
      <c r="G9" s="12">
        <v>1</v>
      </c>
      <c r="H9" s="13">
        <v>24</v>
      </c>
      <c r="I9" s="7">
        <v>28000</v>
      </c>
      <c r="J9" s="14">
        <v>2504</v>
      </c>
      <c r="K9" s="15">
        <f>L9+4421+1946+4993+5197+5228+2437+2504</f>
        <v>26726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0.55729166666666674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131</v>
      </c>
      <c r="E10" s="53" t="s">
        <v>168</v>
      </c>
      <c r="F10" s="30" t="s">
        <v>144</v>
      </c>
      <c r="G10" s="33">
        <v>1</v>
      </c>
      <c r="H10" s="35">
        <v>24</v>
      </c>
      <c r="I10" s="7">
        <v>25000</v>
      </c>
      <c r="J10" s="14">
        <v>6647</v>
      </c>
      <c r="K10" s="15">
        <f>L10+6258+6648+6637+2872+6338+6604+6657+3122+6284</f>
        <v>58067</v>
      </c>
      <c r="L10" s="15">
        <f>3306+3341</f>
        <v>6647</v>
      </c>
      <c r="M10" s="15">
        <f t="shared" si="0"/>
        <v>6647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0.55729166666666674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162</v>
      </c>
      <c r="E11" s="53" t="s">
        <v>163</v>
      </c>
      <c r="F11" s="30" t="s">
        <v>164</v>
      </c>
      <c r="G11" s="33">
        <v>16</v>
      </c>
      <c r="H11" s="35">
        <v>24</v>
      </c>
      <c r="I11" s="7">
        <v>100000</v>
      </c>
      <c r="J11" s="14">
        <v>15260</v>
      </c>
      <c r="K11" s="15">
        <f>L11+39816+90622+108136+15260</f>
        <v>253834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0.55729166666666674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134</v>
      </c>
      <c r="F12" s="30" t="s">
        <v>135</v>
      </c>
      <c r="G12" s="12">
        <v>1</v>
      </c>
      <c r="H12" s="13">
        <v>22</v>
      </c>
      <c r="I12" s="31">
        <v>34000</v>
      </c>
      <c r="J12" s="5">
        <v>5478</v>
      </c>
      <c r="K12" s="15">
        <f>L12+5421+4981+4563+3733+2354+5233+5443+5490+2615+5249</f>
        <v>50560</v>
      </c>
      <c r="L12" s="15">
        <f>2725+2753</f>
        <v>5478</v>
      </c>
      <c r="M12" s="15">
        <f t="shared" si="0"/>
        <v>5478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0.55729166666666674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131</v>
      </c>
      <c r="E13" s="53" t="s">
        <v>154</v>
      </c>
      <c r="F13" s="30" t="s">
        <v>144</v>
      </c>
      <c r="G13" s="33">
        <v>2</v>
      </c>
      <c r="H13" s="35">
        <v>24</v>
      </c>
      <c r="I13" s="7">
        <v>12000</v>
      </c>
      <c r="J13" s="14">
        <v>11544</v>
      </c>
      <c r="K13" s="15">
        <f>L13+11292</f>
        <v>22836</v>
      </c>
      <c r="L13" s="15">
        <f>2987*2+2785*2</f>
        <v>11544</v>
      </c>
      <c r="M13" s="15">
        <f t="shared" si="0"/>
        <v>11544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0.55729166666666674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273</v>
      </c>
      <c r="D14" s="52" t="s">
        <v>115</v>
      </c>
      <c r="E14" s="53" t="s">
        <v>296</v>
      </c>
      <c r="F14" s="30" t="s">
        <v>307</v>
      </c>
      <c r="G14" s="33">
        <v>1</v>
      </c>
      <c r="H14" s="35">
        <v>50</v>
      </c>
      <c r="I14" s="7">
        <v>500</v>
      </c>
      <c r="J14" s="5">
        <v>946</v>
      </c>
      <c r="K14" s="15">
        <f>L14</f>
        <v>946</v>
      </c>
      <c r="L14" s="15">
        <v>946</v>
      </c>
      <c r="M14" s="15">
        <f t="shared" si="0"/>
        <v>946</v>
      </c>
      <c r="N14" s="15">
        <v>0</v>
      </c>
      <c r="O14" s="58">
        <f t="shared" si="1"/>
        <v>0</v>
      </c>
      <c r="P14" s="39">
        <f t="shared" si="2"/>
        <v>11</v>
      </c>
      <c r="Q14" s="40">
        <f t="shared" si="3"/>
        <v>13</v>
      </c>
      <c r="R14" s="7"/>
      <c r="S14" s="6"/>
      <c r="T14" s="16"/>
      <c r="U14" s="16"/>
      <c r="V14" s="17"/>
      <c r="W14" s="5">
        <v>13</v>
      </c>
      <c r="X14" s="16"/>
      <c r="Y14" s="16"/>
      <c r="Z14" s="16"/>
      <c r="AA14" s="18"/>
      <c r="AB14" s="8">
        <f t="shared" si="4"/>
        <v>1</v>
      </c>
      <c r="AC14" s="9">
        <f t="shared" si="5"/>
        <v>0.45833333333333331</v>
      </c>
      <c r="AD14" s="10">
        <f t="shared" si="6"/>
        <v>0.45833333333333331</v>
      </c>
      <c r="AE14" s="36">
        <f t="shared" si="7"/>
        <v>0.55729166666666674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0.55729166666666674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308</v>
      </c>
      <c r="D16" s="52" t="s">
        <v>309</v>
      </c>
      <c r="E16" s="53" t="s">
        <v>310</v>
      </c>
      <c r="F16" s="30" t="s">
        <v>145</v>
      </c>
      <c r="G16" s="12">
        <v>1</v>
      </c>
      <c r="H16" s="13">
        <v>24</v>
      </c>
      <c r="I16" s="7">
        <v>500</v>
      </c>
      <c r="J16" s="14">
        <v>3806</v>
      </c>
      <c r="K16" s="15">
        <f>L16</f>
        <v>3806</v>
      </c>
      <c r="L16" s="15">
        <f>1231+2575</f>
        <v>3806</v>
      </c>
      <c r="M16" s="15">
        <f t="shared" si="0"/>
        <v>3806</v>
      </c>
      <c r="N16" s="15">
        <v>0</v>
      </c>
      <c r="O16" s="58">
        <f t="shared" si="1"/>
        <v>0</v>
      </c>
      <c r="P16" s="39">
        <f t="shared" si="2"/>
        <v>18</v>
      </c>
      <c r="Q16" s="40">
        <f t="shared" si="3"/>
        <v>6</v>
      </c>
      <c r="R16" s="7"/>
      <c r="S16" s="6">
        <v>6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0.75</v>
      </c>
      <c r="AD16" s="10">
        <f t="shared" si="6"/>
        <v>0.75</v>
      </c>
      <c r="AE16" s="36">
        <f t="shared" si="7"/>
        <v>0.55729166666666674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/>
      <c r="E17" s="53" t="s">
        <v>250</v>
      </c>
      <c r="F17" s="30" t="s">
        <v>127</v>
      </c>
      <c r="G17" s="12">
        <v>1</v>
      </c>
      <c r="H17" s="13">
        <v>24</v>
      </c>
      <c r="I17" s="7">
        <v>1100</v>
      </c>
      <c r="J17" s="14">
        <v>3052</v>
      </c>
      <c r="K17" s="15">
        <f>L17+3052</f>
        <v>3052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0.55729166666666674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273</v>
      </c>
      <c r="D18" s="52" t="s">
        <v>115</v>
      </c>
      <c r="E18" s="53" t="s">
        <v>272</v>
      </c>
      <c r="F18" s="30" t="s">
        <v>286</v>
      </c>
      <c r="G18" s="33">
        <v>1</v>
      </c>
      <c r="H18" s="35">
        <v>24</v>
      </c>
      <c r="I18" s="7">
        <v>11000</v>
      </c>
      <c r="J18" s="14">
        <v>7008</v>
      </c>
      <c r="K18" s="15">
        <f>L18+5514</f>
        <v>12522</v>
      </c>
      <c r="L18" s="15">
        <f>3497+3511</f>
        <v>7008</v>
      </c>
      <c r="M18" s="15">
        <f t="shared" si="0"/>
        <v>7008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0.55729166666666674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129</v>
      </c>
      <c r="E19" s="53" t="s">
        <v>170</v>
      </c>
      <c r="F19" s="30" t="s">
        <v>156</v>
      </c>
      <c r="G19" s="33">
        <v>1</v>
      </c>
      <c r="H19" s="35">
        <v>24</v>
      </c>
      <c r="I19" s="7">
        <v>28000</v>
      </c>
      <c r="J19" s="14">
        <v>4359</v>
      </c>
      <c r="K19" s="15">
        <f>L19+4498+2017+4516+4728+4695+2256+4538</f>
        <v>31607</v>
      </c>
      <c r="L19" s="15">
        <f>2395+1964</f>
        <v>4359</v>
      </c>
      <c r="M19" s="15">
        <f t="shared" si="0"/>
        <v>4359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0.55729166666666674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297</v>
      </c>
      <c r="F20" s="30" t="s">
        <v>311</v>
      </c>
      <c r="G20" s="12">
        <v>4</v>
      </c>
      <c r="H20" s="13">
        <v>24</v>
      </c>
      <c r="I20" s="7">
        <v>6000</v>
      </c>
      <c r="J20" s="14">
        <v>10132</v>
      </c>
      <c r="K20" s="15">
        <f>L20</f>
        <v>10132</v>
      </c>
      <c r="L20" s="15">
        <f>2533*4</f>
        <v>10132</v>
      </c>
      <c r="M20" s="15">
        <f t="shared" si="0"/>
        <v>10132</v>
      </c>
      <c r="N20" s="15">
        <v>0</v>
      </c>
      <c r="O20" s="58">
        <f t="shared" si="1"/>
        <v>0</v>
      </c>
      <c r="P20" s="39">
        <f t="shared" si="2"/>
        <v>15</v>
      </c>
      <c r="Q20" s="40">
        <f t="shared" si="3"/>
        <v>9</v>
      </c>
      <c r="R20" s="7"/>
      <c r="S20" s="6"/>
      <c r="T20" s="16"/>
      <c r="U20" s="16"/>
      <c r="V20" s="17"/>
      <c r="W20" s="5">
        <v>9</v>
      </c>
      <c r="X20" s="16"/>
      <c r="Y20" s="16"/>
      <c r="Z20" s="16"/>
      <c r="AA20" s="18"/>
      <c r="AB20" s="8">
        <f t="shared" si="4"/>
        <v>1</v>
      </c>
      <c r="AC20" s="9">
        <f t="shared" si="5"/>
        <v>0.625</v>
      </c>
      <c r="AD20" s="10">
        <f t="shared" si="6"/>
        <v>0.625</v>
      </c>
      <c r="AE20" s="36">
        <f t="shared" si="7"/>
        <v>0.55729166666666674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67104</v>
      </c>
      <c r="K21" s="15">
        <f>L21+62008+65280+66156+31132+60100</f>
        <v>351780</v>
      </c>
      <c r="L21" s="15">
        <f>8348*4+8428*4</f>
        <v>67104</v>
      </c>
      <c r="M21" s="15">
        <f t="shared" si="0"/>
        <v>67104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0.55729166666666674</v>
      </c>
      <c r="AF21" s="84">
        <f t="shared" si="8"/>
        <v>16</v>
      </c>
    </row>
    <row r="22" spans="1:32" ht="31.5" customHeight="1" thickBot="1">
      <c r="A22" s="443" t="s">
        <v>34</v>
      </c>
      <c r="B22" s="444"/>
      <c r="C22" s="444"/>
      <c r="D22" s="444"/>
      <c r="E22" s="444"/>
      <c r="F22" s="444"/>
      <c r="G22" s="444"/>
      <c r="H22" s="445"/>
      <c r="I22" s="22">
        <f t="shared" ref="I22:N22" si="9">SUM(I6:I21)</f>
        <v>1266000</v>
      </c>
      <c r="J22" s="19">
        <f t="shared" si="9"/>
        <v>156804</v>
      </c>
      <c r="K22" s="20">
        <f t="shared" si="9"/>
        <v>844832</v>
      </c>
      <c r="L22" s="21">
        <f t="shared" si="9"/>
        <v>123632</v>
      </c>
      <c r="M22" s="20">
        <f t="shared" si="9"/>
        <v>123632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214</v>
      </c>
      <c r="Q22" s="43">
        <f t="shared" si="10"/>
        <v>170</v>
      </c>
      <c r="R22" s="23">
        <f t="shared" si="10"/>
        <v>24</v>
      </c>
      <c r="S22" s="24">
        <f t="shared" si="10"/>
        <v>40</v>
      </c>
      <c r="T22" s="24">
        <f t="shared" si="10"/>
        <v>9</v>
      </c>
      <c r="U22" s="24">
        <f t="shared" si="10"/>
        <v>0</v>
      </c>
      <c r="V22" s="25">
        <f t="shared" si="10"/>
        <v>0</v>
      </c>
      <c r="W22" s="26">
        <f t="shared" si="10"/>
        <v>77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20</v>
      </c>
      <c r="AB22" s="28">
        <f>AVERAGE(AB6:AB21)</f>
        <v>0.75</v>
      </c>
      <c r="AC22" s="4">
        <f>AVERAGE(AC6:AC21)</f>
        <v>0.55729166666666674</v>
      </c>
      <c r="AD22" s="4">
        <f>AVERAGE(AD6:AD21)</f>
        <v>0.55729166666666674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6" t="s">
        <v>45</v>
      </c>
      <c r="B49" s="446"/>
      <c r="C49" s="446"/>
      <c r="D49" s="446"/>
      <c r="E49" s="446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7" t="s">
        <v>312</v>
      </c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9"/>
      <c r="N50" s="450" t="s">
        <v>316</v>
      </c>
      <c r="O50" s="451"/>
      <c r="P50" s="451"/>
      <c r="Q50" s="451"/>
      <c r="R50" s="451"/>
      <c r="S50" s="451"/>
      <c r="T50" s="451"/>
      <c r="U50" s="451"/>
      <c r="V50" s="451"/>
      <c r="W50" s="451"/>
      <c r="X50" s="451"/>
      <c r="Y50" s="451"/>
      <c r="Z50" s="451"/>
      <c r="AA50" s="451"/>
      <c r="AB50" s="451"/>
      <c r="AC50" s="451"/>
      <c r="AD50" s="452"/>
    </row>
    <row r="51" spans="1:32" ht="27" customHeight="1">
      <c r="A51" s="453" t="s">
        <v>2</v>
      </c>
      <c r="B51" s="454"/>
      <c r="C51" s="198" t="s">
        <v>46</v>
      </c>
      <c r="D51" s="198" t="s">
        <v>47</v>
      </c>
      <c r="E51" s="198" t="s">
        <v>107</v>
      </c>
      <c r="F51" s="455" t="s">
        <v>106</v>
      </c>
      <c r="G51" s="456"/>
      <c r="H51" s="456"/>
      <c r="I51" s="456"/>
      <c r="J51" s="456"/>
      <c r="K51" s="456"/>
      <c r="L51" s="456"/>
      <c r="M51" s="457"/>
      <c r="N51" s="67" t="s">
        <v>110</v>
      </c>
      <c r="O51" s="198" t="s">
        <v>46</v>
      </c>
      <c r="P51" s="455" t="s">
        <v>47</v>
      </c>
      <c r="Q51" s="458"/>
      <c r="R51" s="455" t="s">
        <v>38</v>
      </c>
      <c r="S51" s="456"/>
      <c r="T51" s="456"/>
      <c r="U51" s="458"/>
      <c r="V51" s="455" t="s">
        <v>48</v>
      </c>
      <c r="W51" s="456"/>
      <c r="X51" s="456"/>
      <c r="Y51" s="456"/>
      <c r="Z51" s="456"/>
      <c r="AA51" s="456"/>
      <c r="AB51" s="456"/>
      <c r="AC51" s="456"/>
      <c r="AD51" s="457"/>
    </row>
    <row r="52" spans="1:32" ht="27" customHeight="1">
      <c r="A52" s="469" t="s">
        <v>138</v>
      </c>
      <c r="B52" s="470"/>
      <c r="C52" s="194" t="s">
        <v>147</v>
      </c>
      <c r="D52" s="194" t="s">
        <v>305</v>
      </c>
      <c r="E52" s="194" t="s">
        <v>313</v>
      </c>
      <c r="F52" s="471" t="s">
        <v>314</v>
      </c>
      <c r="G52" s="472"/>
      <c r="H52" s="472"/>
      <c r="I52" s="472"/>
      <c r="J52" s="472"/>
      <c r="K52" s="472"/>
      <c r="L52" s="472"/>
      <c r="M52" s="473"/>
      <c r="N52" s="197" t="s">
        <v>118</v>
      </c>
      <c r="O52" s="191" t="s">
        <v>257</v>
      </c>
      <c r="P52" s="474" t="s">
        <v>115</v>
      </c>
      <c r="Q52" s="475"/>
      <c r="R52" s="474" t="s">
        <v>258</v>
      </c>
      <c r="S52" s="476"/>
      <c r="T52" s="476"/>
      <c r="U52" s="475"/>
      <c r="V52" s="477" t="s">
        <v>132</v>
      </c>
      <c r="W52" s="477"/>
      <c r="X52" s="477"/>
      <c r="Y52" s="477"/>
      <c r="Z52" s="477"/>
      <c r="AA52" s="477"/>
      <c r="AB52" s="477"/>
      <c r="AC52" s="477"/>
      <c r="AD52" s="478"/>
    </row>
    <row r="53" spans="1:32" ht="27" customHeight="1">
      <c r="A53" s="469" t="s">
        <v>118</v>
      </c>
      <c r="B53" s="470"/>
      <c r="C53" s="193" t="s">
        <v>141</v>
      </c>
      <c r="D53" s="193" t="s">
        <v>115</v>
      </c>
      <c r="E53" s="194" t="s">
        <v>297</v>
      </c>
      <c r="F53" s="471" t="s">
        <v>132</v>
      </c>
      <c r="G53" s="472"/>
      <c r="H53" s="472"/>
      <c r="I53" s="472"/>
      <c r="J53" s="472"/>
      <c r="K53" s="472"/>
      <c r="L53" s="472"/>
      <c r="M53" s="473"/>
      <c r="N53" s="197" t="s">
        <v>138</v>
      </c>
      <c r="O53" s="191" t="s">
        <v>147</v>
      </c>
      <c r="P53" s="474"/>
      <c r="Q53" s="475"/>
      <c r="R53" s="474" t="s">
        <v>294</v>
      </c>
      <c r="S53" s="476"/>
      <c r="T53" s="476"/>
      <c r="U53" s="475"/>
      <c r="V53" s="477" t="s">
        <v>124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 t="s">
        <v>308</v>
      </c>
      <c r="B54" s="470"/>
      <c r="C54" s="194" t="s">
        <v>222</v>
      </c>
      <c r="D54" s="194" t="s">
        <v>309</v>
      </c>
      <c r="E54" s="194" t="s">
        <v>310</v>
      </c>
      <c r="F54" s="471" t="s">
        <v>315</v>
      </c>
      <c r="G54" s="472"/>
      <c r="H54" s="472"/>
      <c r="I54" s="472"/>
      <c r="J54" s="472"/>
      <c r="K54" s="472"/>
      <c r="L54" s="472"/>
      <c r="M54" s="473"/>
      <c r="N54" s="197" t="s">
        <v>112</v>
      </c>
      <c r="O54" s="191" t="s">
        <v>133</v>
      </c>
      <c r="P54" s="474" t="s">
        <v>208</v>
      </c>
      <c r="Q54" s="475"/>
      <c r="R54" s="474" t="s">
        <v>246</v>
      </c>
      <c r="S54" s="476"/>
      <c r="T54" s="476"/>
      <c r="U54" s="475"/>
      <c r="V54" s="477" t="s">
        <v>132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69" t="s">
        <v>118</v>
      </c>
      <c r="B55" s="470"/>
      <c r="C55" s="194" t="s">
        <v>133</v>
      </c>
      <c r="D55" s="194" t="s">
        <v>142</v>
      </c>
      <c r="E55" s="194" t="s">
        <v>231</v>
      </c>
      <c r="F55" s="471" t="s">
        <v>295</v>
      </c>
      <c r="G55" s="472"/>
      <c r="H55" s="472"/>
      <c r="I55" s="472"/>
      <c r="J55" s="472"/>
      <c r="K55" s="472"/>
      <c r="L55" s="472"/>
      <c r="M55" s="473"/>
      <c r="N55" s="197" t="s">
        <v>112</v>
      </c>
      <c r="O55" s="191" t="s">
        <v>318</v>
      </c>
      <c r="P55" s="474" t="s">
        <v>115</v>
      </c>
      <c r="Q55" s="475"/>
      <c r="R55" s="474" t="s">
        <v>317</v>
      </c>
      <c r="S55" s="476"/>
      <c r="T55" s="476"/>
      <c r="U55" s="475"/>
      <c r="V55" s="477" t="s">
        <v>132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273</v>
      </c>
      <c r="B56" s="470"/>
      <c r="C56" s="194" t="s">
        <v>257</v>
      </c>
      <c r="D56" s="194" t="s">
        <v>115</v>
      </c>
      <c r="E56" s="194" t="s">
        <v>296</v>
      </c>
      <c r="F56" s="471" t="s">
        <v>132</v>
      </c>
      <c r="G56" s="472"/>
      <c r="H56" s="472"/>
      <c r="I56" s="472"/>
      <c r="J56" s="472"/>
      <c r="K56" s="472"/>
      <c r="L56" s="472"/>
      <c r="M56" s="473"/>
      <c r="N56" s="197" t="s">
        <v>112</v>
      </c>
      <c r="O56" s="191" t="s">
        <v>141</v>
      </c>
      <c r="P56" s="474" t="s">
        <v>115</v>
      </c>
      <c r="Q56" s="475"/>
      <c r="R56" s="474" t="s">
        <v>319</v>
      </c>
      <c r="S56" s="476"/>
      <c r="T56" s="476"/>
      <c r="U56" s="475"/>
      <c r="V56" s="477" t="s">
        <v>132</v>
      </c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/>
      <c r="B57" s="470"/>
      <c r="C57" s="194"/>
      <c r="D57" s="194"/>
      <c r="E57" s="194"/>
      <c r="F57" s="471"/>
      <c r="G57" s="472"/>
      <c r="H57" s="472"/>
      <c r="I57" s="472"/>
      <c r="J57" s="472"/>
      <c r="K57" s="472"/>
      <c r="L57" s="472"/>
      <c r="M57" s="473"/>
      <c r="N57" s="197"/>
      <c r="O57" s="191"/>
      <c r="P57" s="474"/>
      <c r="Q57" s="475"/>
      <c r="R57" s="474"/>
      <c r="S57" s="476"/>
      <c r="T57" s="476"/>
      <c r="U57" s="475"/>
      <c r="V57" s="477"/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/>
      <c r="B58" s="470"/>
      <c r="C58" s="194"/>
      <c r="D58" s="194"/>
      <c r="E58" s="194"/>
      <c r="F58" s="471"/>
      <c r="G58" s="472"/>
      <c r="H58" s="472"/>
      <c r="I58" s="472"/>
      <c r="J58" s="472"/>
      <c r="K58" s="472"/>
      <c r="L58" s="472"/>
      <c r="M58" s="473"/>
      <c r="N58" s="197"/>
      <c r="O58" s="191"/>
      <c r="P58" s="474"/>
      <c r="Q58" s="475"/>
      <c r="R58" s="474"/>
      <c r="S58" s="476"/>
      <c r="T58" s="476"/>
      <c r="U58" s="475"/>
      <c r="V58" s="477"/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/>
      <c r="B59" s="488"/>
      <c r="C59" s="193"/>
      <c r="D59" s="193"/>
      <c r="E59" s="194"/>
      <c r="F59" s="471"/>
      <c r="G59" s="472"/>
      <c r="H59" s="472"/>
      <c r="I59" s="472"/>
      <c r="J59" s="472"/>
      <c r="K59" s="472"/>
      <c r="L59" s="472"/>
      <c r="M59" s="473"/>
      <c r="N59" s="197"/>
      <c r="O59" s="191"/>
      <c r="P59" s="474"/>
      <c r="Q59" s="475"/>
      <c r="R59" s="470"/>
      <c r="S59" s="470"/>
      <c r="T59" s="470"/>
      <c r="U59" s="470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/>
      <c r="B60" s="488"/>
      <c r="C60" s="193"/>
      <c r="D60" s="193"/>
      <c r="E60" s="194"/>
      <c r="F60" s="471"/>
      <c r="G60" s="472"/>
      <c r="H60" s="472"/>
      <c r="I60" s="472"/>
      <c r="J60" s="472"/>
      <c r="K60" s="472"/>
      <c r="L60" s="472"/>
      <c r="M60" s="473"/>
      <c r="N60" s="197"/>
      <c r="O60" s="191"/>
      <c r="P60" s="470"/>
      <c r="Q60" s="470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  <c r="AF60" s="84">
        <f>8*3000</f>
        <v>24000</v>
      </c>
    </row>
    <row r="61" spans="1:32" ht="27" customHeight="1" thickBot="1">
      <c r="A61" s="479"/>
      <c r="B61" s="480"/>
      <c r="C61" s="195"/>
      <c r="D61" s="196"/>
      <c r="E61" s="195"/>
      <c r="F61" s="481"/>
      <c r="G61" s="482"/>
      <c r="H61" s="482"/>
      <c r="I61" s="482"/>
      <c r="J61" s="482"/>
      <c r="K61" s="482"/>
      <c r="L61" s="482"/>
      <c r="M61" s="483"/>
      <c r="N61" s="111"/>
      <c r="O61" s="103"/>
      <c r="P61" s="484"/>
      <c r="Q61" s="484"/>
      <c r="R61" s="484"/>
      <c r="S61" s="484"/>
      <c r="T61" s="484"/>
      <c r="U61" s="484"/>
      <c r="V61" s="485"/>
      <c r="W61" s="485"/>
      <c r="X61" s="485"/>
      <c r="Y61" s="485"/>
      <c r="Z61" s="485"/>
      <c r="AA61" s="485"/>
      <c r="AB61" s="485"/>
      <c r="AC61" s="485"/>
      <c r="AD61" s="486"/>
      <c r="AF61" s="84">
        <f>16*3000</f>
        <v>48000</v>
      </c>
    </row>
    <row r="62" spans="1:32" ht="27.75" thickBot="1">
      <c r="A62" s="489" t="s">
        <v>320</v>
      </c>
      <c r="B62" s="489"/>
      <c r="C62" s="489"/>
      <c r="D62" s="489"/>
      <c r="E62" s="48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0" t="s">
        <v>111</v>
      </c>
      <c r="B63" s="491"/>
      <c r="C63" s="192" t="s">
        <v>2</v>
      </c>
      <c r="D63" s="192" t="s">
        <v>37</v>
      </c>
      <c r="E63" s="192" t="s">
        <v>3</v>
      </c>
      <c r="F63" s="491" t="s">
        <v>109</v>
      </c>
      <c r="G63" s="491"/>
      <c r="H63" s="491"/>
      <c r="I63" s="491"/>
      <c r="J63" s="491"/>
      <c r="K63" s="491" t="s">
        <v>39</v>
      </c>
      <c r="L63" s="491"/>
      <c r="M63" s="192" t="s">
        <v>40</v>
      </c>
      <c r="N63" s="491" t="s">
        <v>41</v>
      </c>
      <c r="O63" s="491"/>
      <c r="P63" s="492" t="s">
        <v>42</v>
      </c>
      <c r="Q63" s="493"/>
      <c r="R63" s="492" t="s">
        <v>43</v>
      </c>
      <c r="S63" s="494"/>
      <c r="T63" s="494"/>
      <c r="U63" s="494"/>
      <c r="V63" s="494"/>
      <c r="W63" s="494"/>
      <c r="X63" s="494"/>
      <c r="Y63" s="494"/>
      <c r="Z63" s="494"/>
      <c r="AA63" s="493"/>
      <c r="AB63" s="491" t="s">
        <v>44</v>
      </c>
      <c r="AC63" s="491"/>
      <c r="AD63" s="495"/>
      <c r="AF63" s="84">
        <f>SUM(AF60:AF62)</f>
        <v>96000</v>
      </c>
    </row>
    <row r="64" spans="1:32" ht="25.5" customHeight="1">
      <c r="A64" s="496">
        <v>1</v>
      </c>
      <c r="B64" s="497"/>
      <c r="C64" s="104" t="s">
        <v>210</v>
      </c>
      <c r="D64" s="187"/>
      <c r="E64" s="190" t="s">
        <v>229</v>
      </c>
      <c r="F64" s="498" t="s">
        <v>237</v>
      </c>
      <c r="G64" s="499"/>
      <c r="H64" s="499"/>
      <c r="I64" s="499"/>
      <c r="J64" s="500"/>
      <c r="K64" s="501" t="s">
        <v>213</v>
      </c>
      <c r="L64" s="501"/>
      <c r="M64" s="51" t="s">
        <v>143</v>
      </c>
      <c r="N64" s="502" t="s">
        <v>139</v>
      </c>
      <c r="O64" s="502"/>
      <c r="P64" s="503">
        <v>100</v>
      </c>
      <c r="Q64" s="503"/>
      <c r="R64" s="477"/>
      <c r="S64" s="477"/>
      <c r="T64" s="477"/>
      <c r="U64" s="477"/>
      <c r="V64" s="477"/>
      <c r="W64" s="477"/>
      <c r="X64" s="477"/>
      <c r="Y64" s="477"/>
      <c r="Z64" s="477"/>
      <c r="AA64" s="477"/>
      <c r="AB64" s="501"/>
      <c r="AC64" s="501"/>
      <c r="AD64" s="504"/>
      <c r="AF64" s="50"/>
    </row>
    <row r="65" spans="1:32" ht="25.5" customHeight="1">
      <c r="A65" s="496">
        <v>2</v>
      </c>
      <c r="B65" s="497"/>
      <c r="C65" s="104"/>
      <c r="D65" s="187"/>
      <c r="E65" s="190"/>
      <c r="F65" s="498"/>
      <c r="G65" s="499"/>
      <c r="H65" s="499"/>
      <c r="I65" s="499"/>
      <c r="J65" s="500"/>
      <c r="K65" s="501"/>
      <c r="L65" s="501"/>
      <c r="M65" s="51"/>
      <c r="N65" s="502"/>
      <c r="O65" s="502"/>
      <c r="P65" s="503"/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3</v>
      </c>
      <c r="B66" s="497"/>
      <c r="C66" s="104"/>
      <c r="D66" s="187"/>
      <c r="E66" s="190"/>
      <c r="F66" s="498"/>
      <c r="G66" s="499"/>
      <c r="H66" s="499"/>
      <c r="I66" s="499"/>
      <c r="J66" s="500"/>
      <c r="K66" s="501"/>
      <c r="L66" s="501"/>
      <c r="M66" s="51"/>
      <c r="N66" s="502"/>
      <c r="O66" s="502"/>
      <c r="P66" s="503"/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4</v>
      </c>
      <c r="B67" s="497"/>
      <c r="C67" s="104"/>
      <c r="D67" s="187"/>
      <c r="E67" s="190"/>
      <c r="F67" s="498"/>
      <c r="G67" s="499"/>
      <c r="H67" s="499"/>
      <c r="I67" s="499"/>
      <c r="J67" s="500"/>
      <c r="K67" s="501"/>
      <c r="L67" s="501"/>
      <c r="M67" s="51"/>
      <c r="N67" s="502"/>
      <c r="O67" s="502"/>
      <c r="P67" s="503"/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5</v>
      </c>
      <c r="B68" s="497"/>
      <c r="C68" s="104"/>
      <c r="D68" s="187"/>
      <c r="E68" s="190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6</v>
      </c>
      <c r="B69" s="497"/>
      <c r="C69" s="104"/>
      <c r="D69" s="187"/>
      <c r="E69" s="190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7</v>
      </c>
      <c r="B70" s="497"/>
      <c r="C70" s="104"/>
      <c r="D70" s="187"/>
      <c r="E70" s="190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8</v>
      </c>
      <c r="B71" s="497"/>
      <c r="C71" s="104"/>
      <c r="D71" s="187"/>
      <c r="E71" s="190"/>
      <c r="F71" s="505"/>
      <c r="G71" s="501"/>
      <c r="H71" s="501"/>
      <c r="I71" s="501"/>
      <c r="J71" s="501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9</v>
      </c>
      <c r="B72" s="497"/>
      <c r="C72" s="104"/>
      <c r="D72" s="187"/>
      <c r="E72" s="190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10</v>
      </c>
      <c r="B73" s="497"/>
      <c r="C73" s="104"/>
      <c r="D73" s="187"/>
      <c r="E73" s="190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6.25" customHeight="1" thickBot="1">
      <c r="A74" s="506" t="s">
        <v>321</v>
      </c>
      <c r="B74" s="506"/>
      <c r="C74" s="506"/>
      <c r="D74" s="506"/>
      <c r="E74" s="50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7" t="s">
        <v>126</v>
      </c>
      <c r="B75" s="508"/>
      <c r="C75" s="189" t="s">
        <v>2</v>
      </c>
      <c r="D75" s="189" t="s">
        <v>37</v>
      </c>
      <c r="E75" s="189" t="s">
        <v>125</v>
      </c>
      <c r="F75" s="508" t="s">
        <v>38</v>
      </c>
      <c r="G75" s="508"/>
      <c r="H75" s="508"/>
      <c r="I75" s="508"/>
      <c r="J75" s="508"/>
      <c r="K75" s="509" t="s">
        <v>58</v>
      </c>
      <c r="L75" s="510"/>
      <c r="M75" s="510"/>
      <c r="N75" s="510"/>
      <c r="O75" s="510"/>
      <c r="P75" s="510"/>
      <c r="Q75" s="510"/>
      <c r="R75" s="510"/>
      <c r="S75" s="511"/>
      <c r="T75" s="508" t="s">
        <v>49</v>
      </c>
      <c r="U75" s="508"/>
      <c r="V75" s="509" t="s">
        <v>50</v>
      </c>
      <c r="W75" s="511"/>
      <c r="X75" s="510" t="s">
        <v>51</v>
      </c>
      <c r="Y75" s="510"/>
      <c r="Z75" s="510"/>
      <c r="AA75" s="510"/>
      <c r="AB75" s="510"/>
      <c r="AC75" s="510"/>
      <c r="AD75" s="512"/>
      <c r="AF75" s="50"/>
    </row>
    <row r="76" spans="1:32" ht="33.75" customHeight="1">
      <c r="A76" s="521">
        <v>1</v>
      </c>
      <c r="B76" s="522"/>
      <c r="C76" s="188" t="s">
        <v>112</v>
      </c>
      <c r="D76" s="188"/>
      <c r="E76" s="65" t="s">
        <v>117</v>
      </c>
      <c r="F76" s="523" t="s">
        <v>116</v>
      </c>
      <c r="G76" s="524"/>
      <c r="H76" s="524"/>
      <c r="I76" s="524"/>
      <c r="J76" s="525"/>
      <c r="K76" s="526" t="s">
        <v>119</v>
      </c>
      <c r="L76" s="527"/>
      <c r="M76" s="527"/>
      <c r="N76" s="527"/>
      <c r="O76" s="527"/>
      <c r="P76" s="527"/>
      <c r="Q76" s="527"/>
      <c r="R76" s="527"/>
      <c r="S76" s="528"/>
      <c r="T76" s="529">
        <v>44118</v>
      </c>
      <c r="U76" s="530"/>
      <c r="V76" s="531"/>
      <c r="W76" s="531"/>
      <c r="X76" s="532"/>
      <c r="Y76" s="532"/>
      <c r="Z76" s="532"/>
      <c r="AA76" s="532"/>
      <c r="AB76" s="532"/>
      <c r="AC76" s="532"/>
      <c r="AD76" s="533"/>
      <c r="AF76" s="50"/>
    </row>
    <row r="77" spans="1:32" ht="30" customHeight="1">
      <c r="A77" s="513">
        <f>A76+1</f>
        <v>2</v>
      </c>
      <c r="B77" s="514"/>
      <c r="C77" s="187"/>
      <c r="D77" s="187"/>
      <c r="E77" s="32"/>
      <c r="F77" s="514"/>
      <c r="G77" s="514"/>
      <c r="H77" s="514"/>
      <c r="I77" s="514"/>
      <c r="J77" s="514"/>
      <c r="K77" s="515"/>
      <c r="L77" s="516"/>
      <c r="M77" s="516"/>
      <c r="N77" s="516"/>
      <c r="O77" s="516"/>
      <c r="P77" s="516"/>
      <c r="Q77" s="516"/>
      <c r="R77" s="516"/>
      <c r="S77" s="517"/>
      <c r="T77" s="518"/>
      <c r="U77" s="518"/>
      <c r="V77" s="518"/>
      <c r="W77" s="518"/>
      <c r="X77" s="519"/>
      <c r="Y77" s="519"/>
      <c r="Z77" s="519"/>
      <c r="AA77" s="519"/>
      <c r="AB77" s="519"/>
      <c r="AC77" s="519"/>
      <c r="AD77" s="520"/>
      <c r="AF77" s="50"/>
    </row>
    <row r="78" spans="1:32" ht="30" customHeight="1">
      <c r="A78" s="513">
        <f t="shared" ref="A78:A82" si="11">A77+1</f>
        <v>3</v>
      </c>
      <c r="B78" s="514"/>
      <c r="C78" s="187"/>
      <c r="D78" s="187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si="11"/>
        <v>4</v>
      </c>
      <c r="B79" s="514"/>
      <c r="C79" s="187"/>
      <c r="D79" s="187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1"/>
        <v>5</v>
      </c>
      <c r="B80" s="514"/>
      <c r="C80" s="187"/>
      <c r="D80" s="187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1"/>
        <v>6</v>
      </c>
      <c r="B81" s="514"/>
      <c r="C81" s="187"/>
      <c r="D81" s="187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1"/>
        <v>7</v>
      </c>
      <c r="B82" s="514"/>
      <c r="C82" s="187"/>
      <c r="D82" s="187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6" thickBot="1">
      <c r="A83" s="506" t="s">
        <v>322</v>
      </c>
      <c r="B83" s="506"/>
      <c r="C83" s="506"/>
      <c r="D83" s="506"/>
      <c r="E83" s="50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7" t="s">
        <v>111</v>
      </c>
      <c r="B84" s="508"/>
      <c r="C84" s="534" t="s">
        <v>52</v>
      </c>
      <c r="D84" s="534"/>
      <c r="E84" s="534" t="s">
        <v>53</v>
      </c>
      <c r="F84" s="534"/>
      <c r="G84" s="534"/>
      <c r="H84" s="534"/>
      <c r="I84" s="534"/>
      <c r="J84" s="534"/>
      <c r="K84" s="534" t="s">
        <v>54</v>
      </c>
      <c r="L84" s="534"/>
      <c r="M84" s="534"/>
      <c r="N84" s="534"/>
      <c r="O84" s="534"/>
      <c r="P84" s="534"/>
      <c r="Q84" s="534"/>
      <c r="R84" s="534"/>
      <c r="S84" s="534"/>
      <c r="T84" s="534" t="s">
        <v>55</v>
      </c>
      <c r="U84" s="534"/>
      <c r="V84" s="534" t="s">
        <v>56</v>
      </c>
      <c r="W84" s="534"/>
      <c r="X84" s="534"/>
      <c r="Y84" s="534" t="s">
        <v>51</v>
      </c>
      <c r="Z84" s="534"/>
      <c r="AA84" s="534"/>
      <c r="AB84" s="534"/>
      <c r="AC84" s="534"/>
      <c r="AD84" s="535"/>
      <c r="AF84" s="50"/>
    </row>
    <row r="85" spans="1:32" ht="30.75" customHeight="1">
      <c r="A85" s="521">
        <v>1</v>
      </c>
      <c r="B85" s="522"/>
      <c r="C85" s="536">
        <v>9</v>
      </c>
      <c r="D85" s="536"/>
      <c r="E85" s="536" t="s">
        <v>136</v>
      </c>
      <c r="F85" s="536"/>
      <c r="G85" s="536"/>
      <c r="H85" s="536"/>
      <c r="I85" s="536"/>
      <c r="J85" s="536"/>
      <c r="K85" s="536" t="s">
        <v>161</v>
      </c>
      <c r="L85" s="536"/>
      <c r="M85" s="536"/>
      <c r="N85" s="536"/>
      <c r="O85" s="536"/>
      <c r="P85" s="536"/>
      <c r="Q85" s="536"/>
      <c r="R85" s="536"/>
      <c r="S85" s="536"/>
      <c r="T85" s="536" t="s">
        <v>137</v>
      </c>
      <c r="U85" s="536"/>
      <c r="V85" s="537" t="s">
        <v>152</v>
      </c>
      <c r="W85" s="537"/>
      <c r="X85" s="537"/>
      <c r="Y85" s="538"/>
      <c r="Z85" s="538"/>
      <c r="AA85" s="538"/>
      <c r="AB85" s="538"/>
      <c r="AC85" s="538"/>
      <c r="AD85" s="539"/>
      <c r="AF85" s="50"/>
    </row>
    <row r="86" spans="1:32" ht="30.75" customHeight="1">
      <c r="A86" s="513">
        <v>2</v>
      </c>
      <c r="B86" s="514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  <c r="P86" s="547"/>
      <c r="Q86" s="547"/>
      <c r="R86" s="547"/>
      <c r="S86" s="547"/>
      <c r="T86" s="548"/>
      <c r="U86" s="548"/>
      <c r="V86" s="549"/>
      <c r="W86" s="549"/>
      <c r="X86" s="549"/>
      <c r="Y86" s="540"/>
      <c r="Z86" s="540"/>
      <c r="AA86" s="540"/>
      <c r="AB86" s="540"/>
      <c r="AC86" s="540"/>
      <c r="AD86" s="541"/>
      <c r="AF86" s="50"/>
    </row>
    <row r="87" spans="1:32" ht="30.75" customHeight="1" thickBot="1">
      <c r="A87" s="542">
        <v>3</v>
      </c>
      <c r="B87" s="543"/>
      <c r="C87" s="544"/>
      <c r="D87" s="544"/>
      <c r="E87" s="544"/>
      <c r="F87" s="544"/>
      <c r="G87" s="544"/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5"/>
      <c r="Z87" s="545"/>
      <c r="AA87" s="545"/>
      <c r="AB87" s="545"/>
      <c r="AC87" s="545"/>
      <c r="AD87" s="546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C3C9-2DE8-4C7C-8A6B-25E35FEA582C}">
  <dimension ref="A1:AF88"/>
  <sheetViews>
    <sheetView view="pageBreakPreview" zoomScale="70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325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212" t="s">
        <v>17</v>
      </c>
      <c r="L5" s="212" t="s">
        <v>18</v>
      </c>
      <c r="M5" s="212" t="s">
        <v>19</v>
      </c>
      <c r="N5" s="21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269</v>
      </c>
      <c r="E6" s="53" t="s">
        <v>326</v>
      </c>
      <c r="F6" s="30" t="s">
        <v>249</v>
      </c>
      <c r="G6" s="12">
        <v>1</v>
      </c>
      <c r="H6" s="13">
        <v>24</v>
      </c>
      <c r="I6" s="31">
        <v>1200</v>
      </c>
      <c r="J6" s="14">
        <v>1288</v>
      </c>
      <c r="K6" s="15">
        <f>L6</f>
        <v>1288</v>
      </c>
      <c r="L6" s="15">
        <v>1288</v>
      </c>
      <c r="M6" s="15">
        <f t="shared" ref="M6:M22" si="0">L6-N6</f>
        <v>1288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7</v>
      </c>
      <c r="Q6" s="40">
        <f t="shared" ref="Q6:Q22" si="3">SUM(R6:AA6)</f>
        <v>17</v>
      </c>
      <c r="R6" s="7"/>
      <c r="S6" s="6"/>
      <c r="T6" s="16"/>
      <c r="U6" s="16"/>
      <c r="V6" s="17"/>
      <c r="W6" s="5">
        <v>17</v>
      </c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0.29166666666666669</v>
      </c>
      <c r="AD6" s="10">
        <f t="shared" ref="AD6:AD22" si="6">AC6*AB6*(1-O6)</f>
        <v>0.29166666666666669</v>
      </c>
      <c r="AE6" s="36">
        <f t="shared" ref="AE6:AE22" si="7">$AD$23</f>
        <v>0.42401960784313725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208</v>
      </c>
      <c r="E7" s="53" t="s">
        <v>246</v>
      </c>
      <c r="F7" s="30" t="s">
        <v>247</v>
      </c>
      <c r="G7" s="12">
        <v>1</v>
      </c>
      <c r="H7" s="13">
        <v>24</v>
      </c>
      <c r="I7" s="31">
        <v>80000</v>
      </c>
      <c r="J7" s="14">
        <v>4944</v>
      </c>
      <c r="K7" s="15">
        <f>L7</f>
        <v>4944</v>
      </c>
      <c r="L7" s="15">
        <f>1933+3011</f>
        <v>4944</v>
      </c>
      <c r="M7" s="15">
        <f t="shared" si="0"/>
        <v>4944</v>
      </c>
      <c r="N7" s="15">
        <v>0</v>
      </c>
      <c r="O7" s="58">
        <f t="shared" si="1"/>
        <v>0</v>
      </c>
      <c r="P7" s="39">
        <f t="shared" si="2"/>
        <v>22</v>
      </c>
      <c r="Q7" s="40">
        <f t="shared" si="3"/>
        <v>2</v>
      </c>
      <c r="R7" s="7"/>
      <c r="S7" s="6"/>
      <c r="T7" s="16">
        <v>2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0.91666666666666663</v>
      </c>
      <c r="AD7" s="10">
        <f t="shared" si="6"/>
        <v>0.91666666666666663</v>
      </c>
      <c r="AE7" s="36">
        <f t="shared" si="7"/>
        <v>0.42401960784313725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210</v>
      </c>
      <c r="D8" s="52" t="s">
        <v>323</v>
      </c>
      <c r="E8" s="52" t="s">
        <v>323</v>
      </c>
      <c r="F8" s="30" t="s">
        <v>213</v>
      </c>
      <c r="G8" s="33" t="s">
        <v>214</v>
      </c>
      <c r="H8" s="35">
        <v>24</v>
      </c>
      <c r="I8" s="7">
        <v>300</v>
      </c>
      <c r="J8" s="5">
        <v>500</v>
      </c>
      <c r="K8" s="15">
        <f>L8+500</f>
        <v>500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0.42401960784313725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120</v>
      </c>
      <c r="D9" s="52"/>
      <c r="E9" s="53" t="s">
        <v>160</v>
      </c>
      <c r="F9" s="30" t="s">
        <v>128</v>
      </c>
      <c r="G9" s="12">
        <v>1</v>
      </c>
      <c r="H9" s="13">
        <v>24</v>
      </c>
      <c r="I9" s="7">
        <v>20000</v>
      </c>
      <c r="J9" s="14">
        <v>3626</v>
      </c>
      <c r="K9" s="15">
        <f>L9</f>
        <v>3626</v>
      </c>
      <c r="L9" s="15">
        <f>817+2809</f>
        <v>3626</v>
      </c>
      <c r="M9" s="15">
        <f t="shared" si="0"/>
        <v>3626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/>
      <c r="T9" s="16">
        <v>6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6">
        <f t="shared" si="7"/>
        <v>0.42401960784313725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131</v>
      </c>
      <c r="E10" s="53" t="s">
        <v>168</v>
      </c>
      <c r="F10" s="30" t="s">
        <v>144</v>
      </c>
      <c r="G10" s="33">
        <v>1</v>
      </c>
      <c r="H10" s="35">
        <v>24</v>
      </c>
      <c r="I10" s="7">
        <v>25000</v>
      </c>
      <c r="J10" s="14">
        <v>6648</v>
      </c>
      <c r="K10" s="15">
        <f>L10+6258+6648+6637+2872+6338+6604+6657+3122+6284+6647</f>
        <v>64715</v>
      </c>
      <c r="L10" s="15">
        <f>3314+3334</f>
        <v>6648</v>
      </c>
      <c r="M10" s="15">
        <f t="shared" si="0"/>
        <v>6648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0.42401960784313725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162</v>
      </c>
      <c r="E11" s="53" t="s">
        <v>163</v>
      </c>
      <c r="F11" s="30" t="s">
        <v>164</v>
      </c>
      <c r="G11" s="33">
        <v>16</v>
      </c>
      <c r="H11" s="35">
        <v>24</v>
      </c>
      <c r="I11" s="7">
        <v>100000</v>
      </c>
      <c r="J11" s="14">
        <v>15260</v>
      </c>
      <c r="K11" s="15">
        <f>L11+39816+90622+108136+15260</f>
        <v>253834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0.42401960784313725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134</v>
      </c>
      <c r="F12" s="30" t="s">
        <v>135</v>
      </c>
      <c r="G12" s="12">
        <v>1</v>
      </c>
      <c r="H12" s="13">
        <v>22</v>
      </c>
      <c r="I12" s="31">
        <v>30000</v>
      </c>
      <c r="J12" s="5">
        <v>3816</v>
      </c>
      <c r="K12" s="15">
        <f>L12</f>
        <v>3816</v>
      </c>
      <c r="L12" s="15">
        <f>1096+2720</f>
        <v>3816</v>
      </c>
      <c r="M12" s="15">
        <f t="shared" si="0"/>
        <v>3816</v>
      </c>
      <c r="N12" s="15">
        <v>0</v>
      </c>
      <c r="O12" s="58">
        <f t="shared" si="1"/>
        <v>0</v>
      </c>
      <c r="P12" s="39">
        <f t="shared" si="2"/>
        <v>18</v>
      </c>
      <c r="Q12" s="40">
        <f t="shared" si="3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0.75</v>
      </c>
      <c r="AD12" s="10">
        <f t="shared" si="6"/>
        <v>0.75</v>
      </c>
      <c r="AE12" s="36">
        <f t="shared" si="7"/>
        <v>0.42401960784313725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131</v>
      </c>
      <c r="E13" s="53" t="s">
        <v>154</v>
      </c>
      <c r="F13" s="30" t="s">
        <v>144</v>
      </c>
      <c r="G13" s="33">
        <v>2</v>
      </c>
      <c r="H13" s="35">
        <v>24</v>
      </c>
      <c r="I13" s="7">
        <v>12000</v>
      </c>
      <c r="J13" s="14">
        <v>11544</v>
      </c>
      <c r="K13" s="15">
        <f>L13+11292+11544</f>
        <v>22836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0.42401960784313725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118</v>
      </c>
      <c r="D14" s="52" t="s">
        <v>115</v>
      </c>
      <c r="E14" s="53" t="s">
        <v>258</v>
      </c>
      <c r="F14" s="30" t="s">
        <v>145</v>
      </c>
      <c r="G14" s="33">
        <v>1</v>
      </c>
      <c r="H14" s="35">
        <v>50</v>
      </c>
      <c r="I14" s="7">
        <v>500</v>
      </c>
      <c r="J14" s="5">
        <v>711</v>
      </c>
      <c r="K14" s="15">
        <f>L14</f>
        <v>711</v>
      </c>
      <c r="L14" s="15">
        <v>711</v>
      </c>
      <c r="M14" s="15">
        <f t="shared" si="0"/>
        <v>711</v>
      </c>
      <c r="N14" s="15">
        <v>0</v>
      </c>
      <c r="O14" s="58">
        <f t="shared" si="1"/>
        <v>0</v>
      </c>
      <c r="P14" s="39">
        <f t="shared" si="2"/>
        <v>9</v>
      </c>
      <c r="Q14" s="40">
        <f t="shared" si="3"/>
        <v>15</v>
      </c>
      <c r="R14" s="7"/>
      <c r="S14" s="6"/>
      <c r="T14" s="16"/>
      <c r="U14" s="16"/>
      <c r="V14" s="17"/>
      <c r="W14" s="5">
        <v>15</v>
      </c>
      <c r="X14" s="16"/>
      <c r="Y14" s="16"/>
      <c r="Z14" s="16"/>
      <c r="AA14" s="18"/>
      <c r="AB14" s="8">
        <f t="shared" si="4"/>
        <v>1</v>
      </c>
      <c r="AC14" s="9">
        <f t="shared" si="5"/>
        <v>0.375</v>
      </c>
      <c r="AD14" s="10">
        <f t="shared" si="6"/>
        <v>0.375</v>
      </c>
      <c r="AE14" s="36">
        <f t="shared" si="7"/>
        <v>0.42401960784313725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0.42401960784313725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308</v>
      </c>
      <c r="D16" s="52" t="s">
        <v>309</v>
      </c>
      <c r="E16" s="53" t="s">
        <v>310</v>
      </c>
      <c r="F16" s="30" t="s">
        <v>145</v>
      </c>
      <c r="G16" s="12">
        <v>1</v>
      </c>
      <c r="H16" s="13">
        <v>24</v>
      </c>
      <c r="I16" s="7">
        <v>500</v>
      </c>
      <c r="J16" s="14">
        <v>1614</v>
      </c>
      <c r="K16" s="15">
        <f>L16+3806</f>
        <v>5420</v>
      </c>
      <c r="L16" s="15">
        <v>1614</v>
      </c>
      <c r="M16" s="15">
        <f t="shared" ref="M16" si="9">L16-N16</f>
        <v>1614</v>
      </c>
      <c r="N16" s="15">
        <v>0</v>
      </c>
      <c r="O16" s="58">
        <f t="shared" ref="O16" si="10">IF(L16=0,"0",N16/L16)</f>
        <v>0</v>
      </c>
      <c r="P16" s="39">
        <f t="shared" ref="P16" si="11">IF(L16=0,"0",(24-Q16))</f>
        <v>6</v>
      </c>
      <c r="Q16" s="40">
        <f t="shared" ref="Q16" si="12">SUM(R16:AA16)</f>
        <v>18</v>
      </c>
      <c r="R16" s="7"/>
      <c r="S16" s="6"/>
      <c r="T16" s="16"/>
      <c r="U16" s="16"/>
      <c r="V16" s="17"/>
      <c r="W16" s="5">
        <v>18</v>
      </c>
      <c r="X16" s="16"/>
      <c r="Y16" s="16"/>
      <c r="Z16" s="16"/>
      <c r="AA16" s="18"/>
      <c r="AB16" s="8">
        <f t="shared" ref="AB16" si="13">IF(J16=0,"0",(L16/J16))</f>
        <v>1</v>
      </c>
      <c r="AC16" s="9">
        <f t="shared" ref="AC16" si="14">IF(P16=0,"0",(P16/24))</f>
        <v>0.25</v>
      </c>
      <c r="AD16" s="10">
        <f t="shared" ref="AD16" si="15">AC16*AB16*(1-O16)</f>
        <v>0.25</v>
      </c>
      <c r="AE16" s="36">
        <f t="shared" si="7"/>
        <v>0.42401960784313725</v>
      </c>
      <c r="AF16" s="84">
        <f t="shared" ref="AF16" si="16">A16</f>
        <v>11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327</v>
      </c>
      <c r="E17" s="53" t="s">
        <v>328</v>
      </c>
      <c r="F17" s="30" t="s">
        <v>145</v>
      </c>
      <c r="G17" s="12">
        <v>1</v>
      </c>
      <c r="H17" s="13">
        <v>24</v>
      </c>
      <c r="I17" s="7">
        <v>5000</v>
      </c>
      <c r="J17" s="14">
        <v>3617</v>
      </c>
      <c r="K17" s="15">
        <f>L17</f>
        <v>3617</v>
      </c>
      <c r="L17" s="15">
        <f>783+2834</f>
        <v>3617</v>
      </c>
      <c r="M17" s="15">
        <f t="shared" si="0"/>
        <v>3617</v>
      </c>
      <c r="N17" s="15">
        <v>0</v>
      </c>
      <c r="O17" s="58">
        <f t="shared" si="1"/>
        <v>0</v>
      </c>
      <c r="P17" s="39">
        <f t="shared" si="2"/>
        <v>16</v>
      </c>
      <c r="Q17" s="40">
        <f t="shared" si="3"/>
        <v>8</v>
      </c>
      <c r="R17" s="7"/>
      <c r="S17" s="6"/>
      <c r="T17" s="16">
        <v>8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0.66666666666666663</v>
      </c>
      <c r="AD17" s="10">
        <f t="shared" si="6"/>
        <v>0.66666666666666663</v>
      </c>
      <c r="AE17" s="36">
        <f t="shared" si="7"/>
        <v>0.42401960784313725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/>
      <c r="E18" s="53" t="s">
        <v>250</v>
      </c>
      <c r="F18" s="30" t="s">
        <v>127</v>
      </c>
      <c r="G18" s="12">
        <v>1</v>
      </c>
      <c r="H18" s="13">
        <v>24</v>
      </c>
      <c r="I18" s="7">
        <v>1100</v>
      </c>
      <c r="J18" s="14">
        <v>3052</v>
      </c>
      <c r="K18" s="15">
        <f>L18+3052</f>
        <v>3052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0.42401960784313725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273</v>
      </c>
      <c r="D19" s="52" t="s">
        <v>115</v>
      </c>
      <c r="E19" s="53" t="s">
        <v>272</v>
      </c>
      <c r="F19" s="30" t="s">
        <v>286</v>
      </c>
      <c r="G19" s="33">
        <v>1</v>
      </c>
      <c r="H19" s="35">
        <v>24</v>
      </c>
      <c r="I19" s="7">
        <v>11000</v>
      </c>
      <c r="J19" s="14">
        <v>6453</v>
      </c>
      <c r="K19" s="15">
        <f>L19+5514+7008</f>
        <v>18975</v>
      </c>
      <c r="L19" s="15">
        <f>3489+2964</f>
        <v>6453</v>
      </c>
      <c r="M19" s="15">
        <f t="shared" si="0"/>
        <v>6453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0.42401960784313725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115</v>
      </c>
      <c r="E20" s="53" t="s">
        <v>317</v>
      </c>
      <c r="F20" s="30" t="s">
        <v>286</v>
      </c>
      <c r="G20" s="33">
        <v>1</v>
      </c>
      <c r="H20" s="35">
        <v>24</v>
      </c>
      <c r="I20" s="7">
        <v>500</v>
      </c>
      <c r="J20" s="14">
        <v>385</v>
      </c>
      <c r="K20" s="15">
        <f>L20</f>
        <v>385</v>
      </c>
      <c r="L20" s="15">
        <v>385</v>
      </c>
      <c r="M20" s="15">
        <f t="shared" si="0"/>
        <v>385</v>
      </c>
      <c r="N20" s="15">
        <v>0</v>
      </c>
      <c r="O20" s="58">
        <f t="shared" si="1"/>
        <v>0</v>
      </c>
      <c r="P20" s="39">
        <f t="shared" si="2"/>
        <v>5</v>
      </c>
      <c r="Q20" s="40">
        <f t="shared" si="3"/>
        <v>19</v>
      </c>
      <c r="R20" s="7"/>
      <c r="S20" s="6">
        <v>19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0.20833333333333334</v>
      </c>
      <c r="AD20" s="10">
        <f t="shared" si="6"/>
        <v>0.20833333333333334</v>
      </c>
      <c r="AE20" s="36">
        <f t="shared" si="7"/>
        <v>0.42401960784313725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118</v>
      </c>
      <c r="D21" s="52" t="s">
        <v>115</v>
      </c>
      <c r="E21" s="53" t="s">
        <v>319</v>
      </c>
      <c r="F21" s="30" t="s">
        <v>311</v>
      </c>
      <c r="G21" s="12">
        <v>2</v>
      </c>
      <c r="H21" s="13">
        <v>24</v>
      </c>
      <c r="I21" s="7">
        <v>12000</v>
      </c>
      <c r="J21" s="14">
        <v>10132</v>
      </c>
      <c r="K21" s="15">
        <f>L21</f>
        <v>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0.42401960784313725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175</v>
      </c>
      <c r="F22" s="12" t="s">
        <v>114</v>
      </c>
      <c r="G22" s="12">
        <v>3</v>
      </c>
      <c r="H22" s="35">
        <v>20</v>
      </c>
      <c r="I22" s="7">
        <v>1000000</v>
      </c>
      <c r="J22" s="14">
        <v>64940</v>
      </c>
      <c r="K22" s="15">
        <f>L22+62008+65280+66156+31132+60100+67104</f>
        <v>416720</v>
      </c>
      <c r="L22" s="15">
        <f>7606*4+8629*4</f>
        <v>64940</v>
      </c>
      <c r="M22" s="15">
        <f t="shared" si="0"/>
        <v>64940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0.42401960784313725</v>
      </c>
      <c r="AF22" s="84">
        <f t="shared" si="8"/>
        <v>16</v>
      </c>
    </row>
    <row r="23" spans="1:32" ht="31.5" customHeight="1" thickBot="1">
      <c r="A23" s="443" t="s">
        <v>34</v>
      </c>
      <c r="B23" s="444"/>
      <c r="C23" s="444"/>
      <c r="D23" s="444"/>
      <c r="E23" s="444"/>
      <c r="F23" s="444"/>
      <c r="G23" s="444"/>
      <c r="H23" s="445"/>
      <c r="I23" s="22">
        <f t="shared" ref="I23:N23" si="17">SUM(I6:I22)</f>
        <v>1311100</v>
      </c>
      <c r="J23" s="19">
        <f t="shared" si="17"/>
        <v>150886</v>
      </c>
      <c r="K23" s="20">
        <f t="shared" si="17"/>
        <v>816795</v>
      </c>
      <c r="L23" s="21">
        <f t="shared" si="17"/>
        <v>98042</v>
      </c>
      <c r="M23" s="20">
        <f t="shared" si="17"/>
        <v>98042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173</v>
      </c>
      <c r="Q23" s="43">
        <f t="shared" si="18"/>
        <v>235</v>
      </c>
      <c r="R23" s="23">
        <f t="shared" si="18"/>
        <v>24</v>
      </c>
      <c r="S23" s="24">
        <f t="shared" si="18"/>
        <v>49</v>
      </c>
      <c r="T23" s="24">
        <f t="shared" si="18"/>
        <v>16</v>
      </c>
      <c r="U23" s="24">
        <f t="shared" si="18"/>
        <v>0</v>
      </c>
      <c r="V23" s="25">
        <f t="shared" si="18"/>
        <v>0</v>
      </c>
      <c r="W23" s="26">
        <f t="shared" si="18"/>
        <v>122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24</v>
      </c>
      <c r="AB23" s="28">
        <f>AVERAGE(AB6:AB22)</f>
        <v>0.6470588235294118</v>
      </c>
      <c r="AC23" s="4">
        <f>AVERAGE(AC6:AC22)</f>
        <v>0.42401960784313725</v>
      </c>
      <c r="AD23" s="4">
        <f>AVERAGE(AD6:AD22)</f>
        <v>0.42401960784313725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6" t="s">
        <v>45</v>
      </c>
      <c r="B50" s="446"/>
      <c r="C50" s="446"/>
      <c r="D50" s="446"/>
      <c r="E50" s="446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7" t="s">
        <v>329</v>
      </c>
      <c r="B51" s="448"/>
      <c r="C51" s="448"/>
      <c r="D51" s="448"/>
      <c r="E51" s="448"/>
      <c r="F51" s="448"/>
      <c r="G51" s="448"/>
      <c r="H51" s="448"/>
      <c r="I51" s="448"/>
      <c r="J51" s="448"/>
      <c r="K51" s="448"/>
      <c r="L51" s="448"/>
      <c r="M51" s="449"/>
      <c r="N51" s="450" t="s">
        <v>333</v>
      </c>
      <c r="O51" s="451"/>
      <c r="P51" s="451"/>
      <c r="Q51" s="451"/>
      <c r="R51" s="451"/>
      <c r="S51" s="451"/>
      <c r="T51" s="451"/>
      <c r="U51" s="451"/>
      <c r="V51" s="451"/>
      <c r="W51" s="451"/>
      <c r="X51" s="451"/>
      <c r="Y51" s="451"/>
      <c r="Z51" s="451"/>
      <c r="AA51" s="451"/>
      <c r="AB51" s="451"/>
      <c r="AC51" s="451"/>
      <c r="AD51" s="452"/>
    </row>
    <row r="52" spans="1:32" ht="27" customHeight="1">
      <c r="A52" s="453" t="s">
        <v>2</v>
      </c>
      <c r="B52" s="454"/>
      <c r="C52" s="211" t="s">
        <v>46</v>
      </c>
      <c r="D52" s="211" t="s">
        <v>47</v>
      </c>
      <c r="E52" s="211" t="s">
        <v>107</v>
      </c>
      <c r="F52" s="455" t="s">
        <v>106</v>
      </c>
      <c r="G52" s="456"/>
      <c r="H52" s="456"/>
      <c r="I52" s="456"/>
      <c r="J52" s="456"/>
      <c r="K52" s="456"/>
      <c r="L52" s="456"/>
      <c r="M52" s="457"/>
      <c r="N52" s="67" t="s">
        <v>110</v>
      </c>
      <c r="O52" s="211" t="s">
        <v>46</v>
      </c>
      <c r="P52" s="455" t="s">
        <v>47</v>
      </c>
      <c r="Q52" s="458"/>
      <c r="R52" s="455" t="s">
        <v>38</v>
      </c>
      <c r="S52" s="456"/>
      <c r="T52" s="456"/>
      <c r="U52" s="458"/>
      <c r="V52" s="455" t="s">
        <v>48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69" t="s">
        <v>112</v>
      </c>
      <c r="B53" s="470"/>
      <c r="C53" s="207" t="s">
        <v>147</v>
      </c>
      <c r="D53" s="207" t="s">
        <v>269</v>
      </c>
      <c r="E53" s="207" t="s">
        <v>326</v>
      </c>
      <c r="F53" s="471" t="s">
        <v>132</v>
      </c>
      <c r="G53" s="472"/>
      <c r="H53" s="472"/>
      <c r="I53" s="472"/>
      <c r="J53" s="472"/>
      <c r="K53" s="472"/>
      <c r="L53" s="472"/>
      <c r="M53" s="473"/>
      <c r="N53" s="210" t="s">
        <v>112</v>
      </c>
      <c r="O53" s="204" t="s">
        <v>318</v>
      </c>
      <c r="P53" s="474" t="s">
        <v>115</v>
      </c>
      <c r="Q53" s="475"/>
      <c r="R53" s="474" t="s">
        <v>317</v>
      </c>
      <c r="S53" s="476"/>
      <c r="T53" s="476"/>
      <c r="U53" s="475"/>
      <c r="V53" s="477" t="s">
        <v>124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 t="s">
        <v>112</v>
      </c>
      <c r="B54" s="470"/>
      <c r="C54" s="206" t="s">
        <v>141</v>
      </c>
      <c r="D54" s="206" t="s">
        <v>115</v>
      </c>
      <c r="E54" s="207" t="s">
        <v>330</v>
      </c>
      <c r="F54" s="471" t="s">
        <v>331</v>
      </c>
      <c r="G54" s="472"/>
      <c r="H54" s="472"/>
      <c r="I54" s="472"/>
      <c r="J54" s="472"/>
      <c r="K54" s="472"/>
      <c r="L54" s="472"/>
      <c r="M54" s="473"/>
      <c r="N54" s="210" t="s">
        <v>138</v>
      </c>
      <c r="O54" s="204" t="s">
        <v>147</v>
      </c>
      <c r="P54" s="474"/>
      <c r="Q54" s="475"/>
      <c r="R54" s="474" t="s">
        <v>294</v>
      </c>
      <c r="S54" s="476"/>
      <c r="T54" s="476"/>
      <c r="U54" s="475"/>
      <c r="V54" s="477" t="s">
        <v>124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69" t="s">
        <v>118</v>
      </c>
      <c r="B55" s="470"/>
      <c r="C55" s="207" t="s">
        <v>222</v>
      </c>
      <c r="D55" s="207" t="s">
        <v>327</v>
      </c>
      <c r="E55" s="207" t="s">
        <v>328</v>
      </c>
      <c r="F55" s="471" t="s">
        <v>132</v>
      </c>
      <c r="G55" s="472"/>
      <c r="H55" s="472"/>
      <c r="I55" s="472"/>
      <c r="J55" s="472"/>
      <c r="K55" s="472"/>
      <c r="L55" s="472"/>
      <c r="M55" s="473"/>
      <c r="N55" s="210" t="s">
        <v>118</v>
      </c>
      <c r="O55" s="204" t="s">
        <v>191</v>
      </c>
      <c r="P55" s="474" t="s">
        <v>115</v>
      </c>
      <c r="Q55" s="475"/>
      <c r="R55" s="474" t="s">
        <v>334</v>
      </c>
      <c r="S55" s="476"/>
      <c r="T55" s="476"/>
      <c r="U55" s="475"/>
      <c r="V55" s="477" t="s">
        <v>132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112</v>
      </c>
      <c r="B56" s="470"/>
      <c r="C56" s="207" t="s">
        <v>318</v>
      </c>
      <c r="D56" s="207" t="s">
        <v>115</v>
      </c>
      <c r="E56" s="207" t="s">
        <v>317</v>
      </c>
      <c r="F56" s="471" t="s">
        <v>332</v>
      </c>
      <c r="G56" s="472"/>
      <c r="H56" s="472"/>
      <c r="I56" s="472"/>
      <c r="J56" s="472"/>
      <c r="K56" s="472"/>
      <c r="L56" s="472"/>
      <c r="M56" s="473"/>
      <c r="N56" s="210" t="s">
        <v>112</v>
      </c>
      <c r="O56" s="204" t="s">
        <v>318</v>
      </c>
      <c r="P56" s="474" t="s">
        <v>115</v>
      </c>
      <c r="Q56" s="475"/>
      <c r="R56" s="474" t="s">
        <v>317</v>
      </c>
      <c r="S56" s="476"/>
      <c r="T56" s="476"/>
      <c r="U56" s="475"/>
      <c r="V56" s="477" t="s">
        <v>124</v>
      </c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 t="s">
        <v>273</v>
      </c>
      <c r="B57" s="470"/>
      <c r="C57" s="207" t="s">
        <v>257</v>
      </c>
      <c r="D57" s="207" t="s">
        <v>115</v>
      </c>
      <c r="E57" s="207" t="s">
        <v>258</v>
      </c>
      <c r="F57" s="471" t="s">
        <v>132</v>
      </c>
      <c r="G57" s="472"/>
      <c r="H57" s="472"/>
      <c r="I57" s="472"/>
      <c r="J57" s="472"/>
      <c r="K57" s="472"/>
      <c r="L57" s="472"/>
      <c r="M57" s="473"/>
      <c r="N57" s="210" t="s">
        <v>112</v>
      </c>
      <c r="O57" s="204" t="s">
        <v>141</v>
      </c>
      <c r="P57" s="474" t="s">
        <v>115</v>
      </c>
      <c r="Q57" s="475"/>
      <c r="R57" s="474" t="s">
        <v>319</v>
      </c>
      <c r="S57" s="476"/>
      <c r="T57" s="476"/>
      <c r="U57" s="475"/>
      <c r="V57" s="477" t="s">
        <v>124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 t="s">
        <v>112</v>
      </c>
      <c r="B58" s="470"/>
      <c r="C58" s="207" t="s">
        <v>133</v>
      </c>
      <c r="D58" s="207" t="s">
        <v>208</v>
      </c>
      <c r="E58" s="207" t="s">
        <v>246</v>
      </c>
      <c r="F58" s="471" t="s">
        <v>132</v>
      </c>
      <c r="G58" s="472"/>
      <c r="H58" s="472"/>
      <c r="I58" s="472"/>
      <c r="J58" s="472"/>
      <c r="K58" s="472"/>
      <c r="L58" s="472"/>
      <c r="M58" s="473"/>
      <c r="N58" s="210"/>
      <c r="O58" s="204"/>
      <c r="P58" s="474"/>
      <c r="Q58" s="475"/>
      <c r="R58" s="474"/>
      <c r="S58" s="476"/>
      <c r="T58" s="476"/>
      <c r="U58" s="475"/>
      <c r="V58" s="477"/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69"/>
      <c r="B59" s="470"/>
      <c r="C59" s="207"/>
      <c r="D59" s="207"/>
      <c r="E59" s="207"/>
      <c r="F59" s="471"/>
      <c r="G59" s="472"/>
      <c r="H59" s="472"/>
      <c r="I59" s="472"/>
      <c r="J59" s="472"/>
      <c r="K59" s="472"/>
      <c r="L59" s="472"/>
      <c r="M59" s="473"/>
      <c r="N59" s="210"/>
      <c r="O59" s="204"/>
      <c r="P59" s="474"/>
      <c r="Q59" s="475"/>
      <c r="R59" s="474"/>
      <c r="S59" s="476"/>
      <c r="T59" s="476"/>
      <c r="U59" s="475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/>
      <c r="B60" s="488"/>
      <c r="C60" s="206"/>
      <c r="D60" s="206"/>
      <c r="E60" s="207"/>
      <c r="F60" s="471"/>
      <c r="G60" s="472"/>
      <c r="H60" s="472"/>
      <c r="I60" s="472"/>
      <c r="J60" s="472"/>
      <c r="K60" s="472"/>
      <c r="L60" s="472"/>
      <c r="M60" s="473"/>
      <c r="N60" s="210"/>
      <c r="O60" s="204"/>
      <c r="P60" s="474"/>
      <c r="Q60" s="475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</row>
    <row r="61" spans="1:32" ht="27" customHeight="1">
      <c r="A61" s="487"/>
      <c r="B61" s="488"/>
      <c r="C61" s="206"/>
      <c r="D61" s="206"/>
      <c r="E61" s="207"/>
      <c r="F61" s="471"/>
      <c r="G61" s="472"/>
      <c r="H61" s="472"/>
      <c r="I61" s="472"/>
      <c r="J61" s="472"/>
      <c r="K61" s="472"/>
      <c r="L61" s="472"/>
      <c r="M61" s="473"/>
      <c r="N61" s="210"/>
      <c r="O61" s="204"/>
      <c r="P61" s="470"/>
      <c r="Q61" s="470"/>
      <c r="R61" s="470"/>
      <c r="S61" s="470"/>
      <c r="T61" s="470"/>
      <c r="U61" s="470"/>
      <c r="V61" s="477"/>
      <c r="W61" s="477"/>
      <c r="X61" s="477"/>
      <c r="Y61" s="477"/>
      <c r="Z61" s="477"/>
      <c r="AA61" s="477"/>
      <c r="AB61" s="477"/>
      <c r="AC61" s="477"/>
      <c r="AD61" s="478"/>
      <c r="AF61" s="84">
        <f>8*3000</f>
        <v>24000</v>
      </c>
    </row>
    <row r="62" spans="1:32" ht="27" customHeight="1" thickBot="1">
      <c r="A62" s="479"/>
      <c r="B62" s="480"/>
      <c r="C62" s="208"/>
      <c r="D62" s="209"/>
      <c r="E62" s="208"/>
      <c r="F62" s="481"/>
      <c r="G62" s="482"/>
      <c r="H62" s="482"/>
      <c r="I62" s="482"/>
      <c r="J62" s="482"/>
      <c r="K62" s="482"/>
      <c r="L62" s="482"/>
      <c r="M62" s="483"/>
      <c r="N62" s="111"/>
      <c r="O62" s="103"/>
      <c r="P62" s="484"/>
      <c r="Q62" s="484"/>
      <c r="R62" s="484"/>
      <c r="S62" s="484"/>
      <c r="T62" s="484"/>
      <c r="U62" s="484"/>
      <c r="V62" s="485"/>
      <c r="W62" s="485"/>
      <c r="X62" s="485"/>
      <c r="Y62" s="485"/>
      <c r="Z62" s="485"/>
      <c r="AA62" s="485"/>
      <c r="AB62" s="485"/>
      <c r="AC62" s="485"/>
      <c r="AD62" s="486"/>
      <c r="AF62" s="84">
        <f>16*3000</f>
        <v>48000</v>
      </c>
    </row>
    <row r="63" spans="1:32" ht="27.75" thickBot="1">
      <c r="A63" s="489" t="s">
        <v>335</v>
      </c>
      <c r="B63" s="489"/>
      <c r="C63" s="489"/>
      <c r="D63" s="489"/>
      <c r="E63" s="48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0" t="s">
        <v>111</v>
      </c>
      <c r="B64" s="491"/>
      <c r="C64" s="205" t="s">
        <v>2</v>
      </c>
      <c r="D64" s="205" t="s">
        <v>37</v>
      </c>
      <c r="E64" s="205" t="s">
        <v>3</v>
      </c>
      <c r="F64" s="491" t="s">
        <v>109</v>
      </c>
      <c r="G64" s="491"/>
      <c r="H64" s="491"/>
      <c r="I64" s="491"/>
      <c r="J64" s="491"/>
      <c r="K64" s="491" t="s">
        <v>39</v>
      </c>
      <c r="L64" s="491"/>
      <c r="M64" s="205" t="s">
        <v>40</v>
      </c>
      <c r="N64" s="491" t="s">
        <v>41</v>
      </c>
      <c r="O64" s="491"/>
      <c r="P64" s="492" t="s">
        <v>42</v>
      </c>
      <c r="Q64" s="493"/>
      <c r="R64" s="492" t="s">
        <v>43</v>
      </c>
      <c r="S64" s="494"/>
      <c r="T64" s="494"/>
      <c r="U64" s="494"/>
      <c r="V64" s="494"/>
      <c r="W64" s="494"/>
      <c r="X64" s="494"/>
      <c r="Y64" s="494"/>
      <c r="Z64" s="494"/>
      <c r="AA64" s="493"/>
      <c r="AB64" s="491" t="s">
        <v>44</v>
      </c>
      <c r="AC64" s="491"/>
      <c r="AD64" s="495"/>
      <c r="AF64" s="84">
        <f>SUM(AF61:AF63)</f>
        <v>96000</v>
      </c>
    </row>
    <row r="65" spans="1:32" ht="25.5" customHeight="1">
      <c r="A65" s="496">
        <v>1</v>
      </c>
      <c r="B65" s="497"/>
      <c r="C65" s="104" t="s">
        <v>210</v>
      </c>
      <c r="D65" s="200"/>
      <c r="E65" s="203" t="s">
        <v>115</v>
      </c>
      <c r="F65" s="498" t="s">
        <v>336</v>
      </c>
      <c r="G65" s="499"/>
      <c r="H65" s="499"/>
      <c r="I65" s="499"/>
      <c r="J65" s="500"/>
      <c r="K65" s="501" t="s">
        <v>213</v>
      </c>
      <c r="L65" s="501"/>
      <c r="M65" s="51" t="s">
        <v>230</v>
      </c>
      <c r="N65" s="502" t="s">
        <v>139</v>
      </c>
      <c r="O65" s="502"/>
      <c r="P65" s="503">
        <v>100</v>
      </c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2</v>
      </c>
      <c r="B66" s="497"/>
      <c r="C66" s="104"/>
      <c r="D66" s="200"/>
      <c r="E66" s="203"/>
      <c r="F66" s="498"/>
      <c r="G66" s="499"/>
      <c r="H66" s="499"/>
      <c r="I66" s="499"/>
      <c r="J66" s="500"/>
      <c r="K66" s="501"/>
      <c r="L66" s="501"/>
      <c r="M66" s="51"/>
      <c r="N66" s="502"/>
      <c r="O66" s="502"/>
      <c r="P66" s="503"/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3</v>
      </c>
      <c r="B67" s="497"/>
      <c r="C67" s="104"/>
      <c r="D67" s="200"/>
      <c r="E67" s="203"/>
      <c r="F67" s="498"/>
      <c r="G67" s="499"/>
      <c r="H67" s="499"/>
      <c r="I67" s="499"/>
      <c r="J67" s="500"/>
      <c r="K67" s="501"/>
      <c r="L67" s="501"/>
      <c r="M67" s="51"/>
      <c r="N67" s="502"/>
      <c r="O67" s="502"/>
      <c r="P67" s="503"/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4</v>
      </c>
      <c r="B68" s="497"/>
      <c r="C68" s="104"/>
      <c r="D68" s="200"/>
      <c r="E68" s="203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5</v>
      </c>
      <c r="B69" s="497"/>
      <c r="C69" s="104"/>
      <c r="D69" s="200"/>
      <c r="E69" s="203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6</v>
      </c>
      <c r="B70" s="497"/>
      <c r="C70" s="104"/>
      <c r="D70" s="200"/>
      <c r="E70" s="203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7</v>
      </c>
      <c r="B71" s="497"/>
      <c r="C71" s="104"/>
      <c r="D71" s="200"/>
      <c r="E71" s="203"/>
      <c r="F71" s="498"/>
      <c r="G71" s="499"/>
      <c r="H71" s="499"/>
      <c r="I71" s="499"/>
      <c r="J71" s="500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8</v>
      </c>
      <c r="B72" s="497"/>
      <c r="C72" s="104"/>
      <c r="D72" s="200"/>
      <c r="E72" s="203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9</v>
      </c>
      <c r="B73" s="497"/>
      <c r="C73" s="104"/>
      <c r="D73" s="200"/>
      <c r="E73" s="203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5.5" customHeight="1">
      <c r="A74" s="496">
        <v>10</v>
      </c>
      <c r="B74" s="497"/>
      <c r="C74" s="104"/>
      <c r="D74" s="200"/>
      <c r="E74" s="203"/>
      <c r="F74" s="505"/>
      <c r="G74" s="501"/>
      <c r="H74" s="501"/>
      <c r="I74" s="501"/>
      <c r="J74" s="501"/>
      <c r="K74" s="501"/>
      <c r="L74" s="501"/>
      <c r="M74" s="51"/>
      <c r="N74" s="502"/>
      <c r="O74" s="502"/>
      <c r="P74" s="503"/>
      <c r="Q74" s="503"/>
      <c r="R74" s="477"/>
      <c r="S74" s="477"/>
      <c r="T74" s="477"/>
      <c r="U74" s="477"/>
      <c r="V74" s="477"/>
      <c r="W74" s="477"/>
      <c r="X74" s="477"/>
      <c r="Y74" s="477"/>
      <c r="Z74" s="477"/>
      <c r="AA74" s="477"/>
      <c r="AB74" s="501"/>
      <c r="AC74" s="501"/>
      <c r="AD74" s="504"/>
      <c r="AF74" s="50"/>
    </row>
    <row r="75" spans="1:32" ht="26.25" customHeight="1" thickBot="1">
      <c r="A75" s="506" t="s">
        <v>337</v>
      </c>
      <c r="B75" s="506"/>
      <c r="C75" s="506"/>
      <c r="D75" s="506"/>
      <c r="E75" s="506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507" t="s">
        <v>126</v>
      </c>
      <c r="B76" s="508"/>
      <c r="C76" s="202" t="s">
        <v>2</v>
      </c>
      <c r="D76" s="202" t="s">
        <v>37</v>
      </c>
      <c r="E76" s="202" t="s">
        <v>125</v>
      </c>
      <c r="F76" s="508" t="s">
        <v>38</v>
      </c>
      <c r="G76" s="508"/>
      <c r="H76" s="508"/>
      <c r="I76" s="508"/>
      <c r="J76" s="508"/>
      <c r="K76" s="509" t="s">
        <v>58</v>
      </c>
      <c r="L76" s="510"/>
      <c r="M76" s="510"/>
      <c r="N76" s="510"/>
      <c r="O76" s="510"/>
      <c r="P76" s="510"/>
      <c r="Q76" s="510"/>
      <c r="R76" s="510"/>
      <c r="S76" s="511"/>
      <c r="T76" s="508" t="s">
        <v>49</v>
      </c>
      <c r="U76" s="508"/>
      <c r="V76" s="509" t="s">
        <v>50</v>
      </c>
      <c r="W76" s="511"/>
      <c r="X76" s="510" t="s">
        <v>51</v>
      </c>
      <c r="Y76" s="510"/>
      <c r="Z76" s="510"/>
      <c r="AA76" s="510"/>
      <c r="AB76" s="510"/>
      <c r="AC76" s="510"/>
      <c r="AD76" s="512"/>
      <c r="AF76" s="50"/>
    </row>
    <row r="77" spans="1:32" ht="33.75" customHeight="1">
      <c r="A77" s="521">
        <v>1</v>
      </c>
      <c r="B77" s="522"/>
      <c r="C77" s="201" t="s">
        <v>112</v>
      </c>
      <c r="D77" s="201"/>
      <c r="E77" s="65" t="s">
        <v>117</v>
      </c>
      <c r="F77" s="523" t="s">
        <v>116</v>
      </c>
      <c r="G77" s="524"/>
      <c r="H77" s="524"/>
      <c r="I77" s="524"/>
      <c r="J77" s="525"/>
      <c r="K77" s="526" t="s">
        <v>119</v>
      </c>
      <c r="L77" s="527"/>
      <c r="M77" s="527"/>
      <c r="N77" s="527"/>
      <c r="O77" s="527"/>
      <c r="P77" s="527"/>
      <c r="Q77" s="527"/>
      <c r="R77" s="527"/>
      <c r="S77" s="528"/>
      <c r="T77" s="529">
        <v>44118</v>
      </c>
      <c r="U77" s="530"/>
      <c r="V77" s="531"/>
      <c r="W77" s="531"/>
      <c r="X77" s="532"/>
      <c r="Y77" s="532"/>
      <c r="Z77" s="532"/>
      <c r="AA77" s="532"/>
      <c r="AB77" s="532"/>
      <c r="AC77" s="532"/>
      <c r="AD77" s="533"/>
      <c r="AF77" s="50"/>
    </row>
    <row r="78" spans="1:32" ht="30" customHeight="1">
      <c r="A78" s="513">
        <f>A77+1</f>
        <v>2</v>
      </c>
      <c r="B78" s="514"/>
      <c r="C78" s="200"/>
      <c r="D78" s="200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ref="A79:A83" si="19">A78+1</f>
        <v>3</v>
      </c>
      <c r="B79" s="514"/>
      <c r="C79" s="200"/>
      <c r="D79" s="200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9"/>
        <v>4</v>
      </c>
      <c r="B80" s="514"/>
      <c r="C80" s="200"/>
      <c r="D80" s="200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9"/>
        <v>5</v>
      </c>
      <c r="B81" s="514"/>
      <c r="C81" s="200"/>
      <c r="D81" s="200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9"/>
        <v>6</v>
      </c>
      <c r="B82" s="514"/>
      <c r="C82" s="200"/>
      <c r="D82" s="200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0" customHeight="1">
      <c r="A83" s="513">
        <f t="shared" si="19"/>
        <v>7</v>
      </c>
      <c r="B83" s="514"/>
      <c r="C83" s="200"/>
      <c r="D83" s="200"/>
      <c r="E83" s="32"/>
      <c r="F83" s="514"/>
      <c r="G83" s="514"/>
      <c r="H83" s="514"/>
      <c r="I83" s="514"/>
      <c r="J83" s="514"/>
      <c r="K83" s="515"/>
      <c r="L83" s="516"/>
      <c r="M83" s="516"/>
      <c r="N83" s="516"/>
      <c r="O83" s="516"/>
      <c r="P83" s="516"/>
      <c r="Q83" s="516"/>
      <c r="R83" s="516"/>
      <c r="S83" s="517"/>
      <c r="T83" s="518"/>
      <c r="U83" s="518"/>
      <c r="V83" s="518"/>
      <c r="W83" s="518"/>
      <c r="X83" s="519"/>
      <c r="Y83" s="519"/>
      <c r="Z83" s="519"/>
      <c r="AA83" s="519"/>
      <c r="AB83" s="519"/>
      <c r="AC83" s="519"/>
      <c r="AD83" s="520"/>
      <c r="AF83" s="50"/>
    </row>
    <row r="84" spans="1:32" ht="36" thickBot="1">
      <c r="A84" s="506" t="s">
        <v>338</v>
      </c>
      <c r="B84" s="506"/>
      <c r="C84" s="506"/>
      <c r="D84" s="506"/>
      <c r="E84" s="50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507" t="s">
        <v>111</v>
      </c>
      <c r="B85" s="508"/>
      <c r="C85" s="534" t="s">
        <v>52</v>
      </c>
      <c r="D85" s="534"/>
      <c r="E85" s="534" t="s">
        <v>53</v>
      </c>
      <c r="F85" s="534"/>
      <c r="G85" s="534"/>
      <c r="H85" s="534"/>
      <c r="I85" s="534"/>
      <c r="J85" s="534"/>
      <c r="K85" s="534" t="s">
        <v>54</v>
      </c>
      <c r="L85" s="534"/>
      <c r="M85" s="534"/>
      <c r="N85" s="534"/>
      <c r="O85" s="534"/>
      <c r="P85" s="534"/>
      <c r="Q85" s="534"/>
      <c r="R85" s="534"/>
      <c r="S85" s="534"/>
      <c r="T85" s="534" t="s">
        <v>55</v>
      </c>
      <c r="U85" s="534"/>
      <c r="V85" s="534" t="s">
        <v>56</v>
      </c>
      <c r="W85" s="534"/>
      <c r="X85" s="534"/>
      <c r="Y85" s="534" t="s">
        <v>51</v>
      </c>
      <c r="Z85" s="534"/>
      <c r="AA85" s="534"/>
      <c r="AB85" s="534"/>
      <c r="AC85" s="534"/>
      <c r="AD85" s="535"/>
      <c r="AF85" s="50"/>
    </row>
    <row r="86" spans="1:32" ht="30.75" customHeight="1">
      <c r="A86" s="521">
        <v>1</v>
      </c>
      <c r="B86" s="522"/>
      <c r="C86" s="536">
        <v>9</v>
      </c>
      <c r="D86" s="536"/>
      <c r="E86" s="536" t="s">
        <v>136</v>
      </c>
      <c r="F86" s="536"/>
      <c r="G86" s="536"/>
      <c r="H86" s="536"/>
      <c r="I86" s="536"/>
      <c r="J86" s="536"/>
      <c r="K86" s="536" t="s">
        <v>161</v>
      </c>
      <c r="L86" s="536"/>
      <c r="M86" s="536"/>
      <c r="N86" s="536"/>
      <c r="O86" s="536"/>
      <c r="P86" s="536"/>
      <c r="Q86" s="536"/>
      <c r="R86" s="536"/>
      <c r="S86" s="536"/>
      <c r="T86" s="536" t="s">
        <v>137</v>
      </c>
      <c r="U86" s="536"/>
      <c r="V86" s="537" t="s">
        <v>152</v>
      </c>
      <c r="W86" s="537"/>
      <c r="X86" s="537"/>
      <c r="Y86" s="538"/>
      <c r="Z86" s="538"/>
      <c r="AA86" s="538"/>
      <c r="AB86" s="538"/>
      <c r="AC86" s="538"/>
      <c r="AD86" s="539"/>
      <c r="AF86" s="50"/>
    </row>
    <row r="87" spans="1:32" ht="30.75" customHeight="1">
      <c r="A87" s="513">
        <v>2</v>
      </c>
      <c r="B87" s="514"/>
      <c r="C87" s="547"/>
      <c r="D87" s="547"/>
      <c r="E87" s="547"/>
      <c r="F87" s="547"/>
      <c r="G87" s="547"/>
      <c r="H87" s="547"/>
      <c r="I87" s="547"/>
      <c r="J87" s="547"/>
      <c r="K87" s="547"/>
      <c r="L87" s="547"/>
      <c r="M87" s="547"/>
      <c r="N87" s="547"/>
      <c r="O87" s="547"/>
      <c r="P87" s="547"/>
      <c r="Q87" s="547"/>
      <c r="R87" s="547"/>
      <c r="S87" s="547"/>
      <c r="T87" s="548"/>
      <c r="U87" s="548"/>
      <c r="V87" s="549"/>
      <c r="W87" s="549"/>
      <c r="X87" s="549"/>
      <c r="Y87" s="540"/>
      <c r="Z87" s="540"/>
      <c r="AA87" s="540"/>
      <c r="AB87" s="540"/>
      <c r="AC87" s="540"/>
      <c r="AD87" s="541"/>
      <c r="AF87" s="50"/>
    </row>
    <row r="88" spans="1:32" ht="30.75" customHeight="1" thickBot="1">
      <c r="A88" s="542">
        <v>3</v>
      </c>
      <c r="B88" s="543"/>
      <c r="C88" s="544"/>
      <c r="D88" s="544"/>
      <c r="E88" s="544"/>
      <c r="F88" s="544"/>
      <c r="G88" s="544"/>
      <c r="H88" s="544"/>
      <c r="I88" s="544"/>
      <c r="J88" s="544"/>
      <c r="K88" s="544"/>
      <c r="L88" s="544"/>
      <c r="M88" s="544"/>
      <c r="N88" s="544"/>
      <c r="O88" s="544"/>
      <c r="P88" s="544"/>
      <c r="Q88" s="544"/>
      <c r="R88" s="544"/>
      <c r="S88" s="544"/>
      <c r="T88" s="544"/>
      <c r="U88" s="544"/>
      <c r="V88" s="544"/>
      <c r="W88" s="544"/>
      <c r="X88" s="544"/>
      <c r="Y88" s="545"/>
      <c r="Z88" s="545"/>
      <c r="AA88" s="545"/>
      <c r="AB88" s="545"/>
      <c r="AC88" s="545"/>
      <c r="AD88" s="546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DEB7-00C1-4109-9D4F-761D4463708A}">
  <dimension ref="A1:AF87"/>
  <sheetViews>
    <sheetView view="pageBreakPreview" zoomScale="70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339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213" t="s">
        <v>17</v>
      </c>
      <c r="L5" s="213" t="s">
        <v>18</v>
      </c>
      <c r="M5" s="213" t="s">
        <v>19</v>
      </c>
      <c r="N5" s="21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138</v>
      </c>
      <c r="D6" s="52" t="s">
        <v>305</v>
      </c>
      <c r="E6" s="53" t="s">
        <v>306</v>
      </c>
      <c r="F6" s="30" t="s">
        <v>153</v>
      </c>
      <c r="G6" s="12" t="s">
        <v>214</v>
      </c>
      <c r="H6" s="13">
        <v>24</v>
      </c>
      <c r="I6" s="31">
        <v>6000</v>
      </c>
      <c r="J6" s="14">
        <v>4348</v>
      </c>
      <c r="K6" s="15">
        <f>L6+3924+4348</f>
        <v>12620</v>
      </c>
      <c r="L6" s="15">
        <f>2468+1880</f>
        <v>4348</v>
      </c>
      <c r="M6" s="15">
        <f t="shared" ref="M6" si="0">L6-N6</f>
        <v>4348</v>
      </c>
      <c r="N6" s="15">
        <v>0</v>
      </c>
      <c r="O6" s="58">
        <f t="shared" ref="O6" si="1">IF(L6=0,"0",N6/L6)</f>
        <v>0</v>
      </c>
      <c r="P6" s="39">
        <f t="shared" ref="P6" si="2">IF(L6=0,"0",(24-Q6))</f>
        <v>21</v>
      </c>
      <c r="Q6" s="40">
        <f t="shared" ref="Q6" si="3">SUM(R6:AA6)</f>
        <v>3</v>
      </c>
      <c r="R6" s="7"/>
      <c r="S6" s="6">
        <v>3</v>
      </c>
      <c r="T6" s="16"/>
      <c r="U6" s="16"/>
      <c r="V6" s="17"/>
      <c r="W6" s="5"/>
      <c r="X6" s="16"/>
      <c r="Y6" s="16"/>
      <c r="Z6" s="16"/>
      <c r="AA6" s="18"/>
      <c r="AB6" s="8">
        <f t="shared" ref="AB6" si="4">IF(J6=0,"0",(L6/J6))</f>
        <v>1</v>
      </c>
      <c r="AC6" s="9">
        <f t="shared" ref="AC6" si="5">IF(P6=0,"0",(P6/24))</f>
        <v>0.875</v>
      </c>
      <c r="AD6" s="10">
        <f t="shared" ref="AD6" si="6">AC6*AB6*(1-O6)</f>
        <v>0.875</v>
      </c>
      <c r="AE6" s="36">
        <f t="shared" ref="AE6:AE21" si="7">$AD$22</f>
        <v>0.62239583333333326</v>
      </c>
      <c r="AF6" s="84">
        <f t="shared" ref="AF6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208</v>
      </c>
      <c r="E7" s="53" t="s">
        <v>246</v>
      </c>
      <c r="F7" s="30" t="s">
        <v>247</v>
      </c>
      <c r="G7" s="12">
        <v>1</v>
      </c>
      <c r="H7" s="13">
        <v>24</v>
      </c>
      <c r="I7" s="31">
        <v>80000</v>
      </c>
      <c r="J7" s="14">
        <v>6055</v>
      </c>
      <c r="K7" s="15">
        <f>L7+4944</f>
        <v>10999</v>
      </c>
      <c r="L7" s="15">
        <f>3001+3054</f>
        <v>6055</v>
      </c>
      <c r="M7" s="15">
        <f t="shared" ref="M7:M21" si="9">L7-N7</f>
        <v>6055</v>
      </c>
      <c r="N7" s="15">
        <v>0</v>
      </c>
      <c r="O7" s="58">
        <f t="shared" ref="O7:O22" si="10">IF(L7=0,"0",N7/L7)</f>
        <v>0</v>
      </c>
      <c r="P7" s="39">
        <f t="shared" ref="P7:P21" si="11">IF(L7=0,"0",(24-Q7))</f>
        <v>24</v>
      </c>
      <c r="Q7" s="40">
        <f t="shared" ref="Q7:Q21" si="12">SUM(R7:AA7)</f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ref="AB7:AB21" si="13">IF(J7=0,"0",(L7/J7))</f>
        <v>1</v>
      </c>
      <c r="AC7" s="9">
        <f t="shared" ref="AC7:AC21" si="14">IF(P7=0,"0",(P7/24))</f>
        <v>1</v>
      </c>
      <c r="AD7" s="10">
        <f t="shared" ref="AD7:AD21" si="15">AC7*AB7*(1-O7)</f>
        <v>1</v>
      </c>
      <c r="AE7" s="36">
        <f t="shared" si="7"/>
        <v>0.62239583333333326</v>
      </c>
      <c r="AF7" s="84">
        <f t="shared" ref="AF7:AF21" si="16">A7</f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117</v>
      </c>
      <c r="E8" s="52" t="s">
        <v>340</v>
      </c>
      <c r="F8" s="30" t="s">
        <v>217</v>
      </c>
      <c r="G8" s="33">
        <v>1</v>
      </c>
      <c r="H8" s="35">
        <v>24</v>
      </c>
      <c r="I8" s="7">
        <v>700</v>
      </c>
      <c r="J8" s="5">
        <v>2528</v>
      </c>
      <c r="K8" s="15">
        <f>L8</f>
        <v>2528</v>
      </c>
      <c r="L8" s="15">
        <f>2528</f>
        <v>2528</v>
      </c>
      <c r="M8" s="15">
        <f t="shared" si="9"/>
        <v>2528</v>
      </c>
      <c r="N8" s="15">
        <v>0</v>
      </c>
      <c r="O8" s="58">
        <f t="shared" si="10"/>
        <v>0</v>
      </c>
      <c r="P8" s="39">
        <f t="shared" si="11"/>
        <v>14</v>
      </c>
      <c r="Q8" s="40">
        <f t="shared" si="12"/>
        <v>10</v>
      </c>
      <c r="R8" s="7"/>
      <c r="S8" s="6"/>
      <c r="T8" s="16"/>
      <c r="U8" s="16"/>
      <c r="V8" s="17"/>
      <c r="W8" s="5"/>
      <c r="X8" s="16"/>
      <c r="Y8" s="16"/>
      <c r="Z8" s="16"/>
      <c r="AA8" s="18">
        <v>10</v>
      </c>
      <c r="AB8" s="8">
        <f t="shared" si="13"/>
        <v>1</v>
      </c>
      <c r="AC8" s="9">
        <f t="shared" si="14"/>
        <v>0.58333333333333337</v>
      </c>
      <c r="AD8" s="10">
        <f t="shared" si="15"/>
        <v>0.58333333333333337</v>
      </c>
      <c r="AE8" s="36">
        <f t="shared" si="7"/>
        <v>0.62239583333333326</v>
      </c>
      <c r="AF8" s="84">
        <f t="shared" si="16"/>
        <v>3</v>
      </c>
    </row>
    <row r="9" spans="1:32" ht="27" customHeight="1">
      <c r="A9" s="96">
        <v>4</v>
      </c>
      <c r="B9" s="11" t="s">
        <v>57</v>
      </c>
      <c r="C9" s="34" t="s">
        <v>120</v>
      </c>
      <c r="D9" s="52"/>
      <c r="E9" s="53" t="s">
        <v>160</v>
      </c>
      <c r="F9" s="30" t="s">
        <v>128</v>
      </c>
      <c r="G9" s="12">
        <v>1</v>
      </c>
      <c r="H9" s="13">
        <v>24</v>
      </c>
      <c r="I9" s="7">
        <v>20000</v>
      </c>
      <c r="J9" s="14">
        <v>5561</v>
      </c>
      <c r="K9" s="15">
        <f>L9+3626</f>
        <v>9187</v>
      </c>
      <c r="L9" s="15">
        <f>2754+2807</f>
        <v>5561</v>
      </c>
      <c r="M9" s="15">
        <f t="shared" si="9"/>
        <v>5561</v>
      </c>
      <c r="N9" s="15">
        <v>0</v>
      </c>
      <c r="O9" s="58">
        <f t="shared" si="10"/>
        <v>0</v>
      </c>
      <c r="P9" s="39">
        <f t="shared" si="11"/>
        <v>24</v>
      </c>
      <c r="Q9" s="40">
        <f t="shared" si="12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13"/>
        <v>1</v>
      </c>
      <c r="AC9" s="9">
        <f t="shared" si="14"/>
        <v>1</v>
      </c>
      <c r="AD9" s="10">
        <f t="shared" si="15"/>
        <v>1</v>
      </c>
      <c r="AE9" s="36">
        <f t="shared" si="7"/>
        <v>0.62239583333333326</v>
      </c>
      <c r="AF9" s="84">
        <f t="shared" si="16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131</v>
      </c>
      <c r="E10" s="53" t="s">
        <v>168</v>
      </c>
      <c r="F10" s="30" t="s">
        <v>144</v>
      </c>
      <c r="G10" s="33">
        <v>1</v>
      </c>
      <c r="H10" s="35">
        <v>24</v>
      </c>
      <c r="I10" s="7">
        <v>25000</v>
      </c>
      <c r="J10" s="14">
        <v>6619</v>
      </c>
      <c r="K10" s="15">
        <f>L10+6258+6648+6637+2872+6338+6604+6657+3122+6284+6647+6648</f>
        <v>71334</v>
      </c>
      <c r="L10" s="15">
        <f>3278+3341</f>
        <v>6619</v>
      </c>
      <c r="M10" s="15">
        <f t="shared" si="9"/>
        <v>6619</v>
      </c>
      <c r="N10" s="15">
        <v>0</v>
      </c>
      <c r="O10" s="58">
        <f t="shared" si="10"/>
        <v>0</v>
      </c>
      <c r="P10" s="39">
        <f t="shared" si="11"/>
        <v>24</v>
      </c>
      <c r="Q10" s="40">
        <f t="shared" si="12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13"/>
        <v>1</v>
      </c>
      <c r="AC10" s="9">
        <f t="shared" si="14"/>
        <v>1</v>
      </c>
      <c r="AD10" s="10">
        <f t="shared" si="15"/>
        <v>1</v>
      </c>
      <c r="AE10" s="36">
        <f t="shared" si="7"/>
        <v>0.62239583333333326</v>
      </c>
      <c r="AF10" s="84">
        <f t="shared" si="16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162</v>
      </c>
      <c r="E11" s="53" t="s">
        <v>163</v>
      </c>
      <c r="F11" s="30" t="s">
        <v>164</v>
      </c>
      <c r="G11" s="33">
        <v>16</v>
      </c>
      <c r="H11" s="35">
        <v>24</v>
      </c>
      <c r="I11" s="7">
        <v>100000</v>
      </c>
      <c r="J11" s="14">
        <v>15260</v>
      </c>
      <c r="K11" s="15">
        <f>L11+39816+90622+108136+15260</f>
        <v>253834</v>
      </c>
      <c r="L11" s="15"/>
      <c r="M11" s="15">
        <f t="shared" si="9"/>
        <v>0</v>
      </c>
      <c r="N11" s="15">
        <v>0</v>
      </c>
      <c r="O11" s="58" t="str">
        <f t="shared" si="10"/>
        <v>0</v>
      </c>
      <c r="P11" s="39" t="str">
        <f t="shared" si="11"/>
        <v>0</v>
      </c>
      <c r="Q11" s="40">
        <f t="shared" si="12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13"/>
        <v>0</v>
      </c>
      <c r="AC11" s="9">
        <f t="shared" si="14"/>
        <v>0</v>
      </c>
      <c r="AD11" s="10">
        <f t="shared" si="15"/>
        <v>0</v>
      </c>
      <c r="AE11" s="36">
        <f t="shared" si="7"/>
        <v>0.62239583333333326</v>
      </c>
      <c r="AF11" s="84">
        <f t="shared" si="16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134</v>
      </c>
      <c r="F12" s="30" t="s">
        <v>135</v>
      </c>
      <c r="G12" s="12">
        <v>1</v>
      </c>
      <c r="H12" s="13">
        <v>22</v>
      </c>
      <c r="I12" s="31">
        <v>30000</v>
      </c>
      <c r="J12" s="5">
        <v>5458</v>
      </c>
      <c r="K12" s="15">
        <f>L12+3816</f>
        <v>9274</v>
      </c>
      <c r="L12" s="15">
        <f>2700+2758</f>
        <v>5458</v>
      </c>
      <c r="M12" s="15">
        <f t="shared" si="9"/>
        <v>5458</v>
      </c>
      <c r="N12" s="15">
        <v>0</v>
      </c>
      <c r="O12" s="58">
        <f t="shared" si="10"/>
        <v>0</v>
      </c>
      <c r="P12" s="39">
        <f t="shared" si="11"/>
        <v>24</v>
      </c>
      <c r="Q12" s="40">
        <f t="shared" si="12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13"/>
        <v>1</v>
      </c>
      <c r="AC12" s="9">
        <f t="shared" si="14"/>
        <v>1</v>
      </c>
      <c r="AD12" s="10">
        <f t="shared" si="15"/>
        <v>1</v>
      </c>
      <c r="AE12" s="36">
        <f t="shared" si="7"/>
        <v>0.62239583333333326</v>
      </c>
      <c r="AF12" s="84">
        <f t="shared" si="16"/>
        <v>7</v>
      </c>
    </row>
    <row r="13" spans="1:32" ht="27" customHeight="1">
      <c r="A13" s="96">
        <v>8</v>
      </c>
      <c r="B13" s="11" t="s">
        <v>57</v>
      </c>
      <c r="C13" s="11" t="s">
        <v>210</v>
      </c>
      <c r="D13" s="52" t="s">
        <v>341</v>
      </c>
      <c r="E13" s="53" t="s">
        <v>342</v>
      </c>
      <c r="F13" s="30" t="s">
        <v>213</v>
      </c>
      <c r="G13" s="33" t="s">
        <v>214</v>
      </c>
      <c r="H13" s="35">
        <v>24</v>
      </c>
      <c r="I13" s="7">
        <v>3000</v>
      </c>
      <c r="J13" s="14">
        <v>2745</v>
      </c>
      <c r="K13" s="15">
        <f>L13</f>
        <v>2745</v>
      </c>
      <c r="L13" s="15">
        <f>2745</f>
        <v>2745</v>
      </c>
      <c r="M13" s="15">
        <f t="shared" si="9"/>
        <v>2745</v>
      </c>
      <c r="N13" s="15">
        <v>0</v>
      </c>
      <c r="O13" s="58">
        <f t="shared" si="10"/>
        <v>0</v>
      </c>
      <c r="P13" s="39">
        <f t="shared" si="11"/>
        <v>14</v>
      </c>
      <c r="Q13" s="40">
        <f t="shared" si="12"/>
        <v>10</v>
      </c>
      <c r="R13" s="7"/>
      <c r="S13" s="6"/>
      <c r="T13" s="16">
        <v>10</v>
      </c>
      <c r="U13" s="16"/>
      <c r="V13" s="17"/>
      <c r="W13" s="5"/>
      <c r="X13" s="16"/>
      <c r="Y13" s="16"/>
      <c r="Z13" s="16"/>
      <c r="AA13" s="18"/>
      <c r="AB13" s="8">
        <f t="shared" si="13"/>
        <v>1</v>
      </c>
      <c r="AC13" s="9">
        <f t="shared" si="14"/>
        <v>0.58333333333333337</v>
      </c>
      <c r="AD13" s="10">
        <f t="shared" si="15"/>
        <v>0.58333333333333337</v>
      </c>
      <c r="AE13" s="36">
        <f t="shared" si="7"/>
        <v>0.62239583333333326</v>
      </c>
      <c r="AF13" s="84">
        <f t="shared" si="16"/>
        <v>8</v>
      </c>
    </row>
    <row r="14" spans="1:32" ht="27" customHeight="1">
      <c r="A14" s="105">
        <v>9</v>
      </c>
      <c r="B14" s="11" t="s">
        <v>57</v>
      </c>
      <c r="C14" s="34" t="s">
        <v>118</v>
      </c>
      <c r="D14" s="52" t="s">
        <v>115</v>
      </c>
      <c r="E14" s="53" t="s">
        <v>258</v>
      </c>
      <c r="F14" s="30" t="s">
        <v>145</v>
      </c>
      <c r="G14" s="33">
        <v>1</v>
      </c>
      <c r="H14" s="35">
        <v>50</v>
      </c>
      <c r="I14" s="7">
        <v>500</v>
      </c>
      <c r="J14" s="5">
        <v>711</v>
      </c>
      <c r="K14" s="15">
        <f>L14+711</f>
        <v>711</v>
      </c>
      <c r="L14" s="15"/>
      <c r="M14" s="15">
        <f t="shared" si="9"/>
        <v>0</v>
      </c>
      <c r="N14" s="15">
        <v>0</v>
      </c>
      <c r="O14" s="58" t="str">
        <f t="shared" si="10"/>
        <v>0</v>
      </c>
      <c r="P14" s="39" t="str">
        <f t="shared" si="11"/>
        <v>0</v>
      </c>
      <c r="Q14" s="40">
        <f t="shared" si="12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13"/>
        <v>0</v>
      </c>
      <c r="AC14" s="9">
        <f t="shared" si="14"/>
        <v>0</v>
      </c>
      <c r="AD14" s="10">
        <f t="shared" si="15"/>
        <v>0</v>
      </c>
      <c r="AE14" s="36">
        <f t="shared" si="7"/>
        <v>0.62239583333333326</v>
      </c>
      <c r="AF14" s="84">
        <f t="shared" si="16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9"/>
        <v>0</v>
      </c>
      <c r="N15" s="15">
        <v>0</v>
      </c>
      <c r="O15" s="58" t="str">
        <f t="shared" si="10"/>
        <v>0</v>
      </c>
      <c r="P15" s="39" t="str">
        <f t="shared" si="11"/>
        <v>0</v>
      </c>
      <c r="Q15" s="40">
        <f t="shared" si="12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13"/>
        <v>0</v>
      </c>
      <c r="AC15" s="9">
        <f t="shared" si="14"/>
        <v>0</v>
      </c>
      <c r="AD15" s="10">
        <f t="shared" si="15"/>
        <v>0</v>
      </c>
      <c r="AE15" s="36">
        <f t="shared" si="7"/>
        <v>0.62239583333333326</v>
      </c>
      <c r="AF15" s="84">
        <f t="shared" si="16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327</v>
      </c>
      <c r="E16" s="53" t="s">
        <v>328</v>
      </c>
      <c r="F16" s="30" t="s">
        <v>145</v>
      </c>
      <c r="G16" s="12">
        <v>1</v>
      </c>
      <c r="H16" s="13">
        <v>24</v>
      </c>
      <c r="I16" s="7">
        <v>5000</v>
      </c>
      <c r="J16" s="14">
        <v>5509</v>
      </c>
      <c r="K16" s="15">
        <f>L16+3617</f>
        <v>9126</v>
      </c>
      <c r="L16" s="15">
        <f>2654+2855</f>
        <v>5509</v>
      </c>
      <c r="M16" s="15">
        <f t="shared" si="9"/>
        <v>5509</v>
      </c>
      <c r="N16" s="15">
        <v>0</v>
      </c>
      <c r="O16" s="58">
        <f t="shared" si="10"/>
        <v>0</v>
      </c>
      <c r="P16" s="39">
        <f t="shared" si="11"/>
        <v>24</v>
      </c>
      <c r="Q16" s="40">
        <f t="shared" si="12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13"/>
        <v>1</v>
      </c>
      <c r="AC16" s="9">
        <f t="shared" si="14"/>
        <v>1</v>
      </c>
      <c r="AD16" s="10">
        <f t="shared" si="15"/>
        <v>1</v>
      </c>
      <c r="AE16" s="36">
        <f t="shared" si="7"/>
        <v>0.62239583333333326</v>
      </c>
      <c r="AF16" s="84">
        <f t="shared" si="16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142</v>
      </c>
      <c r="E17" s="53" t="s">
        <v>343</v>
      </c>
      <c r="F17" s="30" t="s">
        <v>153</v>
      </c>
      <c r="G17" s="12">
        <v>1</v>
      </c>
      <c r="H17" s="13">
        <v>24</v>
      </c>
      <c r="I17" s="7">
        <v>100</v>
      </c>
      <c r="J17" s="14">
        <v>1061</v>
      </c>
      <c r="K17" s="15">
        <f>L17</f>
        <v>1061</v>
      </c>
      <c r="L17" s="15">
        <f>1061</f>
        <v>1061</v>
      </c>
      <c r="M17" s="15">
        <f t="shared" si="9"/>
        <v>1061</v>
      </c>
      <c r="N17" s="15">
        <v>0</v>
      </c>
      <c r="O17" s="58">
        <f t="shared" si="10"/>
        <v>0</v>
      </c>
      <c r="P17" s="39">
        <f t="shared" si="11"/>
        <v>5</v>
      </c>
      <c r="Q17" s="40">
        <f t="shared" si="12"/>
        <v>19</v>
      </c>
      <c r="R17" s="7"/>
      <c r="S17" s="6"/>
      <c r="T17" s="16"/>
      <c r="U17" s="16"/>
      <c r="V17" s="17"/>
      <c r="W17" s="5">
        <v>19</v>
      </c>
      <c r="X17" s="16"/>
      <c r="Y17" s="16"/>
      <c r="Z17" s="16"/>
      <c r="AA17" s="18"/>
      <c r="AB17" s="8">
        <f t="shared" si="13"/>
        <v>1</v>
      </c>
      <c r="AC17" s="9">
        <f t="shared" si="14"/>
        <v>0.20833333333333334</v>
      </c>
      <c r="AD17" s="10">
        <f t="shared" si="15"/>
        <v>0.20833333333333334</v>
      </c>
      <c r="AE17" s="36">
        <f t="shared" si="7"/>
        <v>0.62239583333333326</v>
      </c>
      <c r="AF17" s="84">
        <f t="shared" si="16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334</v>
      </c>
      <c r="F18" s="30" t="s">
        <v>145</v>
      </c>
      <c r="G18" s="33">
        <v>1</v>
      </c>
      <c r="H18" s="35">
        <v>24</v>
      </c>
      <c r="I18" s="7">
        <v>3000</v>
      </c>
      <c r="J18" s="14">
        <v>5022</v>
      </c>
      <c r="K18" s="15">
        <f>L18</f>
        <v>5022</v>
      </c>
      <c r="L18" s="15">
        <f>2584+2438</f>
        <v>5022</v>
      </c>
      <c r="M18" s="15">
        <f t="shared" si="9"/>
        <v>5022</v>
      </c>
      <c r="N18" s="15">
        <v>0</v>
      </c>
      <c r="O18" s="58">
        <f t="shared" si="10"/>
        <v>0</v>
      </c>
      <c r="P18" s="39">
        <f t="shared" si="11"/>
        <v>24</v>
      </c>
      <c r="Q18" s="40">
        <f t="shared" si="12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13"/>
        <v>1</v>
      </c>
      <c r="AC18" s="9">
        <f t="shared" si="14"/>
        <v>1</v>
      </c>
      <c r="AD18" s="10">
        <f t="shared" si="15"/>
        <v>1</v>
      </c>
      <c r="AE18" s="36">
        <f t="shared" si="7"/>
        <v>0.62239583333333326</v>
      </c>
      <c r="AF18" s="84">
        <f t="shared" si="16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317</v>
      </c>
      <c r="F19" s="30" t="s">
        <v>286</v>
      </c>
      <c r="G19" s="33">
        <v>1</v>
      </c>
      <c r="H19" s="35">
        <v>24</v>
      </c>
      <c r="I19" s="7">
        <v>500</v>
      </c>
      <c r="J19" s="14">
        <v>150</v>
      </c>
      <c r="K19" s="15">
        <f>L19+385</f>
        <v>535</v>
      </c>
      <c r="L19" s="15">
        <v>150</v>
      </c>
      <c r="M19" s="15">
        <f t="shared" si="9"/>
        <v>150</v>
      </c>
      <c r="N19" s="15">
        <v>0</v>
      </c>
      <c r="O19" s="58">
        <f t="shared" si="10"/>
        <v>0</v>
      </c>
      <c r="P19" s="39">
        <f t="shared" si="11"/>
        <v>4</v>
      </c>
      <c r="Q19" s="40">
        <f t="shared" si="12"/>
        <v>20</v>
      </c>
      <c r="R19" s="7"/>
      <c r="S19" s="6">
        <v>20</v>
      </c>
      <c r="T19" s="16"/>
      <c r="U19" s="16"/>
      <c r="V19" s="17"/>
      <c r="W19" s="5"/>
      <c r="X19" s="16"/>
      <c r="Y19" s="16"/>
      <c r="Z19" s="16"/>
      <c r="AA19" s="18"/>
      <c r="AB19" s="8">
        <f t="shared" si="13"/>
        <v>1</v>
      </c>
      <c r="AC19" s="9">
        <f t="shared" si="14"/>
        <v>0.16666666666666666</v>
      </c>
      <c r="AD19" s="10">
        <f t="shared" si="15"/>
        <v>0.16666666666666666</v>
      </c>
      <c r="AE19" s="36">
        <f t="shared" si="7"/>
        <v>0.62239583333333326</v>
      </c>
      <c r="AF19" s="84">
        <f t="shared" si="16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344</v>
      </c>
      <c r="F20" s="30" t="s">
        <v>311</v>
      </c>
      <c r="G20" s="12">
        <v>1</v>
      </c>
      <c r="H20" s="13">
        <v>24</v>
      </c>
      <c r="I20" s="7">
        <v>12000</v>
      </c>
      <c r="J20" s="14">
        <v>2453</v>
      </c>
      <c r="K20" s="15">
        <f>L20</f>
        <v>2453</v>
      </c>
      <c r="L20" s="15">
        <v>2453</v>
      </c>
      <c r="M20" s="15">
        <f t="shared" si="9"/>
        <v>2453</v>
      </c>
      <c r="N20" s="15">
        <v>0</v>
      </c>
      <c r="O20" s="58">
        <f t="shared" si="10"/>
        <v>0</v>
      </c>
      <c r="P20" s="39">
        <f t="shared" si="11"/>
        <v>13</v>
      </c>
      <c r="Q20" s="40">
        <f t="shared" si="12"/>
        <v>11</v>
      </c>
      <c r="R20" s="7"/>
      <c r="S20" s="6">
        <v>11</v>
      </c>
      <c r="T20" s="16"/>
      <c r="U20" s="16"/>
      <c r="V20" s="17"/>
      <c r="W20" s="5"/>
      <c r="X20" s="16"/>
      <c r="Y20" s="16"/>
      <c r="Z20" s="16"/>
      <c r="AA20" s="18"/>
      <c r="AB20" s="8">
        <f t="shared" si="13"/>
        <v>1</v>
      </c>
      <c r="AC20" s="9">
        <f t="shared" si="14"/>
        <v>0.54166666666666663</v>
      </c>
      <c r="AD20" s="10">
        <f t="shared" si="15"/>
        <v>0.54166666666666663</v>
      </c>
      <c r="AE20" s="36">
        <f t="shared" si="7"/>
        <v>0.62239583333333326</v>
      </c>
      <c r="AF20" s="84">
        <f t="shared" si="16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66996</v>
      </c>
      <c r="K21" s="15">
        <f>L21+62008+65280+66156+31132+60100+67104+64940</f>
        <v>483716</v>
      </c>
      <c r="L21" s="15">
        <f>8361*4+8388*4</f>
        <v>66996</v>
      </c>
      <c r="M21" s="15">
        <f t="shared" si="9"/>
        <v>66996</v>
      </c>
      <c r="N21" s="15">
        <v>0</v>
      </c>
      <c r="O21" s="58">
        <f t="shared" si="10"/>
        <v>0</v>
      </c>
      <c r="P21" s="39">
        <f t="shared" si="11"/>
        <v>24</v>
      </c>
      <c r="Q21" s="40">
        <f t="shared" si="12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13"/>
        <v>1</v>
      </c>
      <c r="AC21" s="9">
        <f t="shared" si="14"/>
        <v>1</v>
      </c>
      <c r="AD21" s="10">
        <f t="shared" si="15"/>
        <v>1</v>
      </c>
      <c r="AE21" s="36">
        <f t="shared" si="7"/>
        <v>0.62239583333333326</v>
      </c>
      <c r="AF21" s="84">
        <f t="shared" si="16"/>
        <v>16</v>
      </c>
    </row>
    <row r="22" spans="1:32" ht="31.5" customHeight="1" thickBot="1">
      <c r="A22" s="443" t="s">
        <v>34</v>
      </c>
      <c r="B22" s="444"/>
      <c r="C22" s="444"/>
      <c r="D22" s="444"/>
      <c r="E22" s="444"/>
      <c r="F22" s="444"/>
      <c r="G22" s="444"/>
      <c r="H22" s="445"/>
      <c r="I22" s="22">
        <f t="shared" ref="I22:N22" si="17">SUM(I6:I21)</f>
        <v>1297800</v>
      </c>
      <c r="J22" s="19">
        <f t="shared" si="17"/>
        <v>142832</v>
      </c>
      <c r="K22" s="20">
        <f t="shared" si="17"/>
        <v>887501</v>
      </c>
      <c r="L22" s="21">
        <f t="shared" si="17"/>
        <v>114505</v>
      </c>
      <c r="M22" s="20">
        <f t="shared" si="17"/>
        <v>114505</v>
      </c>
      <c r="N22" s="21">
        <f t="shared" si="17"/>
        <v>0</v>
      </c>
      <c r="O22" s="41">
        <f t="shared" si="10"/>
        <v>0</v>
      </c>
      <c r="P22" s="42">
        <f t="shared" ref="P22:AA22" si="18">SUM(P6:P21)</f>
        <v>239</v>
      </c>
      <c r="Q22" s="43">
        <f t="shared" si="18"/>
        <v>145</v>
      </c>
      <c r="R22" s="23">
        <f t="shared" si="18"/>
        <v>24</v>
      </c>
      <c r="S22" s="24">
        <f t="shared" si="18"/>
        <v>34</v>
      </c>
      <c r="T22" s="24">
        <f t="shared" si="18"/>
        <v>10</v>
      </c>
      <c r="U22" s="24">
        <f t="shared" si="18"/>
        <v>0</v>
      </c>
      <c r="V22" s="25">
        <f t="shared" si="18"/>
        <v>0</v>
      </c>
      <c r="W22" s="26">
        <f t="shared" si="18"/>
        <v>67</v>
      </c>
      <c r="X22" s="27">
        <f t="shared" si="18"/>
        <v>0</v>
      </c>
      <c r="Y22" s="27">
        <f t="shared" si="18"/>
        <v>0</v>
      </c>
      <c r="Z22" s="27">
        <f t="shared" si="18"/>
        <v>0</v>
      </c>
      <c r="AA22" s="27">
        <f t="shared" si="18"/>
        <v>10</v>
      </c>
      <c r="AB22" s="28">
        <f>AVERAGE(AB6:AB21)</f>
        <v>0.8125</v>
      </c>
      <c r="AC22" s="4">
        <f>AVERAGE(AC6:AC21)</f>
        <v>0.62239583333333326</v>
      </c>
      <c r="AD22" s="4">
        <f>AVERAGE(AD6:AD21)</f>
        <v>0.62239583333333326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6" t="s">
        <v>45</v>
      </c>
      <c r="B49" s="446"/>
      <c r="C49" s="446"/>
      <c r="D49" s="446"/>
      <c r="E49" s="446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7" t="s">
        <v>345</v>
      </c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9"/>
      <c r="N50" s="450" t="s">
        <v>350</v>
      </c>
      <c r="O50" s="451"/>
      <c r="P50" s="451"/>
      <c r="Q50" s="451"/>
      <c r="R50" s="451"/>
      <c r="S50" s="451"/>
      <c r="T50" s="451"/>
      <c r="U50" s="451"/>
      <c r="V50" s="451"/>
      <c r="W50" s="451"/>
      <c r="X50" s="451"/>
      <c r="Y50" s="451"/>
      <c r="Z50" s="451"/>
      <c r="AA50" s="451"/>
      <c r="AB50" s="451"/>
      <c r="AC50" s="451"/>
      <c r="AD50" s="452"/>
    </row>
    <row r="51" spans="1:32" ht="27" customHeight="1">
      <c r="A51" s="453" t="s">
        <v>2</v>
      </c>
      <c r="B51" s="454"/>
      <c r="C51" s="214" t="s">
        <v>46</v>
      </c>
      <c r="D51" s="214" t="s">
        <v>47</v>
      </c>
      <c r="E51" s="214" t="s">
        <v>107</v>
      </c>
      <c r="F51" s="455" t="s">
        <v>106</v>
      </c>
      <c r="G51" s="456"/>
      <c r="H51" s="456"/>
      <c r="I51" s="456"/>
      <c r="J51" s="456"/>
      <c r="K51" s="456"/>
      <c r="L51" s="456"/>
      <c r="M51" s="457"/>
      <c r="N51" s="67" t="s">
        <v>110</v>
      </c>
      <c r="O51" s="214" t="s">
        <v>46</v>
      </c>
      <c r="P51" s="455" t="s">
        <v>47</v>
      </c>
      <c r="Q51" s="458"/>
      <c r="R51" s="455" t="s">
        <v>38</v>
      </c>
      <c r="S51" s="456"/>
      <c r="T51" s="456"/>
      <c r="U51" s="458"/>
      <c r="V51" s="455" t="s">
        <v>48</v>
      </c>
      <c r="W51" s="456"/>
      <c r="X51" s="456"/>
      <c r="Y51" s="456"/>
      <c r="Z51" s="456"/>
      <c r="AA51" s="456"/>
      <c r="AB51" s="456"/>
      <c r="AC51" s="456"/>
      <c r="AD51" s="457"/>
    </row>
    <row r="52" spans="1:32" ht="27" customHeight="1">
      <c r="A52" s="469" t="s">
        <v>138</v>
      </c>
      <c r="B52" s="470"/>
      <c r="C52" s="216" t="s">
        <v>147</v>
      </c>
      <c r="D52" s="216" t="s">
        <v>229</v>
      </c>
      <c r="E52" s="104" t="s">
        <v>306</v>
      </c>
      <c r="F52" s="471" t="s">
        <v>346</v>
      </c>
      <c r="G52" s="472"/>
      <c r="H52" s="472"/>
      <c r="I52" s="472"/>
      <c r="J52" s="472"/>
      <c r="K52" s="472"/>
      <c r="L52" s="472"/>
      <c r="M52" s="473"/>
      <c r="N52" s="215" t="s">
        <v>138</v>
      </c>
      <c r="O52" s="222" t="s">
        <v>147</v>
      </c>
      <c r="P52" s="474"/>
      <c r="Q52" s="475"/>
      <c r="R52" s="474" t="s">
        <v>294</v>
      </c>
      <c r="S52" s="476"/>
      <c r="T52" s="476"/>
      <c r="U52" s="475"/>
      <c r="V52" s="477" t="s">
        <v>124</v>
      </c>
      <c r="W52" s="477"/>
      <c r="X52" s="477"/>
      <c r="Y52" s="477"/>
      <c r="Z52" s="477"/>
      <c r="AA52" s="477"/>
      <c r="AB52" s="477"/>
      <c r="AC52" s="477"/>
      <c r="AD52" s="478"/>
    </row>
    <row r="53" spans="1:32" ht="27" customHeight="1">
      <c r="A53" s="469" t="s">
        <v>118</v>
      </c>
      <c r="B53" s="470"/>
      <c r="C53" s="219" t="s">
        <v>191</v>
      </c>
      <c r="D53" s="219" t="s">
        <v>115</v>
      </c>
      <c r="E53" s="216" t="s">
        <v>334</v>
      </c>
      <c r="F53" s="471" t="s">
        <v>132</v>
      </c>
      <c r="G53" s="472"/>
      <c r="H53" s="472"/>
      <c r="I53" s="472"/>
      <c r="J53" s="472"/>
      <c r="K53" s="472"/>
      <c r="L53" s="472"/>
      <c r="M53" s="473"/>
      <c r="N53" s="215" t="s">
        <v>210</v>
      </c>
      <c r="O53" s="222" t="s">
        <v>139</v>
      </c>
      <c r="P53" s="474" t="s">
        <v>115</v>
      </c>
      <c r="Q53" s="475"/>
      <c r="R53" s="474" t="s">
        <v>351</v>
      </c>
      <c r="S53" s="476"/>
      <c r="T53" s="476"/>
      <c r="U53" s="475"/>
      <c r="V53" s="477" t="s">
        <v>132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 t="s">
        <v>112</v>
      </c>
      <c r="B54" s="470"/>
      <c r="C54" s="216" t="s">
        <v>318</v>
      </c>
      <c r="D54" s="216" t="s">
        <v>115</v>
      </c>
      <c r="E54" s="216" t="s">
        <v>317</v>
      </c>
      <c r="F54" s="471" t="s">
        <v>347</v>
      </c>
      <c r="G54" s="472"/>
      <c r="H54" s="472"/>
      <c r="I54" s="472"/>
      <c r="J54" s="472"/>
      <c r="K54" s="472"/>
      <c r="L54" s="472"/>
      <c r="M54" s="473"/>
      <c r="N54" s="215" t="s">
        <v>112</v>
      </c>
      <c r="O54" s="222" t="s">
        <v>141</v>
      </c>
      <c r="P54" s="474" t="s">
        <v>115</v>
      </c>
      <c r="Q54" s="475"/>
      <c r="R54" s="474" t="s">
        <v>319</v>
      </c>
      <c r="S54" s="476"/>
      <c r="T54" s="476"/>
      <c r="U54" s="475"/>
      <c r="V54" s="477" t="s">
        <v>124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69" t="s">
        <v>112</v>
      </c>
      <c r="B55" s="470"/>
      <c r="C55" s="216" t="s">
        <v>139</v>
      </c>
      <c r="D55" s="216" t="s">
        <v>115</v>
      </c>
      <c r="E55" s="216" t="s">
        <v>340</v>
      </c>
      <c r="F55" s="471" t="s">
        <v>132</v>
      </c>
      <c r="G55" s="472"/>
      <c r="H55" s="472"/>
      <c r="I55" s="472"/>
      <c r="J55" s="472"/>
      <c r="K55" s="472"/>
      <c r="L55" s="472"/>
      <c r="M55" s="473"/>
      <c r="N55" s="215" t="s">
        <v>120</v>
      </c>
      <c r="O55" s="222" t="s">
        <v>140</v>
      </c>
      <c r="P55" s="474"/>
      <c r="Q55" s="475"/>
      <c r="R55" s="474" t="s">
        <v>250</v>
      </c>
      <c r="S55" s="476"/>
      <c r="T55" s="476"/>
      <c r="U55" s="475"/>
      <c r="V55" s="477" t="s">
        <v>132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210</v>
      </c>
      <c r="B56" s="470"/>
      <c r="C56" s="216" t="s">
        <v>198</v>
      </c>
      <c r="D56" s="216" t="s">
        <v>341</v>
      </c>
      <c r="E56" s="216" t="s">
        <v>348</v>
      </c>
      <c r="F56" s="471" t="s">
        <v>132</v>
      </c>
      <c r="G56" s="472"/>
      <c r="H56" s="472"/>
      <c r="I56" s="472"/>
      <c r="J56" s="472"/>
      <c r="K56" s="472"/>
      <c r="L56" s="472"/>
      <c r="M56" s="473"/>
      <c r="N56" s="215" t="s">
        <v>120</v>
      </c>
      <c r="O56" s="222" t="s">
        <v>191</v>
      </c>
      <c r="P56" s="474"/>
      <c r="Q56" s="475"/>
      <c r="R56" s="474" t="s">
        <v>174</v>
      </c>
      <c r="S56" s="476"/>
      <c r="T56" s="476"/>
      <c r="U56" s="475"/>
      <c r="V56" s="477" t="s">
        <v>132</v>
      </c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 t="s">
        <v>118</v>
      </c>
      <c r="B57" s="470"/>
      <c r="C57" s="216" t="s">
        <v>140</v>
      </c>
      <c r="D57" s="216" t="s">
        <v>142</v>
      </c>
      <c r="E57" s="216" t="s">
        <v>343</v>
      </c>
      <c r="F57" s="471" t="s">
        <v>132</v>
      </c>
      <c r="G57" s="472"/>
      <c r="H57" s="472"/>
      <c r="I57" s="472"/>
      <c r="J57" s="472"/>
      <c r="K57" s="472"/>
      <c r="L57" s="472"/>
      <c r="M57" s="473"/>
      <c r="N57" s="215" t="s">
        <v>112</v>
      </c>
      <c r="O57" s="222" t="s">
        <v>318</v>
      </c>
      <c r="P57" s="474" t="s">
        <v>280</v>
      </c>
      <c r="Q57" s="475"/>
      <c r="R57" s="474" t="s">
        <v>352</v>
      </c>
      <c r="S57" s="476"/>
      <c r="T57" s="476"/>
      <c r="U57" s="475"/>
      <c r="V57" s="477" t="s">
        <v>132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 t="s">
        <v>112</v>
      </c>
      <c r="B58" s="470"/>
      <c r="C58" s="216" t="s">
        <v>141</v>
      </c>
      <c r="D58" s="216" t="s">
        <v>115</v>
      </c>
      <c r="E58" s="216" t="s">
        <v>330</v>
      </c>
      <c r="F58" s="471" t="s">
        <v>349</v>
      </c>
      <c r="G58" s="472"/>
      <c r="H58" s="472"/>
      <c r="I58" s="472"/>
      <c r="J58" s="472"/>
      <c r="K58" s="472"/>
      <c r="L58" s="472"/>
      <c r="M58" s="473"/>
      <c r="N58" s="215"/>
      <c r="O58" s="222"/>
      <c r="P58" s="474"/>
      <c r="Q58" s="475"/>
      <c r="R58" s="474"/>
      <c r="S58" s="476"/>
      <c r="T58" s="476"/>
      <c r="U58" s="475"/>
      <c r="V58" s="477"/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/>
      <c r="B59" s="488"/>
      <c r="C59" s="219"/>
      <c r="D59" s="219"/>
      <c r="E59" s="216"/>
      <c r="F59" s="471"/>
      <c r="G59" s="472"/>
      <c r="H59" s="472"/>
      <c r="I59" s="472"/>
      <c r="J59" s="472"/>
      <c r="K59" s="472"/>
      <c r="L59" s="472"/>
      <c r="M59" s="473"/>
      <c r="N59" s="215"/>
      <c r="O59" s="222"/>
      <c r="P59" s="474"/>
      <c r="Q59" s="475"/>
      <c r="R59" s="470"/>
      <c r="S59" s="470"/>
      <c r="T59" s="470"/>
      <c r="U59" s="470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/>
      <c r="B60" s="488"/>
      <c r="C60" s="219"/>
      <c r="D60" s="219"/>
      <c r="E60" s="216"/>
      <c r="F60" s="471"/>
      <c r="G60" s="472"/>
      <c r="H60" s="472"/>
      <c r="I60" s="472"/>
      <c r="J60" s="472"/>
      <c r="K60" s="472"/>
      <c r="L60" s="472"/>
      <c r="M60" s="473"/>
      <c r="N60" s="215"/>
      <c r="O60" s="222"/>
      <c r="P60" s="470"/>
      <c r="Q60" s="470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  <c r="AF60" s="84">
        <f>8*3000</f>
        <v>24000</v>
      </c>
    </row>
    <row r="61" spans="1:32" ht="27" customHeight="1" thickBot="1">
      <c r="A61" s="479"/>
      <c r="B61" s="480"/>
      <c r="C61" s="217"/>
      <c r="D61" s="218"/>
      <c r="E61" s="217"/>
      <c r="F61" s="481"/>
      <c r="G61" s="482"/>
      <c r="H61" s="482"/>
      <c r="I61" s="482"/>
      <c r="J61" s="482"/>
      <c r="K61" s="482"/>
      <c r="L61" s="482"/>
      <c r="M61" s="483"/>
      <c r="N61" s="111"/>
      <c r="O61" s="103"/>
      <c r="P61" s="484"/>
      <c r="Q61" s="484"/>
      <c r="R61" s="484"/>
      <c r="S61" s="484"/>
      <c r="T61" s="484"/>
      <c r="U61" s="484"/>
      <c r="V61" s="485"/>
      <c r="W61" s="485"/>
      <c r="X61" s="485"/>
      <c r="Y61" s="485"/>
      <c r="Z61" s="485"/>
      <c r="AA61" s="485"/>
      <c r="AB61" s="485"/>
      <c r="AC61" s="485"/>
      <c r="AD61" s="486"/>
      <c r="AF61" s="84">
        <f>16*3000</f>
        <v>48000</v>
      </c>
    </row>
    <row r="62" spans="1:32" ht="27.75" thickBot="1">
      <c r="A62" s="489" t="s">
        <v>353</v>
      </c>
      <c r="B62" s="489"/>
      <c r="C62" s="489"/>
      <c r="D62" s="489"/>
      <c r="E62" s="48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0" t="s">
        <v>111</v>
      </c>
      <c r="B63" s="491"/>
      <c r="C63" s="220" t="s">
        <v>2</v>
      </c>
      <c r="D63" s="220" t="s">
        <v>37</v>
      </c>
      <c r="E63" s="220" t="s">
        <v>3</v>
      </c>
      <c r="F63" s="491" t="s">
        <v>109</v>
      </c>
      <c r="G63" s="491"/>
      <c r="H63" s="491"/>
      <c r="I63" s="491"/>
      <c r="J63" s="491"/>
      <c r="K63" s="491" t="s">
        <v>39</v>
      </c>
      <c r="L63" s="491"/>
      <c r="M63" s="220" t="s">
        <v>40</v>
      </c>
      <c r="N63" s="491" t="s">
        <v>41</v>
      </c>
      <c r="O63" s="491"/>
      <c r="P63" s="492" t="s">
        <v>42</v>
      </c>
      <c r="Q63" s="493"/>
      <c r="R63" s="492" t="s">
        <v>43</v>
      </c>
      <c r="S63" s="494"/>
      <c r="T63" s="494"/>
      <c r="U63" s="494"/>
      <c r="V63" s="494"/>
      <c r="W63" s="494"/>
      <c r="X63" s="494"/>
      <c r="Y63" s="494"/>
      <c r="Z63" s="494"/>
      <c r="AA63" s="493"/>
      <c r="AB63" s="491" t="s">
        <v>44</v>
      </c>
      <c r="AC63" s="491"/>
      <c r="AD63" s="495"/>
      <c r="AF63" s="84">
        <f>SUM(AF60:AF62)</f>
        <v>96000</v>
      </c>
    </row>
    <row r="64" spans="1:32" ht="25.5" customHeight="1">
      <c r="A64" s="496">
        <v>1</v>
      </c>
      <c r="B64" s="497"/>
      <c r="C64" s="104" t="s">
        <v>210</v>
      </c>
      <c r="D64" s="224"/>
      <c r="E64" s="221" t="s">
        <v>289</v>
      </c>
      <c r="F64" s="498" t="s">
        <v>354</v>
      </c>
      <c r="G64" s="499"/>
      <c r="H64" s="499"/>
      <c r="I64" s="499"/>
      <c r="J64" s="500"/>
      <c r="K64" s="501" t="s">
        <v>213</v>
      </c>
      <c r="L64" s="501"/>
      <c r="M64" s="51" t="s">
        <v>230</v>
      </c>
      <c r="N64" s="502" t="s">
        <v>139</v>
      </c>
      <c r="O64" s="502"/>
      <c r="P64" s="503">
        <v>100</v>
      </c>
      <c r="Q64" s="503"/>
      <c r="R64" s="477"/>
      <c r="S64" s="477"/>
      <c r="T64" s="477"/>
      <c r="U64" s="477"/>
      <c r="V64" s="477"/>
      <c r="W64" s="477"/>
      <c r="X64" s="477"/>
      <c r="Y64" s="477"/>
      <c r="Z64" s="477"/>
      <c r="AA64" s="477"/>
      <c r="AB64" s="501"/>
      <c r="AC64" s="501"/>
      <c r="AD64" s="504"/>
      <c r="AF64" s="50"/>
    </row>
    <row r="65" spans="1:32" ht="25.5" customHeight="1">
      <c r="A65" s="496">
        <v>2</v>
      </c>
      <c r="B65" s="497"/>
      <c r="C65" s="104" t="s">
        <v>210</v>
      </c>
      <c r="D65" s="224"/>
      <c r="E65" s="221" t="s">
        <v>129</v>
      </c>
      <c r="F65" s="498" t="s">
        <v>355</v>
      </c>
      <c r="G65" s="499"/>
      <c r="H65" s="499"/>
      <c r="I65" s="499"/>
      <c r="J65" s="500"/>
      <c r="K65" s="501" t="s">
        <v>217</v>
      </c>
      <c r="L65" s="501"/>
      <c r="M65" s="51" t="s">
        <v>143</v>
      </c>
      <c r="N65" s="502" t="s">
        <v>198</v>
      </c>
      <c r="O65" s="502"/>
      <c r="P65" s="503">
        <v>100</v>
      </c>
      <c r="Q65" s="503"/>
      <c r="R65" s="477" t="s">
        <v>357</v>
      </c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3</v>
      </c>
      <c r="B66" s="497"/>
      <c r="C66" s="104" t="s">
        <v>210</v>
      </c>
      <c r="D66" s="224"/>
      <c r="E66" s="221" t="s">
        <v>129</v>
      </c>
      <c r="F66" s="498" t="s">
        <v>356</v>
      </c>
      <c r="G66" s="499"/>
      <c r="H66" s="499"/>
      <c r="I66" s="499"/>
      <c r="J66" s="500"/>
      <c r="K66" s="501" t="s">
        <v>358</v>
      </c>
      <c r="L66" s="501"/>
      <c r="M66" s="51" t="s">
        <v>230</v>
      </c>
      <c r="N66" s="502" t="s">
        <v>140</v>
      </c>
      <c r="O66" s="502"/>
      <c r="P66" s="503">
        <v>100</v>
      </c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4</v>
      </c>
      <c r="B67" s="497"/>
      <c r="C67" s="104"/>
      <c r="D67" s="224"/>
      <c r="E67" s="221"/>
      <c r="F67" s="498"/>
      <c r="G67" s="499"/>
      <c r="H67" s="499"/>
      <c r="I67" s="499"/>
      <c r="J67" s="500"/>
      <c r="K67" s="501"/>
      <c r="L67" s="501"/>
      <c r="M67" s="51"/>
      <c r="N67" s="502"/>
      <c r="O67" s="502"/>
      <c r="P67" s="503"/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5</v>
      </c>
      <c r="B68" s="497"/>
      <c r="C68" s="104"/>
      <c r="D68" s="224"/>
      <c r="E68" s="221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6</v>
      </c>
      <c r="B69" s="497"/>
      <c r="C69" s="104"/>
      <c r="D69" s="224"/>
      <c r="E69" s="221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7</v>
      </c>
      <c r="B70" s="497"/>
      <c r="C70" s="104"/>
      <c r="D70" s="224"/>
      <c r="E70" s="221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8</v>
      </c>
      <c r="B71" s="497"/>
      <c r="C71" s="104"/>
      <c r="D71" s="224"/>
      <c r="E71" s="221"/>
      <c r="F71" s="505"/>
      <c r="G71" s="501"/>
      <c r="H71" s="501"/>
      <c r="I71" s="501"/>
      <c r="J71" s="501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9</v>
      </c>
      <c r="B72" s="497"/>
      <c r="C72" s="104"/>
      <c r="D72" s="224"/>
      <c r="E72" s="221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10</v>
      </c>
      <c r="B73" s="497"/>
      <c r="C73" s="104"/>
      <c r="D73" s="224"/>
      <c r="E73" s="221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6.25" customHeight="1" thickBot="1">
      <c r="A74" s="506" t="s">
        <v>359</v>
      </c>
      <c r="B74" s="506"/>
      <c r="C74" s="506"/>
      <c r="D74" s="506"/>
      <c r="E74" s="50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7" t="s">
        <v>126</v>
      </c>
      <c r="B75" s="508"/>
      <c r="C75" s="223" t="s">
        <v>2</v>
      </c>
      <c r="D75" s="223" t="s">
        <v>37</v>
      </c>
      <c r="E75" s="223" t="s">
        <v>125</v>
      </c>
      <c r="F75" s="508" t="s">
        <v>38</v>
      </c>
      <c r="G75" s="508"/>
      <c r="H75" s="508"/>
      <c r="I75" s="508"/>
      <c r="J75" s="508"/>
      <c r="K75" s="509" t="s">
        <v>58</v>
      </c>
      <c r="L75" s="510"/>
      <c r="M75" s="510"/>
      <c r="N75" s="510"/>
      <c r="O75" s="510"/>
      <c r="P75" s="510"/>
      <c r="Q75" s="510"/>
      <c r="R75" s="510"/>
      <c r="S75" s="511"/>
      <c r="T75" s="508" t="s">
        <v>49</v>
      </c>
      <c r="U75" s="508"/>
      <c r="V75" s="509" t="s">
        <v>50</v>
      </c>
      <c r="W75" s="511"/>
      <c r="X75" s="510" t="s">
        <v>51</v>
      </c>
      <c r="Y75" s="510"/>
      <c r="Z75" s="510"/>
      <c r="AA75" s="510"/>
      <c r="AB75" s="510"/>
      <c r="AC75" s="510"/>
      <c r="AD75" s="512"/>
      <c r="AF75" s="50"/>
    </row>
    <row r="76" spans="1:32" ht="33.75" customHeight="1">
      <c r="A76" s="521">
        <v>1</v>
      </c>
      <c r="B76" s="522"/>
      <c r="C76" s="225" t="s">
        <v>112</v>
      </c>
      <c r="D76" s="225"/>
      <c r="E76" s="65" t="s">
        <v>117</v>
      </c>
      <c r="F76" s="523" t="s">
        <v>116</v>
      </c>
      <c r="G76" s="524"/>
      <c r="H76" s="524"/>
      <c r="I76" s="524"/>
      <c r="J76" s="525"/>
      <c r="K76" s="526" t="s">
        <v>119</v>
      </c>
      <c r="L76" s="527"/>
      <c r="M76" s="527"/>
      <c r="N76" s="527"/>
      <c r="O76" s="527"/>
      <c r="P76" s="527"/>
      <c r="Q76" s="527"/>
      <c r="R76" s="527"/>
      <c r="S76" s="528"/>
      <c r="T76" s="529">
        <v>44118</v>
      </c>
      <c r="U76" s="530"/>
      <c r="V76" s="531"/>
      <c r="W76" s="531"/>
      <c r="X76" s="532"/>
      <c r="Y76" s="532"/>
      <c r="Z76" s="532"/>
      <c r="AA76" s="532"/>
      <c r="AB76" s="532"/>
      <c r="AC76" s="532"/>
      <c r="AD76" s="533"/>
      <c r="AF76" s="50"/>
    </row>
    <row r="77" spans="1:32" ht="30" customHeight="1">
      <c r="A77" s="513">
        <f>A76+1</f>
        <v>2</v>
      </c>
      <c r="B77" s="514"/>
      <c r="C77" s="224"/>
      <c r="D77" s="224"/>
      <c r="E77" s="32"/>
      <c r="F77" s="514"/>
      <c r="G77" s="514"/>
      <c r="H77" s="514"/>
      <c r="I77" s="514"/>
      <c r="J77" s="514"/>
      <c r="K77" s="515"/>
      <c r="L77" s="516"/>
      <c r="M77" s="516"/>
      <c r="N77" s="516"/>
      <c r="O77" s="516"/>
      <c r="P77" s="516"/>
      <c r="Q77" s="516"/>
      <c r="R77" s="516"/>
      <c r="S77" s="517"/>
      <c r="T77" s="518"/>
      <c r="U77" s="518"/>
      <c r="V77" s="518"/>
      <c r="W77" s="518"/>
      <c r="X77" s="519"/>
      <c r="Y77" s="519"/>
      <c r="Z77" s="519"/>
      <c r="AA77" s="519"/>
      <c r="AB77" s="519"/>
      <c r="AC77" s="519"/>
      <c r="AD77" s="520"/>
      <c r="AF77" s="50"/>
    </row>
    <row r="78" spans="1:32" ht="30" customHeight="1">
      <c r="A78" s="513">
        <f t="shared" ref="A78:A82" si="19">A77+1</f>
        <v>3</v>
      </c>
      <c r="B78" s="514"/>
      <c r="C78" s="224"/>
      <c r="D78" s="224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si="19"/>
        <v>4</v>
      </c>
      <c r="B79" s="514"/>
      <c r="C79" s="224"/>
      <c r="D79" s="224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9"/>
        <v>5</v>
      </c>
      <c r="B80" s="514"/>
      <c r="C80" s="224"/>
      <c r="D80" s="224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9"/>
        <v>6</v>
      </c>
      <c r="B81" s="514"/>
      <c r="C81" s="224"/>
      <c r="D81" s="224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9"/>
        <v>7</v>
      </c>
      <c r="B82" s="514"/>
      <c r="C82" s="224"/>
      <c r="D82" s="224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6" thickBot="1">
      <c r="A83" s="506" t="s">
        <v>360</v>
      </c>
      <c r="B83" s="506"/>
      <c r="C83" s="506"/>
      <c r="D83" s="506"/>
      <c r="E83" s="50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7" t="s">
        <v>111</v>
      </c>
      <c r="B84" s="508"/>
      <c r="C84" s="534" t="s">
        <v>52</v>
      </c>
      <c r="D84" s="534"/>
      <c r="E84" s="534" t="s">
        <v>53</v>
      </c>
      <c r="F84" s="534"/>
      <c r="G84" s="534"/>
      <c r="H84" s="534"/>
      <c r="I84" s="534"/>
      <c r="J84" s="534"/>
      <c r="K84" s="534" t="s">
        <v>54</v>
      </c>
      <c r="L84" s="534"/>
      <c r="M84" s="534"/>
      <c r="N84" s="534"/>
      <c r="O84" s="534"/>
      <c r="P84" s="534"/>
      <c r="Q84" s="534"/>
      <c r="R84" s="534"/>
      <c r="S84" s="534"/>
      <c r="T84" s="534" t="s">
        <v>55</v>
      </c>
      <c r="U84" s="534"/>
      <c r="V84" s="534" t="s">
        <v>56</v>
      </c>
      <c r="W84" s="534"/>
      <c r="X84" s="534"/>
      <c r="Y84" s="534" t="s">
        <v>51</v>
      </c>
      <c r="Z84" s="534"/>
      <c r="AA84" s="534"/>
      <c r="AB84" s="534"/>
      <c r="AC84" s="534"/>
      <c r="AD84" s="535"/>
      <c r="AF84" s="50"/>
    </row>
    <row r="85" spans="1:32" ht="30.75" customHeight="1">
      <c r="A85" s="521">
        <v>1</v>
      </c>
      <c r="B85" s="522"/>
      <c r="C85" s="536">
        <v>9</v>
      </c>
      <c r="D85" s="536"/>
      <c r="E85" s="536" t="s">
        <v>136</v>
      </c>
      <c r="F85" s="536"/>
      <c r="G85" s="536"/>
      <c r="H85" s="536"/>
      <c r="I85" s="536"/>
      <c r="J85" s="536"/>
      <c r="K85" s="536" t="s">
        <v>161</v>
      </c>
      <c r="L85" s="536"/>
      <c r="M85" s="536"/>
      <c r="N85" s="536"/>
      <c r="O85" s="536"/>
      <c r="P85" s="536"/>
      <c r="Q85" s="536"/>
      <c r="R85" s="536"/>
      <c r="S85" s="536"/>
      <c r="T85" s="536" t="s">
        <v>137</v>
      </c>
      <c r="U85" s="536"/>
      <c r="V85" s="537" t="s">
        <v>152</v>
      </c>
      <c r="W85" s="537"/>
      <c r="X85" s="537"/>
      <c r="Y85" s="538"/>
      <c r="Z85" s="538"/>
      <c r="AA85" s="538"/>
      <c r="AB85" s="538"/>
      <c r="AC85" s="538"/>
      <c r="AD85" s="539"/>
      <c r="AF85" s="50"/>
    </row>
    <row r="86" spans="1:32" ht="30.75" customHeight="1">
      <c r="A86" s="513">
        <v>2</v>
      </c>
      <c r="B86" s="514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  <c r="P86" s="547"/>
      <c r="Q86" s="547"/>
      <c r="R86" s="547"/>
      <c r="S86" s="547"/>
      <c r="T86" s="548"/>
      <c r="U86" s="548"/>
      <c r="V86" s="549"/>
      <c r="W86" s="549"/>
      <c r="X86" s="549"/>
      <c r="Y86" s="540"/>
      <c r="Z86" s="540"/>
      <c r="AA86" s="540"/>
      <c r="AB86" s="540"/>
      <c r="AC86" s="540"/>
      <c r="AD86" s="541"/>
      <c r="AF86" s="50"/>
    </row>
    <row r="87" spans="1:32" ht="30.75" customHeight="1" thickBot="1">
      <c r="A87" s="542">
        <v>3</v>
      </c>
      <c r="B87" s="543"/>
      <c r="C87" s="544"/>
      <c r="D87" s="544"/>
      <c r="E87" s="544"/>
      <c r="F87" s="544"/>
      <c r="G87" s="544"/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5"/>
      <c r="Z87" s="545"/>
      <c r="AA87" s="545"/>
      <c r="AB87" s="545"/>
      <c r="AC87" s="545"/>
      <c r="AD87" s="546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918F-E1E4-41C6-B21A-8F81E30EAA5C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361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238" t="s">
        <v>17</v>
      </c>
      <c r="L5" s="238" t="s">
        <v>18</v>
      </c>
      <c r="M5" s="238" t="s">
        <v>19</v>
      </c>
      <c r="N5" s="23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138</v>
      </c>
      <c r="D6" s="52" t="s">
        <v>305</v>
      </c>
      <c r="E6" s="53" t="s">
        <v>306</v>
      </c>
      <c r="F6" s="30" t="s">
        <v>153</v>
      </c>
      <c r="G6" s="12" t="s">
        <v>214</v>
      </c>
      <c r="H6" s="13">
        <v>24</v>
      </c>
      <c r="I6" s="31">
        <v>10000</v>
      </c>
      <c r="J6" s="14">
        <v>4565</v>
      </c>
      <c r="K6" s="15">
        <f>L6+3924+4348+4348</f>
        <v>17185</v>
      </c>
      <c r="L6" s="15">
        <f>2932+1633</f>
        <v>4565</v>
      </c>
      <c r="M6" s="15">
        <f t="shared" ref="M6:M21" si="0">L6-N6</f>
        <v>4565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21</v>
      </c>
      <c r="Q6" s="40">
        <f t="shared" ref="Q6:Q21" si="3">SUM(R6:AA6)</f>
        <v>3</v>
      </c>
      <c r="R6" s="7"/>
      <c r="S6" s="6">
        <v>3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0.875</v>
      </c>
      <c r="AD6" s="10">
        <f t="shared" ref="AD6:AD21" si="6">AC6*AB6*(1-O6)</f>
        <v>0.875</v>
      </c>
      <c r="AE6" s="36">
        <f t="shared" ref="AE6:AE21" si="7">$AD$22</f>
        <v>0.61458333333333326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208</v>
      </c>
      <c r="E7" s="53" t="s">
        <v>246</v>
      </c>
      <c r="F7" s="30" t="s">
        <v>247</v>
      </c>
      <c r="G7" s="12">
        <v>1</v>
      </c>
      <c r="H7" s="13">
        <v>24</v>
      </c>
      <c r="I7" s="31">
        <v>80000</v>
      </c>
      <c r="J7" s="14">
        <v>5647</v>
      </c>
      <c r="K7" s="15">
        <f>L7+4944+6055</f>
        <v>16646</v>
      </c>
      <c r="L7" s="15">
        <f>2570+3077</f>
        <v>5647</v>
      </c>
      <c r="M7" s="15">
        <f t="shared" si="0"/>
        <v>5647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0.61458333333333326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210</v>
      </c>
      <c r="D8" s="52" t="s">
        <v>115</v>
      </c>
      <c r="E8" s="52" t="s">
        <v>351</v>
      </c>
      <c r="F8" s="30" t="s">
        <v>145</v>
      </c>
      <c r="G8" s="33">
        <v>1</v>
      </c>
      <c r="H8" s="35">
        <v>24</v>
      </c>
      <c r="I8" s="7">
        <v>3000</v>
      </c>
      <c r="J8" s="5">
        <v>3942</v>
      </c>
      <c r="K8" s="15">
        <f>L8</f>
        <v>3942</v>
      </c>
      <c r="L8" s="15">
        <f>1320+2622</f>
        <v>3942</v>
      </c>
      <c r="M8" s="15">
        <f t="shared" si="0"/>
        <v>3942</v>
      </c>
      <c r="N8" s="15">
        <v>0</v>
      </c>
      <c r="O8" s="58">
        <f t="shared" si="1"/>
        <v>0</v>
      </c>
      <c r="P8" s="39">
        <f t="shared" si="2"/>
        <v>19</v>
      </c>
      <c r="Q8" s="40">
        <f t="shared" si="3"/>
        <v>5</v>
      </c>
      <c r="R8" s="7"/>
      <c r="S8" s="6"/>
      <c r="T8" s="16"/>
      <c r="U8" s="16"/>
      <c r="V8" s="17"/>
      <c r="W8" s="5"/>
      <c r="X8" s="16"/>
      <c r="Y8" s="16"/>
      <c r="Z8" s="16"/>
      <c r="AA8" s="18">
        <v>5</v>
      </c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6">
        <f t="shared" si="7"/>
        <v>0.61458333333333326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120</v>
      </c>
      <c r="D9" s="52"/>
      <c r="E9" s="53" t="s">
        <v>160</v>
      </c>
      <c r="F9" s="30" t="s">
        <v>128</v>
      </c>
      <c r="G9" s="12">
        <v>1</v>
      </c>
      <c r="H9" s="13">
        <v>24</v>
      </c>
      <c r="I9" s="7">
        <v>20000</v>
      </c>
      <c r="J9" s="14">
        <v>5299</v>
      </c>
      <c r="K9" s="15">
        <f>L9+3626+5561</f>
        <v>14486</v>
      </c>
      <c r="L9" s="15">
        <f>2527+2772</f>
        <v>5299</v>
      </c>
      <c r="M9" s="15">
        <f t="shared" si="0"/>
        <v>5299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0.61458333333333326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131</v>
      </c>
      <c r="E10" s="53" t="s">
        <v>168</v>
      </c>
      <c r="F10" s="30" t="s">
        <v>144</v>
      </c>
      <c r="G10" s="33">
        <v>1</v>
      </c>
      <c r="H10" s="35">
        <v>24</v>
      </c>
      <c r="I10" s="7">
        <v>25000</v>
      </c>
      <c r="J10" s="14">
        <v>4015</v>
      </c>
      <c r="K10" s="15">
        <f>L10+6258+6648+6637+2872+6338+6604+6657+3122+6284+6647+6648+6619</f>
        <v>75349</v>
      </c>
      <c r="L10" s="15">
        <f>3347+668</f>
        <v>4015</v>
      </c>
      <c r="M10" s="15">
        <f t="shared" si="0"/>
        <v>4015</v>
      </c>
      <c r="N10" s="15">
        <v>0</v>
      </c>
      <c r="O10" s="58">
        <f t="shared" si="1"/>
        <v>0</v>
      </c>
      <c r="P10" s="39">
        <f t="shared" si="2"/>
        <v>16</v>
      </c>
      <c r="Q10" s="40">
        <f t="shared" si="3"/>
        <v>8</v>
      </c>
      <c r="R10" s="7"/>
      <c r="S10" s="6"/>
      <c r="T10" s="16"/>
      <c r="U10" s="16"/>
      <c r="V10" s="17"/>
      <c r="W10" s="5">
        <v>8</v>
      </c>
      <c r="X10" s="16"/>
      <c r="Y10" s="16"/>
      <c r="Z10" s="16"/>
      <c r="AA10" s="18"/>
      <c r="AB10" s="8">
        <f t="shared" si="4"/>
        <v>1</v>
      </c>
      <c r="AC10" s="9">
        <f t="shared" si="5"/>
        <v>0.66666666666666663</v>
      </c>
      <c r="AD10" s="10">
        <f t="shared" si="6"/>
        <v>0.66666666666666663</v>
      </c>
      <c r="AE10" s="36">
        <f t="shared" si="7"/>
        <v>0.61458333333333326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162</v>
      </c>
      <c r="E11" s="53" t="s">
        <v>163</v>
      </c>
      <c r="F11" s="30" t="s">
        <v>164</v>
      </c>
      <c r="G11" s="33">
        <v>16</v>
      </c>
      <c r="H11" s="35">
        <v>24</v>
      </c>
      <c r="I11" s="7">
        <v>100000</v>
      </c>
      <c r="J11" s="14">
        <v>15260</v>
      </c>
      <c r="K11" s="15">
        <f>L11+39816+90622+108136+15260</f>
        <v>253834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0.61458333333333326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134</v>
      </c>
      <c r="F12" s="30" t="s">
        <v>135</v>
      </c>
      <c r="G12" s="12">
        <v>1</v>
      </c>
      <c r="H12" s="13">
        <v>22</v>
      </c>
      <c r="I12" s="31">
        <v>30000</v>
      </c>
      <c r="J12" s="5">
        <v>5462</v>
      </c>
      <c r="K12" s="15">
        <f>L12+3816+5458</f>
        <v>14736</v>
      </c>
      <c r="L12" s="15">
        <f>2695+2767</f>
        <v>5462</v>
      </c>
      <c r="M12" s="15">
        <f t="shared" si="0"/>
        <v>5462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0.61458333333333326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210</v>
      </c>
      <c r="D13" s="52" t="s">
        <v>341</v>
      </c>
      <c r="E13" s="53" t="s">
        <v>342</v>
      </c>
      <c r="F13" s="30" t="s">
        <v>213</v>
      </c>
      <c r="G13" s="33" t="s">
        <v>214</v>
      </c>
      <c r="H13" s="35">
        <v>24</v>
      </c>
      <c r="I13" s="7">
        <v>3000</v>
      </c>
      <c r="J13" s="14">
        <v>3433</v>
      </c>
      <c r="K13" s="15">
        <f>L13+2745</f>
        <v>6178</v>
      </c>
      <c r="L13" s="15">
        <f>543+2890</f>
        <v>3433</v>
      </c>
      <c r="M13" s="15">
        <f t="shared" si="0"/>
        <v>3433</v>
      </c>
      <c r="N13" s="15">
        <v>0</v>
      </c>
      <c r="O13" s="58">
        <f t="shared" si="1"/>
        <v>0</v>
      </c>
      <c r="P13" s="39">
        <f t="shared" si="2"/>
        <v>15</v>
      </c>
      <c r="Q13" s="40">
        <f t="shared" si="3"/>
        <v>9</v>
      </c>
      <c r="R13" s="7"/>
      <c r="S13" s="6"/>
      <c r="T13" s="16"/>
      <c r="U13" s="16"/>
      <c r="V13" s="17"/>
      <c r="W13" s="5">
        <v>9</v>
      </c>
      <c r="X13" s="16"/>
      <c r="Y13" s="16"/>
      <c r="Z13" s="16"/>
      <c r="AA13" s="18"/>
      <c r="AB13" s="8">
        <f t="shared" si="4"/>
        <v>1</v>
      </c>
      <c r="AC13" s="9">
        <f t="shared" si="5"/>
        <v>0.625</v>
      </c>
      <c r="AD13" s="10">
        <f t="shared" si="6"/>
        <v>0.625</v>
      </c>
      <c r="AE13" s="36">
        <f t="shared" si="7"/>
        <v>0.61458333333333326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118</v>
      </c>
      <c r="D14" s="52" t="s">
        <v>115</v>
      </c>
      <c r="E14" s="53" t="s">
        <v>258</v>
      </c>
      <c r="F14" s="30" t="s">
        <v>145</v>
      </c>
      <c r="G14" s="33">
        <v>1</v>
      </c>
      <c r="H14" s="35">
        <v>50</v>
      </c>
      <c r="I14" s="7">
        <v>500</v>
      </c>
      <c r="J14" s="5">
        <v>711</v>
      </c>
      <c r="K14" s="15">
        <f>L14+711</f>
        <v>711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0.61458333333333326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0.61458333333333326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115</v>
      </c>
      <c r="E16" s="53" t="s">
        <v>276</v>
      </c>
      <c r="F16" s="30" t="s">
        <v>130</v>
      </c>
      <c r="G16" s="12">
        <v>2</v>
      </c>
      <c r="H16" s="13">
        <v>24</v>
      </c>
      <c r="I16" s="7">
        <v>5000</v>
      </c>
      <c r="J16" s="14">
        <v>6100</v>
      </c>
      <c r="K16" s="15">
        <f>L16</f>
        <v>6100</v>
      </c>
      <c r="L16" s="15">
        <f>1650*2+1400*2</f>
        <v>6100</v>
      </c>
      <c r="M16" s="15">
        <f t="shared" si="0"/>
        <v>6100</v>
      </c>
      <c r="N16" s="15">
        <v>0</v>
      </c>
      <c r="O16" s="58">
        <f t="shared" si="1"/>
        <v>0</v>
      </c>
      <c r="P16" s="39">
        <f t="shared" si="2"/>
        <v>15</v>
      </c>
      <c r="Q16" s="40">
        <f t="shared" si="3"/>
        <v>9</v>
      </c>
      <c r="R16" s="7"/>
      <c r="S16" s="6">
        <v>5</v>
      </c>
      <c r="T16" s="16"/>
      <c r="U16" s="16"/>
      <c r="V16" s="17"/>
      <c r="W16" s="5">
        <v>4</v>
      </c>
      <c r="X16" s="16"/>
      <c r="Y16" s="16"/>
      <c r="Z16" s="16"/>
      <c r="AA16" s="18"/>
      <c r="AB16" s="8">
        <f t="shared" si="4"/>
        <v>1</v>
      </c>
      <c r="AC16" s="9">
        <f t="shared" si="5"/>
        <v>0.625</v>
      </c>
      <c r="AD16" s="10">
        <f t="shared" si="6"/>
        <v>0.625</v>
      </c>
      <c r="AE16" s="36">
        <f t="shared" si="7"/>
        <v>0.61458333333333326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/>
      <c r="E17" s="53" t="s">
        <v>250</v>
      </c>
      <c r="F17" s="30" t="s">
        <v>127</v>
      </c>
      <c r="G17" s="12">
        <v>1</v>
      </c>
      <c r="H17" s="13">
        <v>24</v>
      </c>
      <c r="I17" s="7">
        <v>3000</v>
      </c>
      <c r="J17" s="14">
        <v>705</v>
      </c>
      <c r="K17" s="15">
        <f>L17</f>
        <v>705</v>
      </c>
      <c r="L17" s="15">
        <v>705</v>
      </c>
      <c r="M17" s="15">
        <f t="shared" si="0"/>
        <v>705</v>
      </c>
      <c r="N17" s="15">
        <v>0</v>
      </c>
      <c r="O17" s="58">
        <f t="shared" si="1"/>
        <v>0</v>
      </c>
      <c r="P17" s="39">
        <f t="shared" si="2"/>
        <v>6</v>
      </c>
      <c r="Q17" s="40">
        <f t="shared" si="3"/>
        <v>18</v>
      </c>
      <c r="R17" s="7"/>
      <c r="S17" s="6">
        <v>18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0.25</v>
      </c>
      <c r="AD17" s="10">
        <f t="shared" si="6"/>
        <v>0.25</v>
      </c>
      <c r="AE17" s="36">
        <f t="shared" si="7"/>
        <v>0.61458333333333326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/>
      <c r="E18" s="53" t="s">
        <v>174</v>
      </c>
      <c r="F18" s="30" t="s">
        <v>180</v>
      </c>
      <c r="G18" s="33">
        <v>1</v>
      </c>
      <c r="H18" s="35">
        <v>24</v>
      </c>
      <c r="I18" s="7">
        <v>20000</v>
      </c>
      <c r="J18" s="14">
        <v>4855</v>
      </c>
      <c r="K18" s="15">
        <f>L18</f>
        <v>4855</v>
      </c>
      <c r="L18" s="15">
        <f>1932+2923</f>
        <v>4855</v>
      </c>
      <c r="M18" s="15">
        <f t="shared" si="0"/>
        <v>4855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4</v>
      </c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6">
        <f t="shared" si="7"/>
        <v>0.61458333333333326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280</v>
      </c>
      <c r="E19" s="53" t="s">
        <v>352</v>
      </c>
      <c r="F19" s="30" t="s">
        <v>156</v>
      </c>
      <c r="G19" s="33">
        <v>1</v>
      </c>
      <c r="H19" s="35">
        <v>24</v>
      </c>
      <c r="I19" s="7">
        <v>4000</v>
      </c>
      <c r="J19" s="14">
        <v>3889</v>
      </c>
      <c r="K19" s="15">
        <f>L19</f>
        <v>3889</v>
      </c>
      <c r="L19" s="15">
        <f>1407+2482</f>
        <v>3889</v>
      </c>
      <c r="M19" s="15">
        <f t="shared" si="0"/>
        <v>3889</v>
      </c>
      <c r="N19" s="15">
        <v>0</v>
      </c>
      <c r="O19" s="58">
        <f t="shared" si="1"/>
        <v>0</v>
      </c>
      <c r="P19" s="39">
        <f t="shared" si="2"/>
        <v>19</v>
      </c>
      <c r="Q19" s="40">
        <f t="shared" si="3"/>
        <v>5</v>
      </c>
      <c r="R19" s="7"/>
      <c r="S19" s="6">
        <v>5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6">
        <f t="shared" si="7"/>
        <v>0.61458333333333326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319</v>
      </c>
      <c r="F20" s="30" t="s">
        <v>311</v>
      </c>
      <c r="G20" s="12">
        <v>2</v>
      </c>
      <c r="H20" s="13">
        <v>24</v>
      </c>
      <c r="I20" s="7">
        <v>12000</v>
      </c>
      <c r="J20" s="14">
        <v>8090</v>
      </c>
      <c r="K20" s="15">
        <f>L20+2453</f>
        <v>10543</v>
      </c>
      <c r="L20" s="15">
        <f>1401*2+2644*2</f>
        <v>8090</v>
      </c>
      <c r="M20" s="15">
        <f t="shared" si="0"/>
        <v>8090</v>
      </c>
      <c r="N20" s="15">
        <v>0</v>
      </c>
      <c r="O20" s="58">
        <f t="shared" si="1"/>
        <v>0</v>
      </c>
      <c r="P20" s="39">
        <f t="shared" si="2"/>
        <v>19</v>
      </c>
      <c r="Q20" s="40">
        <f t="shared" si="3"/>
        <v>5</v>
      </c>
      <c r="R20" s="7"/>
      <c r="S20" s="6">
        <v>5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0.79166666666666663</v>
      </c>
      <c r="AD20" s="10">
        <f t="shared" si="6"/>
        <v>0.79166666666666663</v>
      </c>
      <c r="AE20" s="36">
        <f t="shared" si="7"/>
        <v>0.61458333333333326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38324</v>
      </c>
      <c r="K21" s="15">
        <f>L21+62008+65280+66156+31132+60100+67104+64940+66996</f>
        <v>522040</v>
      </c>
      <c r="L21" s="15">
        <f>8465*4+1116*4</f>
        <v>38324</v>
      </c>
      <c r="M21" s="15">
        <f t="shared" si="0"/>
        <v>38324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0.61458333333333326</v>
      </c>
      <c r="AF21" s="84">
        <f t="shared" si="8"/>
        <v>16</v>
      </c>
    </row>
    <row r="22" spans="1:32" ht="31.5" customHeight="1" thickBot="1">
      <c r="A22" s="443" t="s">
        <v>34</v>
      </c>
      <c r="B22" s="444"/>
      <c r="C22" s="444"/>
      <c r="D22" s="444"/>
      <c r="E22" s="444"/>
      <c r="F22" s="444"/>
      <c r="G22" s="444"/>
      <c r="H22" s="445"/>
      <c r="I22" s="22">
        <f t="shared" ref="I22:N22" si="9">SUM(I6:I21)</f>
        <v>1327500</v>
      </c>
      <c r="J22" s="19">
        <f t="shared" si="9"/>
        <v>122653</v>
      </c>
      <c r="K22" s="20">
        <f t="shared" si="9"/>
        <v>963555</v>
      </c>
      <c r="L22" s="21">
        <f t="shared" si="9"/>
        <v>94326</v>
      </c>
      <c r="M22" s="20">
        <f t="shared" si="9"/>
        <v>94326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236</v>
      </c>
      <c r="Q22" s="43">
        <f t="shared" si="10"/>
        <v>148</v>
      </c>
      <c r="R22" s="23">
        <f t="shared" si="10"/>
        <v>0</v>
      </c>
      <c r="S22" s="24">
        <f t="shared" si="10"/>
        <v>36</v>
      </c>
      <c r="T22" s="24">
        <f t="shared" si="10"/>
        <v>0</v>
      </c>
      <c r="U22" s="24">
        <f t="shared" si="10"/>
        <v>0</v>
      </c>
      <c r="V22" s="25">
        <f t="shared" si="10"/>
        <v>10</v>
      </c>
      <c r="W22" s="26">
        <f t="shared" si="10"/>
        <v>69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33</v>
      </c>
      <c r="AB22" s="28">
        <f>AVERAGE(AB6:AB21)</f>
        <v>0.8125</v>
      </c>
      <c r="AC22" s="4">
        <f>AVERAGE(AC6:AC21)</f>
        <v>0.61458333333333326</v>
      </c>
      <c r="AD22" s="4">
        <f>AVERAGE(AD6:AD21)</f>
        <v>0.61458333333333326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6" t="s">
        <v>45</v>
      </c>
      <c r="B49" s="446"/>
      <c r="C49" s="446"/>
      <c r="D49" s="446"/>
      <c r="E49" s="446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7" t="s">
        <v>362</v>
      </c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9"/>
      <c r="N50" s="450" t="s">
        <v>365</v>
      </c>
      <c r="O50" s="451"/>
      <c r="P50" s="451"/>
      <c r="Q50" s="451"/>
      <c r="R50" s="451"/>
      <c r="S50" s="451"/>
      <c r="T50" s="451"/>
      <c r="U50" s="451"/>
      <c r="V50" s="451"/>
      <c r="W50" s="451"/>
      <c r="X50" s="451"/>
      <c r="Y50" s="451"/>
      <c r="Z50" s="451"/>
      <c r="AA50" s="451"/>
      <c r="AB50" s="451"/>
      <c r="AC50" s="451"/>
      <c r="AD50" s="452"/>
    </row>
    <row r="51" spans="1:32" ht="27" customHeight="1">
      <c r="A51" s="453" t="s">
        <v>2</v>
      </c>
      <c r="B51" s="454"/>
      <c r="C51" s="237" t="s">
        <v>46</v>
      </c>
      <c r="D51" s="237" t="s">
        <v>47</v>
      </c>
      <c r="E51" s="237" t="s">
        <v>107</v>
      </c>
      <c r="F51" s="455" t="s">
        <v>106</v>
      </c>
      <c r="G51" s="456"/>
      <c r="H51" s="456"/>
      <c r="I51" s="456"/>
      <c r="J51" s="456"/>
      <c r="K51" s="456"/>
      <c r="L51" s="456"/>
      <c r="M51" s="457"/>
      <c r="N51" s="67" t="s">
        <v>110</v>
      </c>
      <c r="O51" s="237" t="s">
        <v>46</v>
      </c>
      <c r="P51" s="455" t="s">
        <v>47</v>
      </c>
      <c r="Q51" s="458"/>
      <c r="R51" s="455" t="s">
        <v>38</v>
      </c>
      <c r="S51" s="456"/>
      <c r="T51" s="456"/>
      <c r="U51" s="458"/>
      <c r="V51" s="455" t="s">
        <v>48</v>
      </c>
      <c r="W51" s="456"/>
      <c r="X51" s="456"/>
      <c r="Y51" s="456"/>
      <c r="Z51" s="456"/>
      <c r="AA51" s="456"/>
      <c r="AB51" s="456"/>
      <c r="AC51" s="456"/>
      <c r="AD51" s="457"/>
    </row>
    <row r="52" spans="1:32" ht="27" customHeight="1">
      <c r="A52" s="469" t="s">
        <v>138</v>
      </c>
      <c r="B52" s="470"/>
      <c r="C52" s="233" t="s">
        <v>147</v>
      </c>
      <c r="D52" s="233" t="s">
        <v>229</v>
      </c>
      <c r="E52" s="104" t="s">
        <v>306</v>
      </c>
      <c r="F52" s="471" t="s">
        <v>363</v>
      </c>
      <c r="G52" s="472"/>
      <c r="H52" s="472"/>
      <c r="I52" s="472"/>
      <c r="J52" s="472"/>
      <c r="K52" s="472"/>
      <c r="L52" s="472"/>
      <c r="M52" s="473"/>
      <c r="N52" s="236" t="s">
        <v>120</v>
      </c>
      <c r="O52" s="230" t="s">
        <v>140</v>
      </c>
      <c r="P52" s="474"/>
      <c r="Q52" s="475"/>
      <c r="R52" s="474" t="s">
        <v>250</v>
      </c>
      <c r="S52" s="476"/>
      <c r="T52" s="476"/>
      <c r="U52" s="475"/>
      <c r="V52" s="477" t="s">
        <v>124</v>
      </c>
      <c r="W52" s="477"/>
      <c r="X52" s="477"/>
      <c r="Y52" s="477"/>
      <c r="Z52" s="477"/>
      <c r="AA52" s="477"/>
      <c r="AB52" s="477"/>
      <c r="AC52" s="477"/>
      <c r="AD52" s="478"/>
    </row>
    <row r="53" spans="1:32" ht="27" customHeight="1">
      <c r="A53" s="469" t="s">
        <v>210</v>
      </c>
      <c r="B53" s="470"/>
      <c r="C53" s="232" t="s">
        <v>139</v>
      </c>
      <c r="D53" s="232" t="s">
        <v>115</v>
      </c>
      <c r="E53" s="233" t="s">
        <v>351</v>
      </c>
      <c r="F53" s="471" t="s">
        <v>132</v>
      </c>
      <c r="G53" s="472"/>
      <c r="H53" s="472"/>
      <c r="I53" s="472"/>
      <c r="J53" s="472"/>
      <c r="K53" s="472"/>
      <c r="L53" s="472"/>
      <c r="M53" s="473"/>
      <c r="N53" s="236" t="s">
        <v>112</v>
      </c>
      <c r="O53" s="230" t="s">
        <v>133</v>
      </c>
      <c r="P53" s="474"/>
      <c r="Q53" s="475"/>
      <c r="R53" s="474" t="s">
        <v>246</v>
      </c>
      <c r="S53" s="476"/>
      <c r="T53" s="476"/>
      <c r="U53" s="475"/>
      <c r="V53" s="477" t="s">
        <v>367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 t="s">
        <v>112</v>
      </c>
      <c r="B54" s="470"/>
      <c r="C54" s="233" t="s">
        <v>318</v>
      </c>
      <c r="D54" s="233" t="s">
        <v>280</v>
      </c>
      <c r="E54" s="233" t="s">
        <v>352</v>
      </c>
      <c r="F54" s="471" t="s">
        <v>366</v>
      </c>
      <c r="G54" s="472"/>
      <c r="H54" s="472"/>
      <c r="I54" s="472"/>
      <c r="J54" s="472"/>
      <c r="K54" s="472"/>
      <c r="L54" s="472"/>
      <c r="M54" s="473"/>
      <c r="N54" s="236" t="s">
        <v>112</v>
      </c>
      <c r="O54" s="230" t="s">
        <v>198</v>
      </c>
      <c r="P54" s="474" t="s">
        <v>184</v>
      </c>
      <c r="Q54" s="475"/>
      <c r="R54" s="474" t="s">
        <v>368</v>
      </c>
      <c r="S54" s="476"/>
      <c r="T54" s="476"/>
      <c r="U54" s="475"/>
      <c r="V54" s="477" t="s">
        <v>132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69" t="s">
        <v>118</v>
      </c>
      <c r="B55" s="470"/>
      <c r="C55" s="233" t="s">
        <v>222</v>
      </c>
      <c r="D55" s="233" t="s">
        <v>115</v>
      </c>
      <c r="E55" s="233" t="s">
        <v>276</v>
      </c>
      <c r="F55" s="471" t="s">
        <v>221</v>
      </c>
      <c r="G55" s="472"/>
      <c r="H55" s="472"/>
      <c r="I55" s="472"/>
      <c r="J55" s="472"/>
      <c r="K55" s="472"/>
      <c r="L55" s="472"/>
      <c r="M55" s="473"/>
      <c r="N55" s="236" t="s">
        <v>118</v>
      </c>
      <c r="O55" s="230" t="s">
        <v>222</v>
      </c>
      <c r="P55" s="474" t="s">
        <v>280</v>
      </c>
      <c r="Q55" s="475"/>
      <c r="R55" s="474" t="s">
        <v>369</v>
      </c>
      <c r="S55" s="476"/>
      <c r="T55" s="476"/>
      <c r="U55" s="475"/>
      <c r="V55" s="477" t="s">
        <v>132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120</v>
      </c>
      <c r="B56" s="470"/>
      <c r="C56" s="233" t="s">
        <v>140</v>
      </c>
      <c r="D56" s="233"/>
      <c r="E56" s="233" t="s">
        <v>250</v>
      </c>
      <c r="F56" s="471" t="s">
        <v>364</v>
      </c>
      <c r="G56" s="472"/>
      <c r="H56" s="472"/>
      <c r="I56" s="472"/>
      <c r="J56" s="472"/>
      <c r="K56" s="472"/>
      <c r="L56" s="472"/>
      <c r="M56" s="473"/>
      <c r="N56" s="236"/>
      <c r="O56" s="230"/>
      <c r="P56" s="474"/>
      <c r="Q56" s="475"/>
      <c r="R56" s="474"/>
      <c r="S56" s="476"/>
      <c r="T56" s="476"/>
      <c r="U56" s="475"/>
      <c r="V56" s="477"/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 t="s">
        <v>120</v>
      </c>
      <c r="B57" s="470"/>
      <c r="C57" s="233" t="s">
        <v>191</v>
      </c>
      <c r="D57" s="233"/>
      <c r="E57" s="233" t="s">
        <v>174</v>
      </c>
      <c r="F57" s="471" t="s">
        <v>132</v>
      </c>
      <c r="G57" s="472"/>
      <c r="H57" s="472"/>
      <c r="I57" s="472"/>
      <c r="J57" s="472"/>
      <c r="K57" s="472"/>
      <c r="L57" s="472"/>
      <c r="M57" s="473"/>
      <c r="N57" s="236"/>
      <c r="O57" s="230"/>
      <c r="P57" s="474"/>
      <c r="Q57" s="475"/>
      <c r="R57" s="474"/>
      <c r="S57" s="476"/>
      <c r="T57" s="476"/>
      <c r="U57" s="475"/>
      <c r="V57" s="477"/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 t="s">
        <v>112</v>
      </c>
      <c r="B58" s="470"/>
      <c r="C58" s="233" t="s">
        <v>141</v>
      </c>
      <c r="D58" s="233" t="s">
        <v>115</v>
      </c>
      <c r="E58" s="233" t="s">
        <v>330</v>
      </c>
      <c r="F58" s="471" t="s">
        <v>124</v>
      </c>
      <c r="G58" s="472"/>
      <c r="H58" s="472"/>
      <c r="I58" s="472"/>
      <c r="J58" s="472"/>
      <c r="K58" s="472"/>
      <c r="L58" s="472"/>
      <c r="M58" s="473"/>
      <c r="N58" s="236"/>
      <c r="O58" s="230"/>
      <c r="P58" s="474"/>
      <c r="Q58" s="475"/>
      <c r="R58" s="474"/>
      <c r="S58" s="476"/>
      <c r="T58" s="476"/>
      <c r="U58" s="475"/>
      <c r="V58" s="477"/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/>
      <c r="B59" s="488"/>
      <c r="C59" s="232"/>
      <c r="D59" s="232"/>
      <c r="E59" s="233"/>
      <c r="F59" s="471"/>
      <c r="G59" s="472"/>
      <c r="H59" s="472"/>
      <c r="I59" s="472"/>
      <c r="J59" s="472"/>
      <c r="K59" s="472"/>
      <c r="L59" s="472"/>
      <c r="M59" s="473"/>
      <c r="N59" s="236"/>
      <c r="O59" s="230"/>
      <c r="P59" s="474"/>
      <c r="Q59" s="475"/>
      <c r="R59" s="470"/>
      <c r="S59" s="470"/>
      <c r="T59" s="470"/>
      <c r="U59" s="470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/>
      <c r="B60" s="488"/>
      <c r="C60" s="232"/>
      <c r="D60" s="232"/>
      <c r="E60" s="233"/>
      <c r="F60" s="471"/>
      <c r="G60" s="472"/>
      <c r="H60" s="472"/>
      <c r="I60" s="472"/>
      <c r="J60" s="472"/>
      <c r="K60" s="472"/>
      <c r="L60" s="472"/>
      <c r="M60" s="473"/>
      <c r="N60" s="236"/>
      <c r="O60" s="230"/>
      <c r="P60" s="470"/>
      <c r="Q60" s="470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  <c r="AF60" s="84">
        <f>8*3000</f>
        <v>24000</v>
      </c>
    </row>
    <row r="61" spans="1:32" ht="27" customHeight="1" thickBot="1">
      <c r="A61" s="479"/>
      <c r="B61" s="480"/>
      <c r="C61" s="234"/>
      <c r="D61" s="235"/>
      <c r="E61" s="234"/>
      <c r="F61" s="481"/>
      <c r="G61" s="482"/>
      <c r="H61" s="482"/>
      <c r="I61" s="482"/>
      <c r="J61" s="482"/>
      <c r="K61" s="482"/>
      <c r="L61" s="482"/>
      <c r="M61" s="483"/>
      <c r="N61" s="111"/>
      <c r="O61" s="103"/>
      <c r="P61" s="484"/>
      <c r="Q61" s="484"/>
      <c r="R61" s="484"/>
      <c r="S61" s="484"/>
      <c r="T61" s="484"/>
      <c r="U61" s="484"/>
      <c r="V61" s="485"/>
      <c r="W61" s="485"/>
      <c r="X61" s="485"/>
      <c r="Y61" s="485"/>
      <c r="Z61" s="485"/>
      <c r="AA61" s="485"/>
      <c r="AB61" s="485"/>
      <c r="AC61" s="485"/>
      <c r="AD61" s="486"/>
      <c r="AF61" s="84">
        <f>16*3000</f>
        <v>48000</v>
      </c>
    </row>
    <row r="62" spans="1:32" ht="27.75" thickBot="1">
      <c r="A62" s="489" t="s">
        <v>370</v>
      </c>
      <c r="B62" s="489"/>
      <c r="C62" s="489"/>
      <c r="D62" s="489"/>
      <c r="E62" s="48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0" t="s">
        <v>111</v>
      </c>
      <c r="B63" s="491"/>
      <c r="C63" s="231" t="s">
        <v>2</v>
      </c>
      <c r="D63" s="231" t="s">
        <v>37</v>
      </c>
      <c r="E63" s="231" t="s">
        <v>3</v>
      </c>
      <c r="F63" s="491" t="s">
        <v>109</v>
      </c>
      <c r="G63" s="491"/>
      <c r="H63" s="491"/>
      <c r="I63" s="491"/>
      <c r="J63" s="491"/>
      <c r="K63" s="491" t="s">
        <v>39</v>
      </c>
      <c r="L63" s="491"/>
      <c r="M63" s="231" t="s">
        <v>40</v>
      </c>
      <c r="N63" s="491" t="s">
        <v>41</v>
      </c>
      <c r="O63" s="491"/>
      <c r="P63" s="492" t="s">
        <v>42</v>
      </c>
      <c r="Q63" s="493"/>
      <c r="R63" s="492" t="s">
        <v>43</v>
      </c>
      <c r="S63" s="494"/>
      <c r="T63" s="494"/>
      <c r="U63" s="494"/>
      <c r="V63" s="494"/>
      <c r="W63" s="494"/>
      <c r="X63" s="494"/>
      <c r="Y63" s="494"/>
      <c r="Z63" s="494"/>
      <c r="AA63" s="493"/>
      <c r="AB63" s="491" t="s">
        <v>44</v>
      </c>
      <c r="AC63" s="491"/>
      <c r="AD63" s="495"/>
      <c r="AF63" s="84">
        <f>SUM(AF60:AF62)</f>
        <v>96000</v>
      </c>
    </row>
    <row r="64" spans="1:32" ht="25.5" customHeight="1">
      <c r="A64" s="496">
        <v>1</v>
      </c>
      <c r="B64" s="497"/>
      <c r="C64" s="104" t="s">
        <v>120</v>
      </c>
      <c r="D64" s="226"/>
      <c r="E64" s="229"/>
      <c r="F64" s="498" t="s">
        <v>371</v>
      </c>
      <c r="G64" s="499"/>
      <c r="H64" s="499"/>
      <c r="I64" s="499"/>
      <c r="J64" s="500"/>
      <c r="K64" s="501" t="s">
        <v>213</v>
      </c>
      <c r="L64" s="501"/>
      <c r="M64" s="51" t="s">
        <v>143</v>
      </c>
      <c r="N64" s="502" t="s">
        <v>139</v>
      </c>
      <c r="O64" s="502"/>
      <c r="P64" s="503">
        <v>100</v>
      </c>
      <c r="Q64" s="503"/>
      <c r="R64" s="477"/>
      <c r="S64" s="477"/>
      <c r="T64" s="477"/>
      <c r="U64" s="477"/>
      <c r="V64" s="477"/>
      <c r="W64" s="477"/>
      <c r="X64" s="477"/>
      <c r="Y64" s="477"/>
      <c r="Z64" s="477"/>
      <c r="AA64" s="477"/>
      <c r="AB64" s="501"/>
      <c r="AC64" s="501"/>
      <c r="AD64" s="504"/>
      <c r="AF64" s="50"/>
    </row>
    <row r="65" spans="1:32" ht="25.5" customHeight="1">
      <c r="A65" s="496">
        <v>2</v>
      </c>
      <c r="B65" s="497"/>
      <c r="C65" s="104" t="s">
        <v>120</v>
      </c>
      <c r="D65" s="226"/>
      <c r="E65" s="229"/>
      <c r="F65" s="498" t="s">
        <v>261</v>
      </c>
      <c r="G65" s="499"/>
      <c r="H65" s="499"/>
      <c r="I65" s="499"/>
      <c r="J65" s="500"/>
      <c r="K65" s="501" t="s">
        <v>262</v>
      </c>
      <c r="L65" s="501"/>
      <c r="M65" s="51" t="s">
        <v>143</v>
      </c>
      <c r="N65" s="502" t="s">
        <v>139</v>
      </c>
      <c r="O65" s="502"/>
      <c r="P65" s="503">
        <v>100</v>
      </c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3</v>
      </c>
      <c r="B66" s="497"/>
      <c r="C66" s="104" t="s">
        <v>112</v>
      </c>
      <c r="D66" s="226"/>
      <c r="E66" s="229" t="s">
        <v>234</v>
      </c>
      <c r="F66" s="498" t="s">
        <v>233</v>
      </c>
      <c r="G66" s="499"/>
      <c r="H66" s="499"/>
      <c r="I66" s="499"/>
      <c r="J66" s="500"/>
      <c r="K66" s="501" t="s">
        <v>235</v>
      </c>
      <c r="L66" s="501"/>
      <c r="M66" s="51" t="s">
        <v>143</v>
      </c>
      <c r="N66" s="502" t="s">
        <v>372</v>
      </c>
      <c r="O66" s="502"/>
      <c r="P66" s="503">
        <v>400</v>
      </c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4</v>
      </c>
      <c r="B67" s="497"/>
      <c r="C67" s="104" t="s">
        <v>210</v>
      </c>
      <c r="D67" s="226"/>
      <c r="E67" s="229" t="s">
        <v>280</v>
      </c>
      <c r="F67" s="498" t="s">
        <v>373</v>
      </c>
      <c r="G67" s="499"/>
      <c r="H67" s="499"/>
      <c r="I67" s="499"/>
      <c r="J67" s="500"/>
      <c r="K67" s="501" t="s">
        <v>358</v>
      </c>
      <c r="L67" s="501"/>
      <c r="M67" s="51" t="s">
        <v>143</v>
      </c>
      <c r="N67" s="502" t="s">
        <v>372</v>
      </c>
      <c r="O67" s="502"/>
      <c r="P67" s="503">
        <v>100</v>
      </c>
      <c r="Q67" s="503"/>
      <c r="R67" s="477" t="s">
        <v>374</v>
      </c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5</v>
      </c>
      <c r="B68" s="497"/>
      <c r="C68" s="104" t="s">
        <v>118</v>
      </c>
      <c r="D68" s="226"/>
      <c r="E68" s="229" t="s">
        <v>115</v>
      </c>
      <c r="F68" s="498" t="s">
        <v>276</v>
      </c>
      <c r="G68" s="499"/>
      <c r="H68" s="499"/>
      <c r="I68" s="499"/>
      <c r="J68" s="500"/>
      <c r="K68" s="501" t="s">
        <v>130</v>
      </c>
      <c r="L68" s="501"/>
      <c r="M68" s="51" t="s">
        <v>143</v>
      </c>
      <c r="N68" s="502" t="s">
        <v>222</v>
      </c>
      <c r="O68" s="502"/>
      <c r="P68" s="503">
        <v>100</v>
      </c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6</v>
      </c>
      <c r="B69" s="497"/>
      <c r="C69" s="104" t="s">
        <v>210</v>
      </c>
      <c r="D69" s="226"/>
      <c r="E69" s="229" t="s">
        <v>184</v>
      </c>
      <c r="F69" s="498" t="s">
        <v>375</v>
      </c>
      <c r="G69" s="499"/>
      <c r="H69" s="499"/>
      <c r="I69" s="499"/>
      <c r="J69" s="500"/>
      <c r="K69" s="501" t="s">
        <v>213</v>
      </c>
      <c r="L69" s="501"/>
      <c r="M69" s="51" t="s">
        <v>230</v>
      </c>
      <c r="N69" s="502" t="s">
        <v>191</v>
      </c>
      <c r="O69" s="502"/>
      <c r="P69" s="503">
        <v>100</v>
      </c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7</v>
      </c>
      <c r="B70" s="497"/>
      <c r="C70" s="104"/>
      <c r="D70" s="226"/>
      <c r="E70" s="229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8</v>
      </c>
      <c r="B71" s="497"/>
      <c r="C71" s="104"/>
      <c r="D71" s="226"/>
      <c r="E71" s="229"/>
      <c r="F71" s="505"/>
      <c r="G71" s="501"/>
      <c r="H71" s="501"/>
      <c r="I71" s="501"/>
      <c r="J71" s="501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9</v>
      </c>
      <c r="B72" s="497"/>
      <c r="C72" s="104"/>
      <c r="D72" s="226"/>
      <c r="E72" s="229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10</v>
      </c>
      <c r="B73" s="497"/>
      <c r="C73" s="104"/>
      <c r="D73" s="226"/>
      <c r="E73" s="229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6.25" customHeight="1" thickBot="1">
      <c r="A74" s="506" t="s">
        <v>376</v>
      </c>
      <c r="B74" s="506"/>
      <c r="C74" s="506"/>
      <c r="D74" s="506"/>
      <c r="E74" s="50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7" t="s">
        <v>126</v>
      </c>
      <c r="B75" s="508"/>
      <c r="C75" s="228" t="s">
        <v>2</v>
      </c>
      <c r="D75" s="228" t="s">
        <v>37</v>
      </c>
      <c r="E75" s="228" t="s">
        <v>125</v>
      </c>
      <c r="F75" s="508" t="s">
        <v>38</v>
      </c>
      <c r="G75" s="508"/>
      <c r="H75" s="508"/>
      <c r="I75" s="508"/>
      <c r="J75" s="508"/>
      <c r="K75" s="509" t="s">
        <v>58</v>
      </c>
      <c r="L75" s="510"/>
      <c r="M75" s="510"/>
      <c r="N75" s="510"/>
      <c r="O75" s="510"/>
      <c r="P75" s="510"/>
      <c r="Q75" s="510"/>
      <c r="R75" s="510"/>
      <c r="S75" s="511"/>
      <c r="T75" s="508" t="s">
        <v>49</v>
      </c>
      <c r="U75" s="508"/>
      <c r="V75" s="509" t="s">
        <v>50</v>
      </c>
      <c r="W75" s="511"/>
      <c r="X75" s="510" t="s">
        <v>51</v>
      </c>
      <c r="Y75" s="510"/>
      <c r="Z75" s="510"/>
      <c r="AA75" s="510"/>
      <c r="AB75" s="510"/>
      <c r="AC75" s="510"/>
      <c r="AD75" s="512"/>
      <c r="AF75" s="50"/>
    </row>
    <row r="76" spans="1:32" ht="33.75" customHeight="1">
      <c r="A76" s="521">
        <v>1</v>
      </c>
      <c r="B76" s="522"/>
      <c r="C76" s="227" t="s">
        <v>112</v>
      </c>
      <c r="D76" s="227"/>
      <c r="E76" s="65" t="s">
        <v>117</v>
      </c>
      <c r="F76" s="523" t="s">
        <v>116</v>
      </c>
      <c r="G76" s="524"/>
      <c r="H76" s="524"/>
      <c r="I76" s="524"/>
      <c r="J76" s="525"/>
      <c r="K76" s="526" t="s">
        <v>119</v>
      </c>
      <c r="L76" s="527"/>
      <c r="M76" s="527"/>
      <c r="N76" s="527"/>
      <c r="O76" s="527"/>
      <c r="P76" s="527"/>
      <c r="Q76" s="527"/>
      <c r="R76" s="527"/>
      <c r="S76" s="528"/>
      <c r="T76" s="529">
        <v>44118</v>
      </c>
      <c r="U76" s="530"/>
      <c r="V76" s="531"/>
      <c r="W76" s="531"/>
      <c r="X76" s="532"/>
      <c r="Y76" s="532"/>
      <c r="Z76" s="532"/>
      <c r="AA76" s="532"/>
      <c r="AB76" s="532"/>
      <c r="AC76" s="532"/>
      <c r="AD76" s="533"/>
      <c r="AF76" s="50"/>
    </row>
    <row r="77" spans="1:32" ht="30" customHeight="1">
      <c r="A77" s="513">
        <f>A76+1</f>
        <v>2</v>
      </c>
      <c r="B77" s="514"/>
      <c r="C77" s="226"/>
      <c r="D77" s="226"/>
      <c r="E77" s="32"/>
      <c r="F77" s="514"/>
      <c r="G77" s="514"/>
      <c r="H77" s="514"/>
      <c r="I77" s="514"/>
      <c r="J77" s="514"/>
      <c r="K77" s="515"/>
      <c r="L77" s="516"/>
      <c r="M77" s="516"/>
      <c r="N77" s="516"/>
      <c r="O77" s="516"/>
      <c r="P77" s="516"/>
      <c r="Q77" s="516"/>
      <c r="R77" s="516"/>
      <c r="S77" s="517"/>
      <c r="T77" s="518"/>
      <c r="U77" s="518"/>
      <c r="V77" s="518"/>
      <c r="W77" s="518"/>
      <c r="X77" s="519"/>
      <c r="Y77" s="519"/>
      <c r="Z77" s="519"/>
      <c r="AA77" s="519"/>
      <c r="AB77" s="519"/>
      <c r="AC77" s="519"/>
      <c r="AD77" s="520"/>
      <c r="AF77" s="50"/>
    </row>
    <row r="78" spans="1:32" ht="30" customHeight="1">
      <c r="A78" s="513">
        <f t="shared" ref="A78:A82" si="11">A77+1</f>
        <v>3</v>
      </c>
      <c r="B78" s="514"/>
      <c r="C78" s="226"/>
      <c r="D78" s="226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si="11"/>
        <v>4</v>
      </c>
      <c r="B79" s="514"/>
      <c r="C79" s="226"/>
      <c r="D79" s="226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1"/>
        <v>5</v>
      </c>
      <c r="B80" s="514"/>
      <c r="C80" s="226"/>
      <c r="D80" s="226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1"/>
        <v>6</v>
      </c>
      <c r="B81" s="514"/>
      <c r="C81" s="226"/>
      <c r="D81" s="226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1"/>
        <v>7</v>
      </c>
      <c r="B82" s="514"/>
      <c r="C82" s="226"/>
      <c r="D82" s="226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6" thickBot="1">
      <c r="A83" s="506" t="s">
        <v>377</v>
      </c>
      <c r="B83" s="506"/>
      <c r="C83" s="506"/>
      <c r="D83" s="506"/>
      <c r="E83" s="50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7" t="s">
        <v>111</v>
      </c>
      <c r="B84" s="508"/>
      <c r="C84" s="534" t="s">
        <v>52</v>
      </c>
      <c r="D84" s="534"/>
      <c r="E84" s="534" t="s">
        <v>53</v>
      </c>
      <c r="F84" s="534"/>
      <c r="G84" s="534"/>
      <c r="H84" s="534"/>
      <c r="I84" s="534"/>
      <c r="J84" s="534"/>
      <c r="K84" s="534" t="s">
        <v>54</v>
      </c>
      <c r="L84" s="534"/>
      <c r="M84" s="534"/>
      <c r="N84" s="534"/>
      <c r="O84" s="534"/>
      <c r="P84" s="534"/>
      <c r="Q84" s="534"/>
      <c r="R84" s="534"/>
      <c r="S84" s="534"/>
      <c r="T84" s="534" t="s">
        <v>55</v>
      </c>
      <c r="U84" s="534"/>
      <c r="V84" s="534" t="s">
        <v>56</v>
      </c>
      <c r="W84" s="534"/>
      <c r="X84" s="534"/>
      <c r="Y84" s="534" t="s">
        <v>51</v>
      </c>
      <c r="Z84" s="534"/>
      <c r="AA84" s="534"/>
      <c r="AB84" s="534"/>
      <c r="AC84" s="534"/>
      <c r="AD84" s="535"/>
      <c r="AF84" s="50"/>
    </row>
    <row r="85" spans="1:32" ht="30.75" customHeight="1">
      <c r="A85" s="521">
        <v>1</v>
      </c>
      <c r="B85" s="522"/>
      <c r="C85" s="536">
        <v>9</v>
      </c>
      <c r="D85" s="536"/>
      <c r="E85" s="536" t="s">
        <v>136</v>
      </c>
      <c r="F85" s="536"/>
      <c r="G85" s="536"/>
      <c r="H85" s="536"/>
      <c r="I85" s="536"/>
      <c r="J85" s="536"/>
      <c r="K85" s="536" t="s">
        <v>161</v>
      </c>
      <c r="L85" s="536"/>
      <c r="M85" s="536"/>
      <c r="N85" s="536"/>
      <c r="O85" s="536"/>
      <c r="P85" s="536"/>
      <c r="Q85" s="536"/>
      <c r="R85" s="536"/>
      <c r="S85" s="536"/>
      <c r="T85" s="536" t="s">
        <v>137</v>
      </c>
      <c r="U85" s="536"/>
      <c r="V85" s="537" t="s">
        <v>152</v>
      </c>
      <c r="W85" s="537"/>
      <c r="X85" s="537"/>
      <c r="Y85" s="538"/>
      <c r="Z85" s="538"/>
      <c r="AA85" s="538"/>
      <c r="AB85" s="538"/>
      <c r="AC85" s="538"/>
      <c r="AD85" s="539"/>
      <c r="AF85" s="50"/>
    </row>
    <row r="86" spans="1:32" ht="30.75" customHeight="1">
      <c r="A86" s="513">
        <v>2</v>
      </c>
      <c r="B86" s="514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  <c r="P86" s="547"/>
      <c r="Q86" s="547"/>
      <c r="R86" s="547"/>
      <c r="S86" s="547"/>
      <c r="T86" s="548"/>
      <c r="U86" s="548"/>
      <c r="V86" s="549"/>
      <c r="W86" s="549"/>
      <c r="X86" s="549"/>
      <c r="Y86" s="540"/>
      <c r="Z86" s="540"/>
      <c r="AA86" s="540"/>
      <c r="AB86" s="540"/>
      <c r="AC86" s="540"/>
      <c r="AD86" s="541"/>
      <c r="AF86" s="50"/>
    </row>
    <row r="87" spans="1:32" ht="30.75" customHeight="1" thickBot="1">
      <c r="A87" s="542">
        <v>3</v>
      </c>
      <c r="B87" s="543"/>
      <c r="C87" s="544"/>
      <c r="D87" s="544"/>
      <c r="E87" s="544"/>
      <c r="F87" s="544"/>
      <c r="G87" s="544"/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5"/>
      <c r="Z87" s="545"/>
      <c r="AA87" s="545"/>
      <c r="AB87" s="545"/>
      <c r="AC87" s="545"/>
      <c r="AD87" s="546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5C06-A2F8-4675-B945-0E33F2CFCC5A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378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239" t="s">
        <v>17</v>
      </c>
      <c r="L5" s="239" t="s">
        <v>18</v>
      </c>
      <c r="M5" s="239" t="s">
        <v>19</v>
      </c>
      <c r="N5" s="23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138</v>
      </c>
      <c r="D6" s="52" t="s">
        <v>379</v>
      </c>
      <c r="E6" s="53" t="s">
        <v>380</v>
      </c>
      <c r="F6" s="30" t="s">
        <v>153</v>
      </c>
      <c r="G6" s="12">
        <v>1</v>
      </c>
      <c r="H6" s="13">
        <v>24</v>
      </c>
      <c r="I6" s="31">
        <v>10000</v>
      </c>
      <c r="J6" s="14">
        <v>2161</v>
      </c>
      <c r="K6" s="15">
        <f>L6+3924+4348+4348+4565</f>
        <v>19346</v>
      </c>
      <c r="L6" s="15">
        <v>2161</v>
      </c>
      <c r="M6" s="15">
        <f t="shared" ref="M6:M21" si="0">L6-N6</f>
        <v>2161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9</v>
      </c>
      <c r="Q6" s="40">
        <f t="shared" ref="Q6:Q21" si="3">SUM(R6:AA6)</f>
        <v>15</v>
      </c>
      <c r="R6" s="7"/>
      <c r="S6" s="6">
        <v>15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0.375</v>
      </c>
      <c r="AD6" s="10">
        <f t="shared" ref="AD6:AD21" si="6">AC6*AB6*(1-O6)</f>
        <v>0.375</v>
      </c>
      <c r="AE6" s="36">
        <f t="shared" ref="AE6:AE21" si="7">$AD$22</f>
        <v>0.57291666666666674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208</v>
      </c>
      <c r="E7" s="53" t="s">
        <v>246</v>
      </c>
      <c r="F7" s="30" t="s">
        <v>247</v>
      </c>
      <c r="G7" s="12">
        <v>1</v>
      </c>
      <c r="H7" s="13">
        <v>24</v>
      </c>
      <c r="I7" s="31">
        <v>80000</v>
      </c>
      <c r="J7" s="14">
        <v>3827</v>
      </c>
      <c r="K7" s="15">
        <f>L7+4944+6055+5647</f>
        <v>20473</v>
      </c>
      <c r="L7" s="15">
        <f>795+3032</f>
        <v>3827</v>
      </c>
      <c r="M7" s="15">
        <f t="shared" si="0"/>
        <v>3827</v>
      </c>
      <c r="N7" s="15">
        <v>0</v>
      </c>
      <c r="O7" s="58">
        <f t="shared" si="1"/>
        <v>0</v>
      </c>
      <c r="P7" s="39">
        <f t="shared" si="2"/>
        <v>18</v>
      </c>
      <c r="Q7" s="40">
        <f t="shared" si="3"/>
        <v>6</v>
      </c>
      <c r="R7" s="7"/>
      <c r="S7" s="6">
        <v>6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0.75</v>
      </c>
      <c r="AD7" s="10">
        <f t="shared" si="6"/>
        <v>0.75</v>
      </c>
      <c r="AE7" s="36">
        <f t="shared" si="7"/>
        <v>0.57291666666666674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210</v>
      </c>
      <c r="D8" s="52" t="s">
        <v>115</v>
      </c>
      <c r="E8" s="52" t="s">
        <v>351</v>
      </c>
      <c r="F8" s="30" t="s">
        <v>145</v>
      </c>
      <c r="G8" s="33">
        <v>1</v>
      </c>
      <c r="H8" s="35">
        <v>24</v>
      </c>
      <c r="I8" s="7">
        <v>3000</v>
      </c>
      <c r="J8" s="5">
        <v>2351</v>
      </c>
      <c r="K8" s="15">
        <f>L8+3942</f>
        <v>6293</v>
      </c>
      <c r="L8" s="15">
        <v>2351</v>
      </c>
      <c r="M8" s="15">
        <f t="shared" si="0"/>
        <v>2351</v>
      </c>
      <c r="N8" s="15">
        <v>0</v>
      </c>
      <c r="O8" s="58">
        <f t="shared" si="1"/>
        <v>0</v>
      </c>
      <c r="P8" s="39">
        <f t="shared" si="2"/>
        <v>10</v>
      </c>
      <c r="Q8" s="40">
        <f t="shared" si="3"/>
        <v>14</v>
      </c>
      <c r="R8" s="7"/>
      <c r="S8" s="6">
        <v>14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0.41666666666666669</v>
      </c>
      <c r="AD8" s="10">
        <f t="shared" si="6"/>
        <v>0.41666666666666669</v>
      </c>
      <c r="AE8" s="36">
        <f t="shared" si="7"/>
        <v>0.57291666666666674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120</v>
      </c>
      <c r="D9" s="52"/>
      <c r="E9" s="53" t="s">
        <v>160</v>
      </c>
      <c r="F9" s="30" t="s">
        <v>128</v>
      </c>
      <c r="G9" s="12">
        <v>1</v>
      </c>
      <c r="H9" s="13">
        <v>24</v>
      </c>
      <c r="I9" s="7">
        <v>20000</v>
      </c>
      <c r="J9" s="14">
        <v>5408</v>
      </c>
      <c r="K9" s="15">
        <f>L9+3626+5561+5299</f>
        <v>19894</v>
      </c>
      <c r="L9" s="15">
        <f>2631+2777</f>
        <v>5408</v>
      </c>
      <c r="M9" s="15">
        <f t="shared" si="0"/>
        <v>5408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0.57291666666666674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131</v>
      </c>
      <c r="E10" s="53" t="s">
        <v>168</v>
      </c>
      <c r="F10" s="30" t="s">
        <v>144</v>
      </c>
      <c r="G10" s="33">
        <v>1</v>
      </c>
      <c r="H10" s="35">
        <v>24</v>
      </c>
      <c r="I10" s="7">
        <v>25000</v>
      </c>
      <c r="J10" s="14">
        <v>4015</v>
      </c>
      <c r="K10" s="15">
        <f>L10+6258+6648+6637+2872+6338+6604+6657+3122+6284+6647+6648+6619+4015</f>
        <v>75349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0.57291666666666674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162</v>
      </c>
      <c r="E11" s="53" t="s">
        <v>163</v>
      </c>
      <c r="F11" s="30" t="s">
        <v>164</v>
      </c>
      <c r="G11" s="33">
        <v>16</v>
      </c>
      <c r="H11" s="35">
        <v>24</v>
      </c>
      <c r="I11" s="7">
        <v>100000</v>
      </c>
      <c r="J11" s="14">
        <v>15260</v>
      </c>
      <c r="K11" s="15">
        <f>L11+39816+90622+108136+15260</f>
        <v>253834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0.57291666666666674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134</v>
      </c>
      <c r="F12" s="30" t="s">
        <v>135</v>
      </c>
      <c r="G12" s="12">
        <v>1</v>
      </c>
      <c r="H12" s="13">
        <v>22</v>
      </c>
      <c r="I12" s="31">
        <v>30000</v>
      </c>
      <c r="J12" s="5">
        <v>5155</v>
      </c>
      <c r="K12" s="15">
        <f>L12+3816+5458+5462</f>
        <v>19891</v>
      </c>
      <c r="L12" s="15">
        <f>2642+2513</f>
        <v>5155</v>
      </c>
      <c r="M12" s="15">
        <f t="shared" si="0"/>
        <v>5155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>
        <v>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si="6"/>
        <v>0.91666666666666663</v>
      </c>
      <c r="AE12" s="36">
        <f t="shared" si="7"/>
        <v>0.57291666666666674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131</v>
      </c>
      <c r="E13" s="53" t="s">
        <v>368</v>
      </c>
      <c r="F13" s="30" t="s">
        <v>144</v>
      </c>
      <c r="G13" s="33">
        <v>1</v>
      </c>
      <c r="H13" s="35">
        <v>24</v>
      </c>
      <c r="I13" s="7">
        <v>80000</v>
      </c>
      <c r="J13" s="14">
        <v>5383</v>
      </c>
      <c r="K13" s="15">
        <f>L13</f>
        <v>5383</v>
      </c>
      <c r="L13" s="15">
        <f>2556+2827</f>
        <v>5383</v>
      </c>
      <c r="M13" s="15">
        <f t="shared" si="0"/>
        <v>5383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0.57291666666666674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118</v>
      </c>
      <c r="D14" s="52" t="s">
        <v>115</v>
      </c>
      <c r="E14" s="53" t="s">
        <v>258</v>
      </c>
      <c r="F14" s="30" t="s">
        <v>145</v>
      </c>
      <c r="G14" s="33">
        <v>1</v>
      </c>
      <c r="H14" s="35">
        <v>50</v>
      </c>
      <c r="I14" s="7">
        <v>500</v>
      </c>
      <c r="J14" s="5">
        <v>711</v>
      </c>
      <c r="K14" s="15">
        <f>L14+711</f>
        <v>711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0.57291666666666674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0.57291666666666674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280</v>
      </c>
      <c r="E16" s="53" t="s">
        <v>369</v>
      </c>
      <c r="F16" s="30" t="s">
        <v>156</v>
      </c>
      <c r="G16" s="12">
        <v>1</v>
      </c>
      <c r="H16" s="13">
        <v>24</v>
      </c>
      <c r="I16" s="7">
        <v>5000</v>
      </c>
      <c r="J16" s="14">
        <v>5663</v>
      </c>
      <c r="K16" s="15">
        <f>L16</f>
        <v>5663</v>
      </c>
      <c r="L16" s="15">
        <f>2277+3386</f>
        <v>5663</v>
      </c>
      <c r="M16" s="15">
        <f t="shared" si="0"/>
        <v>5663</v>
      </c>
      <c r="N16" s="15">
        <v>0</v>
      </c>
      <c r="O16" s="58">
        <f t="shared" si="1"/>
        <v>0</v>
      </c>
      <c r="P16" s="39">
        <f t="shared" si="2"/>
        <v>22</v>
      </c>
      <c r="Q16" s="40">
        <f t="shared" si="3"/>
        <v>2</v>
      </c>
      <c r="R16" s="7"/>
      <c r="S16" s="6">
        <v>2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0.91666666666666663</v>
      </c>
      <c r="AD16" s="10">
        <f t="shared" si="6"/>
        <v>0.91666666666666663</v>
      </c>
      <c r="AE16" s="36">
        <f t="shared" si="7"/>
        <v>0.57291666666666674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/>
      <c r="E17" s="53" t="s">
        <v>250</v>
      </c>
      <c r="F17" s="30" t="s">
        <v>127</v>
      </c>
      <c r="G17" s="12">
        <v>1</v>
      </c>
      <c r="H17" s="13">
        <v>24</v>
      </c>
      <c r="I17" s="7">
        <v>3000</v>
      </c>
      <c r="J17" s="14">
        <v>3892</v>
      </c>
      <c r="K17" s="15">
        <f>L17+705</f>
        <v>4597</v>
      </c>
      <c r="L17" s="15">
        <f>1585+2307</f>
        <v>3892</v>
      </c>
      <c r="M17" s="15">
        <f t="shared" si="0"/>
        <v>3892</v>
      </c>
      <c r="N17" s="15">
        <v>0</v>
      </c>
      <c r="O17" s="58">
        <f t="shared" si="1"/>
        <v>0</v>
      </c>
      <c r="P17" s="39">
        <f t="shared" si="2"/>
        <v>19</v>
      </c>
      <c r="Q17" s="40">
        <f t="shared" si="3"/>
        <v>5</v>
      </c>
      <c r="R17" s="7"/>
      <c r="S17" s="6">
        <v>5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0.79166666666666663</v>
      </c>
      <c r="AD17" s="10">
        <f t="shared" si="6"/>
        <v>0.79166666666666663</v>
      </c>
      <c r="AE17" s="36">
        <f t="shared" si="7"/>
        <v>0.57291666666666674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/>
      <c r="E18" s="53" t="s">
        <v>174</v>
      </c>
      <c r="F18" s="30" t="s">
        <v>180</v>
      </c>
      <c r="G18" s="33">
        <v>1</v>
      </c>
      <c r="H18" s="35">
        <v>24</v>
      </c>
      <c r="I18" s="7">
        <v>20000</v>
      </c>
      <c r="J18" s="14">
        <v>5800</v>
      </c>
      <c r="K18" s="15">
        <f>L18+4855</f>
        <v>10655</v>
      </c>
      <c r="L18" s="15">
        <f>2965+2835</f>
        <v>5800</v>
      </c>
      <c r="M18" s="15">
        <f t="shared" si="0"/>
        <v>5800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0.57291666666666674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280</v>
      </c>
      <c r="E19" s="53" t="s">
        <v>352</v>
      </c>
      <c r="F19" s="30" t="s">
        <v>156</v>
      </c>
      <c r="G19" s="33">
        <v>1</v>
      </c>
      <c r="H19" s="35">
        <v>24</v>
      </c>
      <c r="I19" s="7">
        <v>4000</v>
      </c>
      <c r="J19" s="14">
        <v>5105</v>
      </c>
      <c r="K19" s="15">
        <f>L19+3889</f>
        <v>8994</v>
      </c>
      <c r="L19" s="15">
        <f>2714+2391</f>
        <v>5105</v>
      </c>
      <c r="M19" s="15">
        <f t="shared" si="0"/>
        <v>5105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0.57291666666666674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319</v>
      </c>
      <c r="F20" s="30" t="s">
        <v>311</v>
      </c>
      <c r="G20" s="12">
        <v>2</v>
      </c>
      <c r="H20" s="13">
        <v>24</v>
      </c>
      <c r="I20" s="7">
        <v>12000</v>
      </c>
      <c r="J20" s="14">
        <v>9864</v>
      </c>
      <c r="K20" s="15">
        <f>L20+2453+8090</f>
        <v>20407</v>
      </c>
      <c r="L20" s="15">
        <f>2679*2+2253*2</f>
        <v>9864</v>
      </c>
      <c r="M20" s="15">
        <f t="shared" si="0"/>
        <v>9864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0.57291666666666674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38324</v>
      </c>
      <c r="K21" s="15">
        <f>L21+62008+65280+66156+31132+60100+67104+64940+66996+38324</f>
        <v>522040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0.57291666666666674</v>
      </c>
      <c r="AF21" s="84">
        <f t="shared" si="8"/>
        <v>16</v>
      </c>
    </row>
    <row r="22" spans="1:32" ht="31.5" customHeight="1" thickBot="1">
      <c r="A22" s="443" t="s">
        <v>34</v>
      </c>
      <c r="B22" s="444"/>
      <c r="C22" s="444"/>
      <c r="D22" s="444"/>
      <c r="E22" s="444"/>
      <c r="F22" s="444"/>
      <c r="G22" s="444"/>
      <c r="H22" s="445"/>
      <c r="I22" s="22">
        <f t="shared" ref="I22:N22" si="9">SUM(I6:I21)</f>
        <v>1404500</v>
      </c>
      <c r="J22" s="19">
        <f t="shared" si="9"/>
        <v>125275</v>
      </c>
      <c r="K22" s="20">
        <f t="shared" si="9"/>
        <v>1005886</v>
      </c>
      <c r="L22" s="21">
        <f t="shared" si="9"/>
        <v>54609</v>
      </c>
      <c r="M22" s="20">
        <f t="shared" si="9"/>
        <v>54609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220</v>
      </c>
      <c r="Q22" s="43">
        <f t="shared" si="10"/>
        <v>164</v>
      </c>
      <c r="R22" s="23">
        <f t="shared" si="10"/>
        <v>0</v>
      </c>
      <c r="S22" s="24">
        <f t="shared" si="10"/>
        <v>44</v>
      </c>
      <c r="T22" s="24">
        <f t="shared" si="10"/>
        <v>0</v>
      </c>
      <c r="U22" s="24">
        <f t="shared" si="10"/>
        <v>0</v>
      </c>
      <c r="V22" s="25">
        <f t="shared" si="10"/>
        <v>24</v>
      </c>
      <c r="W22" s="26">
        <f t="shared" si="10"/>
        <v>72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0.6875</v>
      </c>
      <c r="AC22" s="4">
        <f>AVERAGE(AC6:AC21)</f>
        <v>0.57291666666666674</v>
      </c>
      <c r="AD22" s="4">
        <f>AVERAGE(AD6:AD21)</f>
        <v>0.57291666666666674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6" t="s">
        <v>45</v>
      </c>
      <c r="B49" s="446"/>
      <c r="C49" s="446"/>
      <c r="D49" s="446"/>
      <c r="E49" s="446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7" t="s">
        <v>381</v>
      </c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9"/>
      <c r="N50" s="450" t="s">
        <v>388</v>
      </c>
      <c r="O50" s="451"/>
      <c r="P50" s="451"/>
      <c r="Q50" s="451"/>
      <c r="R50" s="451"/>
      <c r="S50" s="451"/>
      <c r="T50" s="451"/>
      <c r="U50" s="451"/>
      <c r="V50" s="451"/>
      <c r="W50" s="451"/>
      <c r="X50" s="451"/>
      <c r="Y50" s="451"/>
      <c r="Z50" s="451"/>
      <c r="AA50" s="451"/>
      <c r="AB50" s="451"/>
      <c r="AC50" s="451"/>
      <c r="AD50" s="452"/>
    </row>
    <row r="51" spans="1:32" ht="27" customHeight="1">
      <c r="A51" s="453" t="s">
        <v>2</v>
      </c>
      <c r="B51" s="454"/>
      <c r="C51" s="240" t="s">
        <v>46</v>
      </c>
      <c r="D51" s="240" t="s">
        <v>47</v>
      </c>
      <c r="E51" s="240" t="s">
        <v>107</v>
      </c>
      <c r="F51" s="455" t="s">
        <v>106</v>
      </c>
      <c r="G51" s="456"/>
      <c r="H51" s="456"/>
      <c r="I51" s="456"/>
      <c r="J51" s="456"/>
      <c r="K51" s="456"/>
      <c r="L51" s="456"/>
      <c r="M51" s="457"/>
      <c r="N51" s="67" t="s">
        <v>110</v>
      </c>
      <c r="O51" s="240" t="s">
        <v>46</v>
      </c>
      <c r="P51" s="455" t="s">
        <v>47</v>
      </c>
      <c r="Q51" s="458"/>
      <c r="R51" s="455" t="s">
        <v>38</v>
      </c>
      <c r="S51" s="456"/>
      <c r="T51" s="456"/>
      <c r="U51" s="458"/>
      <c r="V51" s="455" t="s">
        <v>48</v>
      </c>
      <c r="W51" s="456"/>
      <c r="X51" s="456"/>
      <c r="Y51" s="456"/>
      <c r="Z51" s="456"/>
      <c r="AA51" s="456"/>
      <c r="AB51" s="456"/>
      <c r="AC51" s="456"/>
      <c r="AD51" s="457"/>
    </row>
    <row r="52" spans="1:32" ht="27" customHeight="1">
      <c r="A52" s="469" t="s">
        <v>138</v>
      </c>
      <c r="B52" s="470"/>
      <c r="C52" s="242" t="s">
        <v>147</v>
      </c>
      <c r="D52" s="242" t="s">
        <v>253</v>
      </c>
      <c r="E52" s="104" t="s">
        <v>380</v>
      </c>
      <c r="F52" s="471" t="s">
        <v>382</v>
      </c>
      <c r="G52" s="472"/>
      <c r="H52" s="472"/>
      <c r="I52" s="472"/>
      <c r="J52" s="472"/>
      <c r="K52" s="472"/>
      <c r="L52" s="472"/>
      <c r="M52" s="473"/>
      <c r="N52" s="241" t="s">
        <v>210</v>
      </c>
      <c r="O52" s="248" t="s">
        <v>147</v>
      </c>
      <c r="P52" s="474" t="s">
        <v>158</v>
      </c>
      <c r="Q52" s="475"/>
      <c r="R52" s="474" t="s">
        <v>389</v>
      </c>
      <c r="S52" s="476"/>
      <c r="T52" s="476"/>
      <c r="U52" s="475"/>
      <c r="V52" s="477" t="s">
        <v>132</v>
      </c>
      <c r="W52" s="477"/>
      <c r="X52" s="477"/>
      <c r="Y52" s="477"/>
      <c r="Z52" s="477"/>
      <c r="AA52" s="477"/>
      <c r="AB52" s="477"/>
      <c r="AC52" s="477"/>
      <c r="AD52" s="478"/>
    </row>
    <row r="53" spans="1:32" ht="27" customHeight="1">
      <c r="A53" s="469" t="s">
        <v>210</v>
      </c>
      <c r="B53" s="470"/>
      <c r="C53" s="245" t="s">
        <v>139</v>
      </c>
      <c r="D53" s="245" t="s">
        <v>115</v>
      </c>
      <c r="E53" s="242" t="s">
        <v>351</v>
      </c>
      <c r="F53" s="471" t="s">
        <v>383</v>
      </c>
      <c r="G53" s="472"/>
      <c r="H53" s="472"/>
      <c r="I53" s="472"/>
      <c r="J53" s="472"/>
      <c r="K53" s="472"/>
      <c r="L53" s="472"/>
      <c r="M53" s="473"/>
      <c r="N53" s="241" t="s">
        <v>118</v>
      </c>
      <c r="O53" s="248" t="s">
        <v>139</v>
      </c>
      <c r="P53" s="474" t="s">
        <v>391</v>
      </c>
      <c r="Q53" s="475"/>
      <c r="R53" s="474" t="s">
        <v>390</v>
      </c>
      <c r="S53" s="476"/>
      <c r="T53" s="476"/>
      <c r="U53" s="475"/>
      <c r="V53" s="477" t="s">
        <v>132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 t="s">
        <v>118</v>
      </c>
      <c r="B54" s="470"/>
      <c r="C54" s="242" t="s">
        <v>222</v>
      </c>
      <c r="D54" s="242" t="s">
        <v>280</v>
      </c>
      <c r="E54" s="242" t="s">
        <v>369</v>
      </c>
      <c r="F54" s="471" t="s">
        <v>384</v>
      </c>
      <c r="G54" s="472"/>
      <c r="H54" s="472"/>
      <c r="I54" s="472"/>
      <c r="J54" s="472"/>
      <c r="K54" s="472"/>
      <c r="L54" s="472"/>
      <c r="M54" s="473"/>
      <c r="N54" s="241" t="s">
        <v>118</v>
      </c>
      <c r="O54" s="248" t="s">
        <v>292</v>
      </c>
      <c r="P54" s="474" t="s">
        <v>280</v>
      </c>
      <c r="Q54" s="475"/>
      <c r="R54" s="474" t="s">
        <v>392</v>
      </c>
      <c r="S54" s="476"/>
      <c r="T54" s="476"/>
      <c r="U54" s="475"/>
      <c r="V54" s="477" t="s">
        <v>132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69" t="s">
        <v>120</v>
      </c>
      <c r="B55" s="470"/>
      <c r="C55" s="242" t="s">
        <v>140</v>
      </c>
      <c r="D55" s="242"/>
      <c r="E55" s="242" t="s">
        <v>250</v>
      </c>
      <c r="F55" s="471" t="s">
        <v>385</v>
      </c>
      <c r="G55" s="472"/>
      <c r="H55" s="472"/>
      <c r="I55" s="472"/>
      <c r="J55" s="472"/>
      <c r="K55" s="472"/>
      <c r="L55" s="472"/>
      <c r="M55" s="473"/>
      <c r="N55" s="241" t="s">
        <v>210</v>
      </c>
      <c r="O55" s="248" t="s">
        <v>393</v>
      </c>
      <c r="P55" s="474"/>
      <c r="Q55" s="475"/>
      <c r="R55" s="474" t="s">
        <v>212</v>
      </c>
      <c r="S55" s="476"/>
      <c r="T55" s="476"/>
      <c r="U55" s="475"/>
      <c r="V55" s="477" t="s">
        <v>132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118</v>
      </c>
      <c r="B56" s="470"/>
      <c r="C56" s="242" t="s">
        <v>386</v>
      </c>
      <c r="D56" s="242" t="s">
        <v>115</v>
      </c>
      <c r="E56" s="242" t="s">
        <v>134</v>
      </c>
      <c r="F56" s="471" t="s">
        <v>387</v>
      </c>
      <c r="G56" s="472"/>
      <c r="H56" s="472"/>
      <c r="I56" s="472"/>
      <c r="J56" s="472"/>
      <c r="K56" s="472"/>
      <c r="L56" s="472"/>
      <c r="M56" s="473"/>
      <c r="N56" s="241" t="s">
        <v>118</v>
      </c>
      <c r="O56" s="248" t="s">
        <v>141</v>
      </c>
      <c r="P56" s="474" t="s">
        <v>115</v>
      </c>
      <c r="Q56" s="475"/>
      <c r="R56" s="474" t="s">
        <v>394</v>
      </c>
      <c r="S56" s="476"/>
      <c r="T56" s="476"/>
      <c r="U56" s="475"/>
      <c r="V56" s="477" t="s">
        <v>132</v>
      </c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/>
      <c r="B57" s="470"/>
      <c r="C57" s="242"/>
      <c r="D57" s="242"/>
      <c r="E57" s="242"/>
      <c r="F57" s="471"/>
      <c r="G57" s="472"/>
      <c r="H57" s="472"/>
      <c r="I57" s="472"/>
      <c r="J57" s="472"/>
      <c r="K57" s="472"/>
      <c r="L57" s="472"/>
      <c r="M57" s="473"/>
      <c r="N57" s="241" t="s">
        <v>120</v>
      </c>
      <c r="O57" s="248" t="s">
        <v>318</v>
      </c>
      <c r="P57" s="474"/>
      <c r="Q57" s="475"/>
      <c r="R57" s="474" t="s">
        <v>395</v>
      </c>
      <c r="S57" s="476"/>
      <c r="T57" s="476"/>
      <c r="U57" s="475"/>
      <c r="V57" s="477" t="s">
        <v>132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/>
      <c r="B58" s="470"/>
      <c r="C58" s="242"/>
      <c r="D58" s="242"/>
      <c r="E58" s="242"/>
      <c r="F58" s="471"/>
      <c r="G58" s="472"/>
      <c r="H58" s="472"/>
      <c r="I58" s="472"/>
      <c r="J58" s="472"/>
      <c r="K58" s="472"/>
      <c r="L58" s="472"/>
      <c r="M58" s="473"/>
      <c r="N58" s="241" t="s">
        <v>120</v>
      </c>
      <c r="O58" s="248" t="s">
        <v>222</v>
      </c>
      <c r="P58" s="474"/>
      <c r="Q58" s="475"/>
      <c r="R58" s="474" t="s">
        <v>396</v>
      </c>
      <c r="S58" s="476"/>
      <c r="T58" s="476"/>
      <c r="U58" s="475"/>
      <c r="V58" s="477" t="s">
        <v>132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/>
      <c r="B59" s="488"/>
      <c r="C59" s="245"/>
      <c r="D59" s="245"/>
      <c r="E59" s="242"/>
      <c r="F59" s="471"/>
      <c r="G59" s="472"/>
      <c r="H59" s="472"/>
      <c r="I59" s="472"/>
      <c r="J59" s="472"/>
      <c r="K59" s="472"/>
      <c r="L59" s="472"/>
      <c r="M59" s="473"/>
      <c r="N59" s="241"/>
      <c r="O59" s="248"/>
      <c r="P59" s="474"/>
      <c r="Q59" s="475"/>
      <c r="R59" s="470"/>
      <c r="S59" s="470"/>
      <c r="T59" s="470"/>
      <c r="U59" s="470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/>
      <c r="B60" s="488"/>
      <c r="C60" s="245"/>
      <c r="D60" s="245"/>
      <c r="E60" s="242"/>
      <c r="F60" s="471"/>
      <c r="G60" s="472"/>
      <c r="H60" s="472"/>
      <c r="I60" s="472"/>
      <c r="J60" s="472"/>
      <c r="K60" s="472"/>
      <c r="L60" s="472"/>
      <c r="M60" s="473"/>
      <c r="N60" s="241"/>
      <c r="O60" s="248"/>
      <c r="P60" s="470"/>
      <c r="Q60" s="470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  <c r="AF60" s="84">
        <f>8*3000</f>
        <v>24000</v>
      </c>
    </row>
    <row r="61" spans="1:32" ht="27" customHeight="1" thickBot="1">
      <c r="A61" s="479"/>
      <c r="B61" s="480"/>
      <c r="C61" s="243"/>
      <c r="D61" s="244"/>
      <c r="E61" s="243"/>
      <c r="F61" s="481"/>
      <c r="G61" s="482"/>
      <c r="H61" s="482"/>
      <c r="I61" s="482"/>
      <c r="J61" s="482"/>
      <c r="K61" s="482"/>
      <c r="L61" s="482"/>
      <c r="M61" s="483"/>
      <c r="N61" s="111"/>
      <c r="O61" s="103"/>
      <c r="P61" s="484"/>
      <c r="Q61" s="484"/>
      <c r="R61" s="484"/>
      <c r="S61" s="484"/>
      <c r="T61" s="484"/>
      <c r="U61" s="484"/>
      <c r="V61" s="485"/>
      <c r="W61" s="485"/>
      <c r="X61" s="485"/>
      <c r="Y61" s="485"/>
      <c r="Z61" s="485"/>
      <c r="AA61" s="485"/>
      <c r="AB61" s="485"/>
      <c r="AC61" s="485"/>
      <c r="AD61" s="486"/>
      <c r="AF61" s="84">
        <f>16*3000</f>
        <v>48000</v>
      </c>
    </row>
    <row r="62" spans="1:32" ht="27.75" thickBot="1">
      <c r="A62" s="489" t="s">
        <v>399</v>
      </c>
      <c r="B62" s="489"/>
      <c r="C62" s="489"/>
      <c r="D62" s="489"/>
      <c r="E62" s="48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0" t="s">
        <v>111</v>
      </c>
      <c r="B63" s="491"/>
      <c r="C63" s="246" t="s">
        <v>2</v>
      </c>
      <c r="D63" s="246" t="s">
        <v>37</v>
      </c>
      <c r="E63" s="246" t="s">
        <v>3</v>
      </c>
      <c r="F63" s="491" t="s">
        <v>109</v>
      </c>
      <c r="G63" s="491"/>
      <c r="H63" s="491"/>
      <c r="I63" s="491"/>
      <c r="J63" s="491"/>
      <c r="K63" s="491" t="s">
        <v>39</v>
      </c>
      <c r="L63" s="491"/>
      <c r="M63" s="246" t="s">
        <v>40</v>
      </c>
      <c r="N63" s="491" t="s">
        <v>41</v>
      </c>
      <c r="O63" s="491"/>
      <c r="P63" s="492" t="s">
        <v>42</v>
      </c>
      <c r="Q63" s="493"/>
      <c r="R63" s="492" t="s">
        <v>43</v>
      </c>
      <c r="S63" s="494"/>
      <c r="T63" s="494"/>
      <c r="U63" s="494"/>
      <c r="V63" s="494"/>
      <c r="W63" s="494"/>
      <c r="X63" s="494"/>
      <c r="Y63" s="494"/>
      <c r="Z63" s="494"/>
      <c r="AA63" s="493"/>
      <c r="AB63" s="491" t="s">
        <v>44</v>
      </c>
      <c r="AC63" s="491"/>
      <c r="AD63" s="495"/>
      <c r="AF63" s="84">
        <f>SUM(AF60:AF62)</f>
        <v>96000</v>
      </c>
    </row>
    <row r="64" spans="1:32" ht="25.5" customHeight="1">
      <c r="A64" s="496">
        <v>1</v>
      </c>
      <c r="B64" s="497"/>
      <c r="C64" s="104" t="s">
        <v>210</v>
      </c>
      <c r="D64" s="250"/>
      <c r="E64" s="247" t="s">
        <v>280</v>
      </c>
      <c r="F64" s="498" t="s">
        <v>397</v>
      </c>
      <c r="G64" s="499"/>
      <c r="H64" s="499"/>
      <c r="I64" s="499"/>
      <c r="J64" s="500"/>
      <c r="K64" s="501" t="s">
        <v>398</v>
      </c>
      <c r="L64" s="501"/>
      <c r="M64" s="51" t="s">
        <v>230</v>
      </c>
      <c r="N64" s="502" t="s">
        <v>372</v>
      </c>
      <c r="O64" s="502"/>
      <c r="P64" s="503">
        <v>100</v>
      </c>
      <c r="Q64" s="503"/>
      <c r="R64" s="477"/>
      <c r="S64" s="477"/>
      <c r="T64" s="477"/>
      <c r="U64" s="477"/>
      <c r="V64" s="477"/>
      <c r="W64" s="477"/>
      <c r="X64" s="477"/>
      <c r="Y64" s="477"/>
      <c r="Z64" s="477"/>
      <c r="AA64" s="477"/>
      <c r="AB64" s="501"/>
      <c r="AC64" s="501"/>
      <c r="AD64" s="504"/>
      <c r="AF64" s="50"/>
    </row>
    <row r="65" spans="1:32" ht="25.5" customHeight="1">
      <c r="A65" s="496">
        <v>2</v>
      </c>
      <c r="B65" s="497"/>
      <c r="C65" s="104"/>
      <c r="D65" s="250"/>
      <c r="E65" s="247"/>
      <c r="F65" s="498"/>
      <c r="G65" s="499"/>
      <c r="H65" s="499"/>
      <c r="I65" s="499"/>
      <c r="J65" s="500"/>
      <c r="K65" s="501"/>
      <c r="L65" s="501"/>
      <c r="M65" s="51"/>
      <c r="N65" s="502"/>
      <c r="O65" s="502"/>
      <c r="P65" s="503"/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3</v>
      </c>
      <c r="B66" s="497"/>
      <c r="C66" s="104"/>
      <c r="D66" s="250"/>
      <c r="E66" s="247"/>
      <c r="F66" s="498"/>
      <c r="G66" s="499"/>
      <c r="H66" s="499"/>
      <c r="I66" s="499"/>
      <c r="J66" s="500"/>
      <c r="K66" s="501"/>
      <c r="L66" s="501"/>
      <c r="M66" s="51"/>
      <c r="N66" s="502"/>
      <c r="O66" s="502"/>
      <c r="P66" s="503"/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4</v>
      </c>
      <c r="B67" s="497"/>
      <c r="C67" s="104"/>
      <c r="D67" s="250"/>
      <c r="E67" s="247"/>
      <c r="F67" s="498"/>
      <c r="G67" s="499"/>
      <c r="H67" s="499"/>
      <c r="I67" s="499"/>
      <c r="J67" s="500"/>
      <c r="K67" s="501"/>
      <c r="L67" s="501"/>
      <c r="M67" s="51"/>
      <c r="N67" s="502"/>
      <c r="O67" s="502"/>
      <c r="P67" s="503"/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5</v>
      </c>
      <c r="B68" s="497"/>
      <c r="C68" s="104"/>
      <c r="D68" s="250"/>
      <c r="E68" s="247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6</v>
      </c>
      <c r="B69" s="497"/>
      <c r="C69" s="104"/>
      <c r="D69" s="250"/>
      <c r="E69" s="247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7</v>
      </c>
      <c r="B70" s="497"/>
      <c r="C70" s="104"/>
      <c r="D70" s="250"/>
      <c r="E70" s="247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8</v>
      </c>
      <c r="B71" s="497"/>
      <c r="C71" s="104"/>
      <c r="D71" s="250"/>
      <c r="E71" s="247"/>
      <c r="F71" s="505"/>
      <c r="G71" s="501"/>
      <c r="H71" s="501"/>
      <c r="I71" s="501"/>
      <c r="J71" s="501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9</v>
      </c>
      <c r="B72" s="497"/>
      <c r="C72" s="104"/>
      <c r="D72" s="250"/>
      <c r="E72" s="247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10</v>
      </c>
      <c r="B73" s="497"/>
      <c r="C73" s="104"/>
      <c r="D73" s="250"/>
      <c r="E73" s="247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6.25" customHeight="1" thickBot="1">
      <c r="A74" s="506" t="s">
        <v>400</v>
      </c>
      <c r="B74" s="506"/>
      <c r="C74" s="506"/>
      <c r="D74" s="506"/>
      <c r="E74" s="50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7" t="s">
        <v>126</v>
      </c>
      <c r="B75" s="508"/>
      <c r="C75" s="249" t="s">
        <v>2</v>
      </c>
      <c r="D75" s="249" t="s">
        <v>37</v>
      </c>
      <c r="E75" s="249" t="s">
        <v>125</v>
      </c>
      <c r="F75" s="508" t="s">
        <v>38</v>
      </c>
      <c r="G75" s="508"/>
      <c r="H75" s="508"/>
      <c r="I75" s="508"/>
      <c r="J75" s="508"/>
      <c r="K75" s="509" t="s">
        <v>58</v>
      </c>
      <c r="L75" s="510"/>
      <c r="M75" s="510"/>
      <c r="N75" s="510"/>
      <c r="O75" s="510"/>
      <c r="P75" s="510"/>
      <c r="Q75" s="510"/>
      <c r="R75" s="510"/>
      <c r="S75" s="511"/>
      <c r="T75" s="508" t="s">
        <v>49</v>
      </c>
      <c r="U75" s="508"/>
      <c r="V75" s="509" t="s">
        <v>50</v>
      </c>
      <c r="W75" s="511"/>
      <c r="X75" s="510" t="s">
        <v>51</v>
      </c>
      <c r="Y75" s="510"/>
      <c r="Z75" s="510"/>
      <c r="AA75" s="510"/>
      <c r="AB75" s="510"/>
      <c r="AC75" s="510"/>
      <c r="AD75" s="512"/>
      <c r="AF75" s="50"/>
    </row>
    <row r="76" spans="1:32" ht="33.75" customHeight="1">
      <c r="A76" s="521">
        <v>1</v>
      </c>
      <c r="B76" s="522"/>
      <c r="C76" s="251" t="s">
        <v>112</v>
      </c>
      <c r="D76" s="251"/>
      <c r="E76" s="65" t="s">
        <v>117</v>
      </c>
      <c r="F76" s="523" t="s">
        <v>116</v>
      </c>
      <c r="G76" s="524"/>
      <c r="H76" s="524"/>
      <c r="I76" s="524"/>
      <c r="J76" s="525"/>
      <c r="K76" s="526" t="s">
        <v>119</v>
      </c>
      <c r="L76" s="527"/>
      <c r="M76" s="527"/>
      <c r="N76" s="527"/>
      <c r="O76" s="527"/>
      <c r="P76" s="527"/>
      <c r="Q76" s="527"/>
      <c r="R76" s="527"/>
      <c r="S76" s="528"/>
      <c r="T76" s="529">
        <v>44118</v>
      </c>
      <c r="U76" s="530"/>
      <c r="V76" s="531"/>
      <c r="W76" s="531"/>
      <c r="X76" s="532"/>
      <c r="Y76" s="532"/>
      <c r="Z76" s="532"/>
      <c r="AA76" s="532"/>
      <c r="AB76" s="532"/>
      <c r="AC76" s="532"/>
      <c r="AD76" s="533"/>
      <c r="AF76" s="50"/>
    </row>
    <row r="77" spans="1:32" ht="30" customHeight="1">
      <c r="A77" s="513">
        <f>A76+1</f>
        <v>2</v>
      </c>
      <c r="B77" s="514"/>
      <c r="C77" s="250"/>
      <c r="D77" s="250"/>
      <c r="E77" s="32"/>
      <c r="F77" s="514"/>
      <c r="G77" s="514"/>
      <c r="H77" s="514"/>
      <c r="I77" s="514"/>
      <c r="J77" s="514"/>
      <c r="K77" s="515"/>
      <c r="L77" s="516"/>
      <c r="M77" s="516"/>
      <c r="N77" s="516"/>
      <c r="O77" s="516"/>
      <c r="P77" s="516"/>
      <c r="Q77" s="516"/>
      <c r="R77" s="516"/>
      <c r="S77" s="517"/>
      <c r="T77" s="518"/>
      <c r="U77" s="518"/>
      <c r="V77" s="518"/>
      <c r="W77" s="518"/>
      <c r="X77" s="519"/>
      <c r="Y77" s="519"/>
      <c r="Z77" s="519"/>
      <c r="AA77" s="519"/>
      <c r="AB77" s="519"/>
      <c r="AC77" s="519"/>
      <c r="AD77" s="520"/>
      <c r="AF77" s="50"/>
    </row>
    <row r="78" spans="1:32" ht="30" customHeight="1">
      <c r="A78" s="513">
        <f t="shared" ref="A78:A82" si="11">A77+1</f>
        <v>3</v>
      </c>
      <c r="B78" s="514"/>
      <c r="C78" s="250"/>
      <c r="D78" s="250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si="11"/>
        <v>4</v>
      </c>
      <c r="B79" s="514"/>
      <c r="C79" s="250"/>
      <c r="D79" s="250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1"/>
        <v>5</v>
      </c>
      <c r="B80" s="514"/>
      <c r="C80" s="250"/>
      <c r="D80" s="250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1"/>
        <v>6</v>
      </c>
      <c r="B81" s="514"/>
      <c r="C81" s="250"/>
      <c r="D81" s="250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1"/>
        <v>7</v>
      </c>
      <c r="B82" s="514"/>
      <c r="C82" s="250"/>
      <c r="D82" s="250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6" thickBot="1">
      <c r="A83" s="506" t="s">
        <v>401</v>
      </c>
      <c r="B83" s="506"/>
      <c r="C83" s="506"/>
      <c r="D83" s="506"/>
      <c r="E83" s="50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7" t="s">
        <v>111</v>
      </c>
      <c r="B84" s="508"/>
      <c r="C84" s="534" t="s">
        <v>52</v>
      </c>
      <c r="D84" s="534"/>
      <c r="E84" s="534" t="s">
        <v>53</v>
      </c>
      <c r="F84" s="534"/>
      <c r="G84" s="534"/>
      <c r="H84" s="534"/>
      <c r="I84" s="534"/>
      <c r="J84" s="534"/>
      <c r="K84" s="534" t="s">
        <v>54</v>
      </c>
      <c r="L84" s="534"/>
      <c r="M84" s="534"/>
      <c r="N84" s="534"/>
      <c r="O84" s="534"/>
      <c r="P84" s="534"/>
      <c r="Q84" s="534"/>
      <c r="R84" s="534"/>
      <c r="S84" s="534"/>
      <c r="T84" s="534" t="s">
        <v>55</v>
      </c>
      <c r="U84" s="534"/>
      <c r="V84" s="534" t="s">
        <v>56</v>
      </c>
      <c r="W84" s="534"/>
      <c r="X84" s="534"/>
      <c r="Y84" s="534" t="s">
        <v>51</v>
      </c>
      <c r="Z84" s="534"/>
      <c r="AA84" s="534"/>
      <c r="AB84" s="534"/>
      <c r="AC84" s="534"/>
      <c r="AD84" s="535"/>
      <c r="AF84" s="50"/>
    </row>
    <row r="85" spans="1:32" ht="30.75" customHeight="1">
      <c r="A85" s="521">
        <v>1</v>
      </c>
      <c r="B85" s="522"/>
      <c r="C85" s="536">
        <v>9</v>
      </c>
      <c r="D85" s="536"/>
      <c r="E85" s="536" t="s">
        <v>136</v>
      </c>
      <c r="F85" s="536"/>
      <c r="G85" s="536"/>
      <c r="H85" s="536"/>
      <c r="I85" s="536"/>
      <c r="J85" s="536"/>
      <c r="K85" s="536" t="s">
        <v>161</v>
      </c>
      <c r="L85" s="536"/>
      <c r="M85" s="536"/>
      <c r="N85" s="536"/>
      <c r="O85" s="536"/>
      <c r="P85" s="536"/>
      <c r="Q85" s="536"/>
      <c r="R85" s="536"/>
      <c r="S85" s="536"/>
      <c r="T85" s="536" t="s">
        <v>137</v>
      </c>
      <c r="U85" s="536"/>
      <c r="V85" s="537" t="s">
        <v>152</v>
      </c>
      <c r="W85" s="537"/>
      <c r="X85" s="537"/>
      <c r="Y85" s="538"/>
      <c r="Z85" s="538"/>
      <c r="AA85" s="538"/>
      <c r="AB85" s="538"/>
      <c r="AC85" s="538"/>
      <c r="AD85" s="539"/>
      <c r="AF85" s="50"/>
    </row>
    <row r="86" spans="1:32" ht="30.75" customHeight="1">
      <c r="A86" s="513">
        <v>2</v>
      </c>
      <c r="B86" s="514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  <c r="P86" s="547"/>
      <c r="Q86" s="547"/>
      <c r="R86" s="547"/>
      <c r="S86" s="547"/>
      <c r="T86" s="548"/>
      <c r="U86" s="548"/>
      <c r="V86" s="549"/>
      <c r="W86" s="549"/>
      <c r="X86" s="549"/>
      <c r="Y86" s="540"/>
      <c r="Z86" s="540"/>
      <c r="AA86" s="540"/>
      <c r="AB86" s="540"/>
      <c r="AC86" s="540"/>
      <c r="AD86" s="541"/>
      <c r="AF86" s="50"/>
    </row>
    <row r="87" spans="1:32" ht="30.75" customHeight="1" thickBot="1">
      <c r="A87" s="542">
        <v>3</v>
      </c>
      <c r="B87" s="543"/>
      <c r="C87" s="544"/>
      <c r="D87" s="544"/>
      <c r="E87" s="544"/>
      <c r="F87" s="544"/>
      <c r="G87" s="544"/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5"/>
      <c r="Z87" s="545"/>
      <c r="AA87" s="545"/>
      <c r="AB87" s="545"/>
      <c r="AC87" s="545"/>
      <c r="AD87" s="546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45BF-7788-4F71-B051-2440FCBA5943}">
  <dimension ref="A1:AF88"/>
  <sheetViews>
    <sheetView view="pageBreakPreview" zoomScale="70" zoomScaleNormal="72" zoomScaleSheetLayoutView="70" workbookViewId="0">
      <selection activeCell="F80" sqref="F80:J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402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264" t="s">
        <v>17</v>
      </c>
      <c r="L5" s="264" t="s">
        <v>18</v>
      </c>
      <c r="M5" s="264" t="s">
        <v>19</v>
      </c>
      <c r="N5" s="26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210</v>
      </c>
      <c r="D6" s="52" t="s">
        <v>158</v>
      </c>
      <c r="E6" s="53" t="s">
        <v>389</v>
      </c>
      <c r="F6" s="30" t="s">
        <v>153</v>
      </c>
      <c r="G6" s="12">
        <v>1</v>
      </c>
      <c r="H6" s="13">
        <v>24</v>
      </c>
      <c r="I6" s="31">
        <v>3500</v>
      </c>
      <c r="J6" s="14">
        <v>4395</v>
      </c>
      <c r="K6" s="15">
        <f>L6</f>
        <v>4395</v>
      </c>
      <c r="L6" s="15">
        <f>1517+2878</f>
        <v>4395</v>
      </c>
      <c r="M6" s="15">
        <f t="shared" ref="M6:M22" si="0">L6-N6</f>
        <v>4395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21</v>
      </c>
      <c r="Q6" s="40">
        <f t="shared" ref="Q6:Q22" si="3">SUM(R6:AA6)</f>
        <v>3</v>
      </c>
      <c r="R6" s="7"/>
      <c r="S6" s="6"/>
      <c r="T6" s="16">
        <v>3</v>
      </c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0.875</v>
      </c>
      <c r="AD6" s="10">
        <f t="shared" ref="AD6:AD22" si="6">AC6*AB6*(1-O6)</f>
        <v>0.875</v>
      </c>
      <c r="AE6" s="36">
        <f t="shared" ref="AE6:AE22" si="7">$AD$23</f>
        <v>0.57352941176470584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208</v>
      </c>
      <c r="E7" s="53" t="s">
        <v>246</v>
      </c>
      <c r="F7" s="30" t="s">
        <v>247</v>
      </c>
      <c r="G7" s="12">
        <v>1</v>
      </c>
      <c r="H7" s="13">
        <v>24</v>
      </c>
      <c r="I7" s="31">
        <v>80000</v>
      </c>
      <c r="J7" s="14">
        <v>5705</v>
      </c>
      <c r="K7" s="15">
        <f>L7+4944+6055+5647+3827</f>
        <v>26178</v>
      </c>
      <c r="L7" s="15">
        <f>2672+3033</f>
        <v>5705</v>
      </c>
      <c r="M7" s="15">
        <f t="shared" si="0"/>
        <v>5705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0.57352941176470584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115</v>
      </c>
      <c r="E8" s="52" t="s">
        <v>403</v>
      </c>
      <c r="F8" s="30" t="s">
        <v>145</v>
      </c>
      <c r="G8" s="33">
        <v>1</v>
      </c>
      <c r="H8" s="35">
        <v>24</v>
      </c>
      <c r="I8" s="7">
        <v>1000</v>
      </c>
      <c r="J8" s="5">
        <v>3153</v>
      </c>
      <c r="K8" s="15">
        <f>L8</f>
        <v>3153</v>
      </c>
      <c r="L8" s="15">
        <f>827+2326</f>
        <v>3153</v>
      </c>
      <c r="M8" s="15">
        <f t="shared" si="0"/>
        <v>3153</v>
      </c>
      <c r="N8" s="15">
        <v>0</v>
      </c>
      <c r="O8" s="58">
        <f t="shared" si="1"/>
        <v>0</v>
      </c>
      <c r="P8" s="39">
        <f t="shared" si="2"/>
        <v>17</v>
      </c>
      <c r="Q8" s="40">
        <f t="shared" si="3"/>
        <v>7</v>
      </c>
      <c r="R8" s="7"/>
      <c r="S8" s="6"/>
      <c r="T8" s="16">
        <v>7</v>
      </c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0.70833333333333337</v>
      </c>
      <c r="AD8" s="10">
        <f t="shared" si="6"/>
        <v>0.70833333333333337</v>
      </c>
      <c r="AE8" s="36">
        <f t="shared" si="7"/>
        <v>0.57352941176470584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280</v>
      </c>
      <c r="E9" s="53" t="s">
        <v>392</v>
      </c>
      <c r="F9" s="30" t="s">
        <v>404</v>
      </c>
      <c r="G9" s="12">
        <v>1</v>
      </c>
      <c r="H9" s="13">
        <v>24</v>
      </c>
      <c r="I9" s="7">
        <v>16000</v>
      </c>
      <c r="J9" s="14">
        <v>5408</v>
      </c>
      <c r="K9" s="15">
        <f>L9</f>
        <v>0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0.57352941176470584</v>
      </c>
      <c r="AF9" s="84">
        <f t="shared" si="8"/>
        <v>4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115</v>
      </c>
      <c r="E10" s="53" t="s">
        <v>276</v>
      </c>
      <c r="F10" s="30" t="s">
        <v>130</v>
      </c>
      <c r="G10" s="12">
        <v>1</v>
      </c>
      <c r="H10" s="13">
        <v>24</v>
      </c>
      <c r="I10" s="7">
        <v>30000</v>
      </c>
      <c r="J10" s="14">
        <v>2382</v>
      </c>
      <c r="K10" s="15">
        <f>L10</f>
        <v>2382</v>
      </c>
      <c r="L10" s="15">
        <f>2127+255</f>
        <v>2382</v>
      </c>
      <c r="M10" s="15">
        <f t="shared" ref="M10" si="9">L10-N10</f>
        <v>2382</v>
      </c>
      <c r="N10" s="15">
        <v>0</v>
      </c>
      <c r="O10" s="58">
        <f t="shared" ref="O10" si="10">IF(L10=0,"0",N10/L10)</f>
        <v>0</v>
      </c>
      <c r="P10" s="39">
        <f t="shared" ref="P10" si="11">IF(L10=0,"0",(24-Q10))</f>
        <v>12</v>
      </c>
      <c r="Q10" s="40">
        <f t="shared" ref="Q10" si="12">SUM(R10:AA10)</f>
        <v>12</v>
      </c>
      <c r="R10" s="7"/>
      <c r="S10" s="6">
        <v>12</v>
      </c>
      <c r="T10" s="16"/>
      <c r="U10" s="16"/>
      <c r="V10" s="17"/>
      <c r="W10" s="5"/>
      <c r="X10" s="16"/>
      <c r="Y10" s="16"/>
      <c r="Z10" s="16"/>
      <c r="AA10" s="18"/>
      <c r="AB10" s="8">
        <f t="shared" ref="AB10" si="13">IF(J10=0,"0",(L10/J10))</f>
        <v>1</v>
      </c>
      <c r="AC10" s="9">
        <f t="shared" ref="AC10" si="14">IF(P10=0,"0",(P10/24))</f>
        <v>0.5</v>
      </c>
      <c r="AD10" s="10">
        <f t="shared" ref="AD10" si="15">AC10*AB10*(1-O10)</f>
        <v>0.5</v>
      </c>
      <c r="AE10" s="36">
        <f t="shared" si="7"/>
        <v>0.57352941176470584</v>
      </c>
      <c r="AF10" s="84">
        <f t="shared" ref="AF10" si="16">A10</f>
        <v>4</v>
      </c>
    </row>
    <row r="11" spans="1:32" ht="27" customHeight="1">
      <c r="A11" s="96">
        <v>5</v>
      </c>
      <c r="B11" s="11" t="s">
        <v>57</v>
      </c>
      <c r="C11" s="11" t="s">
        <v>210</v>
      </c>
      <c r="D11" s="52" t="s">
        <v>211</v>
      </c>
      <c r="E11" s="53" t="s">
        <v>212</v>
      </c>
      <c r="F11" s="30" t="s">
        <v>213</v>
      </c>
      <c r="G11" s="33">
        <v>1</v>
      </c>
      <c r="H11" s="35">
        <v>24</v>
      </c>
      <c r="I11" s="7">
        <v>2000</v>
      </c>
      <c r="J11" s="14">
        <v>4043</v>
      </c>
      <c r="K11" s="15">
        <f>L11</f>
        <v>4043</v>
      </c>
      <c r="L11" s="15">
        <f>1791+2252</f>
        <v>4043</v>
      </c>
      <c r="M11" s="15">
        <f t="shared" si="0"/>
        <v>4043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/>
      <c r="T11" s="16">
        <v>2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si="6"/>
        <v>0.91666666666666663</v>
      </c>
      <c r="AE11" s="36">
        <f t="shared" si="7"/>
        <v>0.57352941176470584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120</v>
      </c>
      <c r="D12" s="52" t="s">
        <v>405</v>
      </c>
      <c r="E12" s="53" t="s">
        <v>406</v>
      </c>
      <c r="F12" s="30" t="s">
        <v>164</v>
      </c>
      <c r="G12" s="33">
        <v>16</v>
      </c>
      <c r="H12" s="35">
        <v>24</v>
      </c>
      <c r="I12" s="7">
        <v>4500</v>
      </c>
      <c r="J12" s="14">
        <v>3352</v>
      </c>
      <c r="K12" s="15">
        <f>L12</f>
        <v>3352</v>
      </c>
      <c r="L12" s="15">
        <v>3352</v>
      </c>
      <c r="M12" s="15">
        <f t="shared" si="0"/>
        <v>3352</v>
      </c>
      <c r="N12" s="15">
        <v>0</v>
      </c>
      <c r="O12" s="58">
        <f t="shared" si="1"/>
        <v>0</v>
      </c>
      <c r="P12" s="39">
        <f t="shared" si="2"/>
        <v>16</v>
      </c>
      <c r="Q12" s="40">
        <f t="shared" si="3"/>
        <v>8</v>
      </c>
      <c r="R12" s="7"/>
      <c r="S12" s="6"/>
      <c r="T12" s="16">
        <v>8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0.66666666666666663</v>
      </c>
      <c r="AD12" s="10">
        <f t="shared" si="6"/>
        <v>0.66666666666666663</v>
      </c>
      <c r="AE12" s="36">
        <f t="shared" si="7"/>
        <v>0.57352941176470584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134</v>
      </c>
      <c r="F13" s="30" t="s">
        <v>135</v>
      </c>
      <c r="G13" s="12">
        <v>1</v>
      </c>
      <c r="H13" s="13">
        <v>22</v>
      </c>
      <c r="I13" s="31">
        <v>30000</v>
      </c>
      <c r="J13" s="5">
        <v>5274</v>
      </c>
      <c r="K13" s="15">
        <f>L13+3816+5458+5462+5155</f>
        <v>25165</v>
      </c>
      <c r="L13" s="15">
        <f>2748+2526</f>
        <v>5274</v>
      </c>
      <c r="M13" s="15">
        <f t="shared" si="0"/>
        <v>5274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0.57352941176470584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131</v>
      </c>
      <c r="E14" s="53" t="s">
        <v>368</v>
      </c>
      <c r="F14" s="30" t="s">
        <v>144</v>
      </c>
      <c r="G14" s="33">
        <v>1</v>
      </c>
      <c r="H14" s="35">
        <v>24</v>
      </c>
      <c r="I14" s="7">
        <v>80000</v>
      </c>
      <c r="J14" s="14">
        <v>5677</v>
      </c>
      <c r="K14" s="15">
        <f>L14+5383</f>
        <v>11060</v>
      </c>
      <c r="L14" s="15">
        <f>2953+2724</f>
        <v>5677</v>
      </c>
      <c r="M14" s="15">
        <f t="shared" si="0"/>
        <v>5677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7"/>
        <v>0.57352941176470584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118</v>
      </c>
      <c r="D15" s="52" t="s">
        <v>115</v>
      </c>
      <c r="E15" s="53" t="s">
        <v>258</v>
      </c>
      <c r="F15" s="30" t="s">
        <v>145</v>
      </c>
      <c r="G15" s="33">
        <v>1</v>
      </c>
      <c r="H15" s="35">
        <v>50</v>
      </c>
      <c r="I15" s="7">
        <v>500</v>
      </c>
      <c r="J15" s="5">
        <v>711</v>
      </c>
      <c r="K15" s="15">
        <f>L15+711</f>
        <v>711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0.57352941176470584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118</v>
      </c>
      <c r="D16" s="52" t="s">
        <v>129</v>
      </c>
      <c r="E16" s="53" t="s">
        <v>200</v>
      </c>
      <c r="F16" s="30" t="s">
        <v>157</v>
      </c>
      <c r="G16" s="12">
        <v>4</v>
      </c>
      <c r="H16" s="13">
        <v>24</v>
      </c>
      <c r="I16" s="31">
        <v>12000</v>
      </c>
      <c r="J16" s="14">
        <v>12356</v>
      </c>
      <c r="K16" s="15">
        <f>L16+12356</f>
        <v>12356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0.57352941176470584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280</v>
      </c>
      <c r="E17" s="53" t="s">
        <v>369</v>
      </c>
      <c r="F17" s="30" t="s">
        <v>156</v>
      </c>
      <c r="G17" s="12">
        <v>1</v>
      </c>
      <c r="H17" s="13">
        <v>24</v>
      </c>
      <c r="I17" s="7">
        <v>5000</v>
      </c>
      <c r="J17" s="14">
        <v>2419</v>
      </c>
      <c r="K17" s="15">
        <f>L17+5663</f>
        <v>8082</v>
      </c>
      <c r="L17" s="15">
        <v>2419</v>
      </c>
      <c r="M17" s="15">
        <f t="shared" si="0"/>
        <v>2419</v>
      </c>
      <c r="N17" s="15">
        <v>0</v>
      </c>
      <c r="O17" s="58">
        <f t="shared" si="1"/>
        <v>0</v>
      </c>
      <c r="P17" s="39">
        <f t="shared" si="2"/>
        <v>11</v>
      </c>
      <c r="Q17" s="40">
        <f t="shared" si="3"/>
        <v>13</v>
      </c>
      <c r="R17" s="7"/>
      <c r="S17" s="6">
        <v>13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0.45833333333333331</v>
      </c>
      <c r="AD17" s="10">
        <f t="shared" si="6"/>
        <v>0.45833333333333331</v>
      </c>
      <c r="AE17" s="36">
        <f t="shared" si="7"/>
        <v>0.57352941176470584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/>
      <c r="E18" s="53" t="s">
        <v>250</v>
      </c>
      <c r="F18" s="30" t="s">
        <v>127</v>
      </c>
      <c r="G18" s="12">
        <v>1</v>
      </c>
      <c r="H18" s="13">
        <v>24</v>
      </c>
      <c r="I18" s="7">
        <v>3000</v>
      </c>
      <c r="J18" s="14">
        <v>3892</v>
      </c>
      <c r="K18" s="15">
        <f>L18+705+3892</f>
        <v>4597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0.57352941176470584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/>
      <c r="E19" s="53" t="s">
        <v>174</v>
      </c>
      <c r="F19" s="30" t="s">
        <v>180</v>
      </c>
      <c r="G19" s="33">
        <v>1</v>
      </c>
      <c r="H19" s="35">
        <v>24</v>
      </c>
      <c r="I19" s="7">
        <v>20000</v>
      </c>
      <c r="J19" s="14">
        <v>5572</v>
      </c>
      <c r="K19" s="15">
        <f>L19+4855+5800</f>
        <v>16227</v>
      </c>
      <c r="L19" s="15">
        <f>2890+2682</f>
        <v>5572</v>
      </c>
      <c r="M19" s="15">
        <f t="shared" si="0"/>
        <v>5572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0.57352941176470584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120</v>
      </c>
      <c r="D20" s="52" t="s">
        <v>280</v>
      </c>
      <c r="E20" s="53" t="s">
        <v>395</v>
      </c>
      <c r="F20" s="30" t="s">
        <v>156</v>
      </c>
      <c r="G20" s="33">
        <v>1</v>
      </c>
      <c r="H20" s="35">
        <v>24</v>
      </c>
      <c r="I20" s="7">
        <v>2700</v>
      </c>
      <c r="J20" s="14">
        <v>4142</v>
      </c>
      <c r="K20" s="15">
        <f>L20</f>
        <v>4142</v>
      </c>
      <c r="L20" s="15">
        <f>2123+2019</f>
        <v>4142</v>
      </c>
      <c r="M20" s="15">
        <f t="shared" si="0"/>
        <v>4142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/>
      <c r="T20" s="16">
        <v>3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 t="shared" si="7"/>
        <v>0.57352941176470584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118</v>
      </c>
      <c r="D21" s="52" t="s">
        <v>115</v>
      </c>
      <c r="E21" s="53" t="s">
        <v>394</v>
      </c>
      <c r="F21" s="30" t="s">
        <v>311</v>
      </c>
      <c r="G21" s="12">
        <v>1</v>
      </c>
      <c r="H21" s="13">
        <v>24</v>
      </c>
      <c r="I21" s="7">
        <v>16000</v>
      </c>
      <c r="J21" s="14">
        <v>2115</v>
      </c>
      <c r="K21" s="15">
        <f>L21</f>
        <v>2115</v>
      </c>
      <c r="L21" s="15">
        <f>334+1781</f>
        <v>2115</v>
      </c>
      <c r="M21" s="15">
        <f t="shared" si="0"/>
        <v>2115</v>
      </c>
      <c r="N21" s="15">
        <v>0</v>
      </c>
      <c r="O21" s="58">
        <f t="shared" si="1"/>
        <v>0</v>
      </c>
      <c r="P21" s="39">
        <f t="shared" si="2"/>
        <v>9</v>
      </c>
      <c r="Q21" s="40">
        <f t="shared" si="3"/>
        <v>15</v>
      </c>
      <c r="R21" s="7"/>
      <c r="S21" s="6">
        <v>15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0.375</v>
      </c>
      <c r="AD21" s="10">
        <f t="shared" si="6"/>
        <v>0.375</v>
      </c>
      <c r="AE21" s="36">
        <f t="shared" si="7"/>
        <v>0.57352941176470584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175</v>
      </c>
      <c r="F22" s="12" t="s">
        <v>114</v>
      </c>
      <c r="G22" s="12">
        <v>3</v>
      </c>
      <c r="H22" s="35">
        <v>20</v>
      </c>
      <c r="I22" s="7">
        <v>1000000</v>
      </c>
      <c r="J22" s="14">
        <v>18548</v>
      </c>
      <c r="K22" s="15">
        <f>L22+62008+65280+66156+31132+60100+67104+64940+66996+38324</f>
        <v>540588</v>
      </c>
      <c r="L22" s="15">
        <f>4637*4</f>
        <v>18548</v>
      </c>
      <c r="M22" s="15">
        <f t="shared" si="0"/>
        <v>18548</v>
      </c>
      <c r="N22" s="15">
        <v>0</v>
      </c>
      <c r="O22" s="58">
        <f t="shared" si="1"/>
        <v>0</v>
      </c>
      <c r="P22" s="39">
        <f t="shared" si="2"/>
        <v>9</v>
      </c>
      <c r="Q22" s="40">
        <f t="shared" si="3"/>
        <v>15</v>
      </c>
      <c r="R22" s="7"/>
      <c r="S22" s="6"/>
      <c r="T22" s="16"/>
      <c r="U22" s="16"/>
      <c r="V22" s="17">
        <v>15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0.375</v>
      </c>
      <c r="AD22" s="10">
        <f t="shared" si="6"/>
        <v>0.375</v>
      </c>
      <c r="AE22" s="36">
        <f t="shared" si="7"/>
        <v>0.57352941176470584</v>
      </c>
      <c r="AF22" s="84">
        <f t="shared" si="8"/>
        <v>16</v>
      </c>
    </row>
    <row r="23" spans="1:32" ht="31.5" customHeight="1" thickBot="1">
      <c r="A23" s="443" t="s">
        <v>34</v>
      </c>
      <c r="B23" s="444"/>
      <c r="C23" s="444"/>
      <c r="D23" s="444"/>
      <c r="E23" s="444"/>
      <c r="F23" s="444"/>
      <c r="G23" s="444"/>
      <c r="H23" s="445"/>
      <c r="I23" s="22">
        <f t="shared" ref="I23:N23" si="17">SUM(I6:I22)</f>
        <v>1306200</v>
      </c>
      <c r="J23" s="19">
        <f t="shared" si="17"/>
        <v>89144</v>
      </c>
      <c r="K23" s="20">
        <f t="shared" si="17"/>
        <v>668546</v>
      </c>
      <c r="L23" s="21">
        <f t="shared" si="17"/>
        <v>66777</v>
      </c>
      <c r="M23" s="20">
        <f t="shared" si="17"/>
        <v>66777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234</v>
      </c>
      <c r="Q23" s="43">
        <f t="shared" si="18"/>
        <v>174</v>
      </c>
      <c r="R23" s="23">
        <f t="shared" si="18"/>
        <v>0</v>
      </c>
      <c r="S23" s="24">
        <f t="shared" si="18"/>
        <v>64</v>
      </c>
      <c r="T23" s="24">
        <f t="shared" si="18"/>
        <v>23</v>
      </c>
      <c r="U23" s="24">
        <f t="shared" si="18"/>
        <v>0</v>
      </c>
      <c r="V23" s="25">
        <f t="shared" si="18"/>
        <v>15</v>
      </c>
      <c r="W23" s="26">
        <f t="shared" si="18"/>
        <v>72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0</v>
      </c>
      <c r="AB23" s="28">
        <f>AVERAGE(AB6:AB22)</f>
        <v>0.76470588235294112</v>
      </c>
      <c r="AC23" s="4">
        <f>AVERAGE(AC6:AC22)</f>
        <v>0.57352941176470584</v>
      </c>
      <c r="AD23" s="4">
        <f>AVERAGE(AD6:AD22)</f>
        <v>0.57352941176470584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6" t="s">
        <v>45</v>
      </c>
      <c r="B50" s="446"/>
      <c r="C50" s="446"/>
      <c r="D50" s="446"/>
      <c r="E50" s="446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7" t="s">
        <v>407</v>
      </c>
      <c r="B51" s="448"/>
      <c r="C51" s="448"/>
      <c r="D51" s="448"/>
      <c r="E51" s="448"/>
      <c r="F51" s="448"/>
      <c r="G51" s="448"/>
      <c r="H51" s="448"/>
      <c r="I51" s="448"/>
      <c r="J51" s="448"/>
      <c r="K51" s="448"/>
      <c r="L51" s="448"/>
      <c r="M51" s="449"/>
      <c r="N51" s="450" t="s">
        <v>414</v>
      </c>
      <c r="O51" s="451"/>
      <c r="P51" s="451"/>
      <c r="Q51" s="451"/>
      <c r="R51" s="451"/>
      <c r="S51" s="451"/>
      <c r="T51" s="451"/>
      <c r="U51" s="451"/>
      <c r="V51" s="451"/>
      <c r="W51" s="451"/>
      <c r="X51" s="451"/>
      <c r="Y51" s="451"/>
      <c r="Z51" s="451"/>
      <c r="AA51" s="451"/>
      <c r="AB51" s="451"/>
      <c r="AC51" s="451"/>
      <c r="AD51" s="452"/>
    </row>
    <row r="52" spans="1:32" ht="27" customHeight="1">
      <c r="A52" s="453" t="s">
        <v>2</v>
      </c>
      <c r="B52" s="454"/>
      <c r="C52" s="263" t="s">
        <v>46</v>
      </c>
      <c r="D52" s="263" t="s">
        <v>47</v>
      </c>
      <c r="E52" s="263" t="s">
        <v>107</v>
      </c>
      <c r="F52" s="455" t="s">
        <v>106</v>
      </c>
      <c r="G52" s="456"/>
      <c r="H52" s="456"/>
      <c r="I52" s="456"/>
      <c r="J52" s="456"/>
      <c r="K52" s="456"/>
      <c r="L52" s="456"/>
      <c r="M52" s="457"/>
      <c r="N52" s="67" t="s">
        <v>110</v>
      </c>
      <c r="O52" s="263" t="s">
        <v>46</v>
      </c>
      <c r="P52" s="455" t="s">
        <v>47</v>
      </c>
      <c r="Q52" s="458"/>
      <c r="R52" s="455" t="s">
        <v>38</v>
      </c>
      <c r="S52" s="456"/>
      <c r="T52" s="456"/>
      <c r="U52" s="458"/>
      <c r="V52" s="455" t="s">
        <v>48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69" t="s">
        <v>210</v>
      </c>
      <c r="B53" s="470"/>
      <c r="C53" s="259" t="s">
        <v>147</v>
      </c>
      <c r="D53" s="259" t="s">
        <v>158</v>
      </c>
      <c r="E53" s="259" t="s">
        <v>389</v>
      </c>
      <c r="F53" s="471" t="s">
        <v>132</v>
      </c>
      <c r="G53" s="472"/>
      <c r="H53" s="472"/>
      <c r="I53" s="472"/>
      <c r="J53" s="472"/>
      <c r="K53" s="472"/>
      <c r="L53" s="472"/>
      <c r="M53" s="473"/>
      <c r="N53" s="262" t="s">
        <v>118</v>
      </c>
      <c r="O53" s="256" t="s">
        <v>139</v>
      </c>
      <c r="P53" s="474" t="s">
        <v>391</v>
      </c>
      <c r="Q53" s="475"/>
      <c r="R53" s="474" t="s">
        <v>390</v>
      </c>
      <c r="S53" s="476"/>
      <c r="T53" s="476"/>
      <c r="U53" s="475"/>
      <c r="V53" s="477" t="s">
        <v>124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 t="s">
        <v>118</v>
      </c>
      <c r="B54" s="470"/>
      <c r="C54" s="259" t="s">
        <v>292</v>
      </c>
      <c r="D54" s="259" t="s">
        <v>115</v>
      </c>
      <c r="E54" s="259" t="s">
        <v>276</v>
      </c>
      <c r="F54" s="471" t="s">
        <v>408</v>
      </c>
      <c r="G54" s="472"/>
      <c r="H54" s="472"/>
      <c r="I54" s="472"/>
      <c r="J54" s="472"/>
      <c r="K54" s="472"/>
      <c r="L54" s="472"/>
      <c r="M54" s="473"/>
      <c r="N54" s="262" t="s">
        <v>118</v>
      </c>
      <c r="O54" s="256" t="s">
        <v>139</v>
      </c>
      <c r="P54" s="474" t="s">
        <v>280</v>
      </c>
      <c r="Q54" s="475"/>
      <c r="R54" s="474" t="s">
        <v>392</v>
      </c>
      <c r="S54" s="476"/>
      <c r="T54" s="476"/>
      <c r="U54" s="475"/>
      <c r="V54" s="477" t="s">
        <v>124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69" t="s">
        <v>118</v>
      </c>
      <c r="B55" s="470"/>
      <c r="C55" s="259" t="s">
        <v>222</v>
      </c>
      <c r="D55" s="259" t="s">
        <v>280</v>
      </c>
      <c r="E55" s="259" t="s">
        <v>369</v>
      </c>
      <c r="F55" s="471" t="s">
        <v>409</v>
      </c>
      <c r="G55" s="472"/>
      <c r="H55" s="472"/>
      <c r="I55" s="472"/>
      <c r="J55" s="472"/>
      <c r="K55" s="472"/>
      <c r="L55" s="472"/>
      <c r="M55" s="473"/>
      <c r="N55" s="262" t="s">
        <v>118</v>
      </c>
      <c r="O55" s="256" t="s">
        <v>292</v>
      </c>
      <c r="P55" s="474" t="s">
        <v>115</v>
      </c>
      <c r="Q55" s="475"/>
      <c r="R55" s="474" t="s">
        <v>276</v>
      </c>
      <c r="S55" s="476"/>
      <c r="T55" s="476"/>
      <c r="U55" s="475"/>
      <c r="V55" s="477" t="s">
        <v>124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118</v>
      </c>
      <c r="B56" s="470"/>
      <c r="C56" s="259" t="s">
        <v>292</v>
      </c>
      <c r="D56" s="259" t="s">
        <v>280</v>
      </c>
      <c r="E56" s="259" t="s">
        <v>392</v>
      </c>
      <c r="F56" s="471" t="s">
        <v>410</v>
      </c>
      <c r="G56" s="472"/>
      <c r="H56" s="472"/>
      <c r="I56" s="472"/>
      <c r="J56" s="472"/>
      <c r="K56" s="472"/>
      <c r="L56" s="472"/>
      <c r="M56" s="473"/>
      <c r="N56" s="262" t="s">
        <v>210</v>
      </c>
      <c r="O56" s="256" t="s">
        <v>393</v>
      </c>
      <c r="P56" s="474"/>
      <c r="Q56" s="475"/>
      <c r="R56" s="474" t="s">
        <v>415</v>
      </c>
      <c r="S56" s="476"/>
      <c r="T56" s="476"/>
      <c r="U56" s="475"/>
      <c r="V56" s="477" t="s">
        <v>132</v>
      </c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 t="s">
        <v>118</v>
      </c>
      <c r="B57" s="470"/>
      <c r="C57" s="259" t="s">
        <v>139</v>
      </c>
      <c r="D57" s="259" t="s">
        <v>391</v>
      </c>
      <c r="E57" s="259" t="s">
        <v>390</v>
      </c>
      <c r="F57" s="471" t="s">
        <v>411</v>
      </c>
      <c r="G57" s="472"/>
      <c r="H57" s="472"/>
      <c r="I57" s="472"/>
      <c r="J57" s="472"/>
      <c r="K57" s="472"/>
      <c r="L57" s="472"/>
      <c r="M57" s="473"/>
      <c r="N57" s="262" t="s">
        <v>118</v>
      </c>
      <c r="O57" s="256" t="s">
        <v>141</v>
      </c>
      <c r="P57" s="474" t="s">
        <v>115</v>
      </c>
      <c r="Q57" s="475"/>
      <c r="R57" s="474" t="s">
        <v>394</v>
      </c>
      <c r="S57" s="476"/>
      <c r="T57" s="476"/>
      <c r="U57" s="475"/>
      <c r="V57" s="477" t="s">
        <v>124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 t="s">
        <v>118</v>
      </c>
      <c r="B58" s="470"/>
      <c r="C58" s="259" t="s">
        <v>139</v>
      </c>
      <c r="D58" s="259" t="s">
        <v>115</v>
      </c>
      <c r="E58" s="259" t="s">
        <v>403</v>
      </c>
      <c r="F58" s="471" t="s">
        <v>132</v>
      </c>
      <c r="G58" s="472"/>
      <c r="H58" s="472"/>
      <c r="I58" s="472"/>
      <c r="J58" s="472"/>
      <c r="K58" s="472"/>
      <c r="L58" s="472"/>
      <c r="M58" s="473"/>
      <c r="N58" s="262" t="s">
        <v>118</v>
      </c>
      <c r="O58" s="256" t="s">
        <v>318</v>
      </c>
      <c r="P58" s="474" t="s">
        <v>184</v>
      </c>
      <c r="Q58" s="475"/>
      <c r="R58" s="474" t="s">
        <v>416</v>
      </c>
      <c r="S58" s="476"/>
      <c r="T58" s="476"/>
      <c r="U58" s="475"/>
      <c r="V58" s="477" t="s">
        <v>132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69" t="s">
        <v>120</v>
      </c>
      <c r="B59" s="470"/>
      <c r="C59" s="259" t="s">
        <v>372</v>
      </c>
      <c r="D59" s="259"/>
      <c r="E59" s="259" t="s">
        <v>412</v>
      </c>
      <c r="F59" s="471" t="s">
        <v>132</v>
      </c>
      <c r="G59" s="472"/>
      <c r="H59" s="472"/>
      <c r="I59" s="472"/>
      <c r="J59" s="472"/>
      <c r="K59" s="472"/>
      <c r="L59" s="472"/>
      <c r="M59" s="473"/>
      <c r="N59" s="262" t="s">
        <v>118</v>
      </c>
      <c r="O59" s="256" t="s">
        <v>191</v>
      </c>
      <c r="P59" s="474" t="s">
        <v>115</v>
      </c>
      <c r="Q59" s="475"/>
      <c r="R59" s="474" t="s">
        <v>417</v>
      </c>
      <c r="S59" s="476"/>
      <c r="T59" s="476"/>
      <c r="U59" s="475"/>
      <c r="V59" s="477" t="s">
        <v>132</v>
      </c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 t="s">
        <v>120</v>
      </c>
      <c r="B60" s="488"/>
      <c r="C60" s="258" t="s">
        <v>318</v>
      </c>
      <c r="D60" s="258"/>
      <c r="E60" s="259" t="s">
        <v>395</v>
      </c>
      <c r="F60" s="471" t="s">
        <v>132</v>
      </c>
      <c r="G60" s="472"/>
      <c r="H60" s="472"/>
      <c r="I60" s="472"/>
      <c r="J60" s="472"/>
      <c r="K60" s="472"/>
      <c r="L60" s="472"/>
      <c r="M60" s="473"/>
      <c r="N60" s="262" t="s">
        <v>118</v>
      </c>
      <c r="O60" s="256" t="s">
        <v>222</v>
      </c>
      <c r="P60" s="474" t="s">
        <v>280</v>
      </c>
      <c r="Q60" s="475"/>
      <c r="R60" s="474" t="s">
        <v>369</v>
      </c>
      <c r="S60" s="476"/>
      <c r="T60" s="476"/>
      <c r="U60" s="475"/>
      <c r="V60" s="477" t="s">
        <v>124</v>
      </c>
      <c r="W60" s="477"/>
      <c r="X60" s="477"/>
      <c r="Y60" s="477"/>
      <c r="Z60" s="477"/>
      <c r="AA60" s="477"/>
      <c r="AB60" s="477"/>
      <c r="AC60" s="477"/>
      <c r="AD60" s="478"/>
    </row>
    <row r="61" spans="1:32" ht="27" customHeight="1">
      <c r="A61" s="487" t="s">
        <v>118</v>
      </c>
      <c r="B61" s="488"/>
      <c r="C61" s="258" t="s">
        <v>141</v>
      </c>
      <c r="D61" s="258" t="s">
        <v>115</v>
      </c>
      <c r="E61" s="259" t="s">
        <v>394</v>
      </c>
      <c r="F61" s="471" t="s">
        <v>413</v>
      </c>
      <c r="G61" s="472"/>
      <c r="H61" s="472"/>
      <c r="I61" s="472"/>
      <c r="J61" s="472"/>
      <c r="K61" s="472"/>
      <c r="L61" s="472"/>
      <c r="M61" s="473"/>
      <c r="N61" s="262"/>
      <c r="O61" s="256"/>
      <c r="P61" s="470"/>
      <c r="Q61" s="470"/>
      <c r="R61" s="470"/>
      <c r="S61" s="470"/>
      <c r="T61" s="470"/>
      <c r="U61" s="470"/>
      <c r="V61" s="477"/>
      <c r="W61" s="477"/>
      <c r="X61" s="477"/>
      <c r="Y61" s="477"/>
      <c r="Z61" s="477"/>
      <c r="AA61" s="477"/>
      <c r="AB61" s="477"/>
      <c r="AC61" s="477"/>
      <c r="AD61" s="478"/>
      <c r="AF61" s="84">
        <f>8*3000</f>
        <v>24000</v>
      </c>
    </row>
    <row r="62" spans="1:32" ht="27" customHeight="1" thickBot="1">
      <c r="A62" s="479"/>
      <c r="B62" s="480"/>
      <c r="C62" s="260"/>
      <c r="D62" s="261"/>
      <c r="E62" s="260"/>
      <c r="F62" s="481"/>
      <c r="G62" s="482"/>
      <c r="H62" s="482"/>
      <c r="I62" s="482"/>
      <c r="J62" s="482"/>
      <c r="K62" s="482"/>
      <c r="L62" s="482"/>
      <c r="M62" s="483"/>
      <c r="N62" s="111"/>
      <c r="O62" s="103"/>
      <c r="P62" s="484"/>
      <c r="Q62" s="484"/>
      <c r="R62" s="484"/>
      <c r="S62" s="484"/>
      <c r="T62" s="484"/>
      <c r="U62" s="484"/>
      <c r="V62" s="485"/>
      <c r="W62" s="485"/>
      <c r="X62" s="485"/>
      <c r="Y62" s="485"/>
      <c r="Z62" s="485"/>
      <c r="AA62" s="485"/>
      <c r="AB62" s="485"/>
      <c r="AC62" s="485"/>
      <c r="AD62" s="486"/>
      <c r="AF62" s="84">
        <f>16*3000</f>
        <v>48000</v>
      </c>
    </row>
    <row r="63" spans="1:32" ht="27.75" thickBot="1">
      <c r="A63" s="489" t="s">
        <v>418</v>
      </c>
      <c r="B63" s="489"/>
      <c r="C63" s="489"/>
      <c r="D63" s="489"/>
      <c r="E63" s="48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0" t="s">
        <v>111</v>
      </c>
      <c r="B64" s="491"/>
      <c r="C64" s="257" t="s">
        <v>2</v>
      </c>
      <c r="D64" s="257" t="s">
        <v>37</v>
      </c>
      <c r="E64" s="257" t="s">
        <v>3</v>
      </c>
      <c r="F64" s="491" t="s">
        <v>109</v>
      </c>
      <c r="G64" s="491"/>
      <c r="H64" s="491"/>
      <c r="I64" s="491"/>
      <c r="J64" s="491"/>
      <c r="K64" s="491" t="s">
        <v>39</v>
      </c>
      <c r="L64" s="491"/>
      <c r="M64" s="257" t="s">
        <v>40</v>
      </c>
      <c r="N64" s="491" t="s">
        <v>41</v>
      </c>
      <c r="O64" s="491"/>
      <c r="P64" s="492" t="s">
        <v>42</v>
      </c>
      <c r="Q64" s="493"/>
      <c r="R64" s="492" t="s">
        <v>43</v>
      </c>
      <c r="S64" s="494"/>
      <c r="T64" s="494"/>
      <c r="U64" s="494"/>
      <c r="V64" s="494"/>
      <c r="W64" s="494"/>
      <c r="X64" s="494"/>
      <c r="Y64" s="494"/>
      <c r="Z64" s="494"/>
      <c r="AA64" s="493"/>
      <c r="AB64" s="491" t="s">
        <v>44</v>
      </c>
      <c r="AC64" s="491"/>
      <c r="AD64" s="495"/>
      <c r="AF64" s="84">
        <f>SUM(AF61:AF63)</f>
        <v>96000</v>
      </c>
    </row>
    <row r="65" spans="1:32" ht="25.5" customHeight="1">
      <c r="A65" s="496">
        <v>1</v>
      </c>
      <c r="B65" s="497"/>
      <c r="C65" s="104" t="s">
        <v>118</v>
      </c>
      <c r="D65" s="252"/>
      <c r="E65" s="255" t="s">
        <v>142</v>
      </c>
      <c r="F65" s="498" t="s">
        <v>419</v>
      </c>
      <c r="G65" s="499"/>
      <c r="H65" s="499"/>
      <c r="I65" s="499"/>
      <c r="J65" s="500"/>
      <c r="K65" s="501" t="s">
        <v>249</v>
      </c>
      <c r="L65" s="501"/>
      <c r="M65" s="51" t="s">
        <v>236</v>
      </c>
      <c r="N65" s="502" t="s">
        <v>147</v>
      </c>
      <c r="O65" s="502"/>
      <c r="P65" s="503">
        <v>50</v>
      </c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2</v>
      </c>
      <c r="B66" s="497"/>
      <c r="C66" s="104"/>
      <c r="D66" s="252"/>
      <c r="E66" s="255"/>
      <c r="F66" s="498"/>
      <c r="G66" s="499"/>
      <c r="H66" s="499"/>
      <c r="I66" s="499"/>
      <c r="J66" s="500"/>
      <c r="K66" s="501"/>
      <c r="L66" s="501"/>
      <c r="M66" s="51"/>
      <c r="N66" s="502"/>
      <c r="O66" s="502"/>
      <c r="P66" s="503"/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3</v>
      </c>
      <c r="B67" s="497"/>
      <c r="C67" s="104"/>
      <c r="D67" s="252"/>
      <c r="E67" s="255"/>
      <c r="F67" s="498"/>
      <c r="G67" s="499"/>
      <c r="H67" s="499"/>
      <c r="I67" s="499"/>
      <c r="J67" s="500"/>
      <c r="K67" s="501"/>
      <c r="L67" s="501"/>
      <c r="M67" s="51"/>
      <c r="N67" s="502"/>
      <c r="O67" s="502"/>
      <c r="P67" s="503"/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4</v>
      </c>
      <c r="B68" s="497"/>
      <c r="C68" s="104"/>
      <c r="D68" s="252"/>
      <c r="E68" s="255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5</v>
      </c>
      <c r="B69" s="497"/>
      <c r="C69" s="104"/>
      <c r="D69" s="252"/>
      <c r="E69" s="255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6</v>
      </c>
      <c r="B70" s="497"/>
      <c r="C70" s="104"/>
      <c r="D70" s="252"/>
      <c r="E70" s="255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7</v>
      </c>
      <c r="B71" s="497"/>
      <c r="C71" s="104"/>
      <c r="D71" s="252"/>
      <c r="E71" s="255"/>
      <c r="F71" s="498"/>
      <c r="G71" s="499"/>
      <c r="H71" s="499"/>
      <c r="I71" s="499"/>
      <c r="J71" s="500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8</v>
      </c>
      <c r="B72" s="497"/>
      <c r="C72" s="104"/>
      <c r="D72" s="252"/>
      <c r="E72" s="255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9</v>
      </c>
      <c r="B73" s="497"/>
      <c r="C73" s="104"/>
      <c r="D73" s="252"/>
      <c r="E73" s="255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5.5" customHeight="1">
      <c r="A74" s="496">
        <v>10</v>
      </c>
      <c r="B74" s="497"/>
      <c r="C74" s="104"/>
      <c r="D74" s="252"/>
      <c r="E74" s="255"/>
      <c r="F74" s="505"/>
      <c r="G74" s="501"/>
      <c r="H74" s="501"/>
      <c r="I74" s="501"/>
      <c r="J74" s="501"/>
      <c r="K74" s="501"/>
      <c r="L74" s="501"/>
      <c r="M74" s="51"/>
      <c r="N74" s="502"/>
      <c r="O74" s="502"/>
      <c r="P74" s="503"/>
      <c r="Q74" s="503"/>
      <c r="R74" s="477"/>
      <c r="S74" s="477"/>
      <c r="T74" s="477"/>
      <c r="U74" s="477"/>
      <c r="V74" s="477"/>
      <c r="W74" s="477"/>
      <c r="X74" s="477"/>
      <c r="Y74" s="477"/>
      <c r="Z74" s="477"/>
      <c r="AA74" s="477"/>
      <c r="AB74" s="501"/>
      <c r="AC74" s="501"/>
      <c r="AD74" s="504"/>
      <c r="AF74" s="50"/>
    </row>
    <row r="75" spans="1:32" ht="26.25" customHeight="1" thickBot="1">
      <c r="A75" s="506" t="s">
        <v>420</v>
      </c>
      <c r="B75" s="506"/>
      <c r="C75" s="506"/>
      <c r="D75" s="506"/>
      <c r="E75" s="506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507" t="s">
        <v>126</v>
      </c>
      <c r="B76" s="508"/>
      <c r="C76" s="254" t="s">
        <v>2</v>
      </c>
      <c r="D76" s="254" t="s">
        <v>37</v>
      </c>
      <c r="E76" s="254" t="s">
        <v>125</v>
      </c>
      <c r="F76" s="508" t="s">
        <v>38</v>
      </c>
      <c r="G76" s="508"/>
      <c r="H76" s="508"/>
      <c r="I76" s="508"/>
      <c r="J76" s="508"/>
      <c r="K76" s="509" t="s">
        <v>58</v>
      </c>
      <c r="L76" s="510"/>
      <c r="M76" s="510"/>
      <c r="N76" s="510"/>
      <c r="O76" s="510"/>
      <c r="P76" s="510"/>
      <c r="Q76" s="510"/>
      <c r="R76" s="510"/>
      <c r="S76" s="511"/>
      <c r="T76" s="508" t="s">
        <v>49</v>
      </c>
      <c r="U76" s="508"/>
      <c r="V76" s="509" t="s">
        <v>50</v>
      </c>
      <c r="W76" s="511"/>
      <c r="X76" s="510" t="s">
        <v>51</v>
      </c>
      <c r="Y76" s="510"/>
      <c r="Z76" s="510"/>
      <c r="AA76" s="510"/>
      <c r="AB76" s="510"/>
      <c r="AC76" s="510"/>
      <c r="AD76" s="512"/>
      <c r="AF76" s="50"/>
    </row>
    <row r="77" spans="1:32" ht="33.75" customHeight="1">
      <c r="A77" s="521">
        <v>1</v>
      </c>
      <c r="B77" s="522"/>
      <c r="C77" s="253" t="s">
        <v>112</v>
      </c>
      <c r="D77" s="253"/>
      <c r="E77" s="65" t="s">
        <v>117</v>
      </c>
      <c r="F77" s="523" t="s">
        <v>116</v>
      </c>
      <c r="G77" s="524"/>
      <c r="H77" s="524"/>
      <c r="I77" s="524"/>
      <c r="J77" s="525"/>
      <c r="K77" s="526" t="s">
        <v>119</v>
      </c>
      <c r="L77" s="527"/>
      <c r="M77" s="527"/>
      <c r="N77" s="527"/>
      <c r="O77" s="527"/>
      <c r="P77" s="527"/>
      <c r="Q77" s="527"/>
      <c r="R77" s="527"/>
      <c r="S77" s="528"/>
      <c r="T77" s="529">
        <v>44118</v>
      </c>
      <c r="U77" s="530"/>
      <c r="V77" s="531"/>
      <c r="W77" s="531"/>
      <c r="X77" s="532"/>
      <c r="Y77" s="532"/>
      <c r="Z77" s="532"/>
      <c r="AA77" s="532"/>
      <c r="AB77" s="532"/>
      <c r="AC77" s="532"/>
      <c r="AD77" s="533"/>
      <c r="AF77" s="50"/>
    </row>
    <row r="78" spans="1:32" ht="30" customHeight="1">
      <c r="A78" s="513">
        <f>A77+1</f>
        <v>2</v>
      </c>
      <c r="B78" s="514"/>
      <c r="C78" s="252"/>
      <c r="D78" s="252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ref="A79:A83" si="19">A78+1</f>
        <v>3</v>
      </c>
      <c r="B79" s="514"/>
      <c r="C79" s="252"/>
      <c r="D79" s="252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9"/>
        <v>4</v>
      </c>
      <c r="B80" s="514"/>
      <c r="C80" s="252"/>
      <c r="D80" s="252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9"/>
        <v>5</v>
      </c>
      <c r="B81" s="514"/>
      <c r="C81" s="252"/>
      <c r="D81" s="252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9"/>
        <v>6</v>
      </c>
      <c r="B82" s="514"/>
      <c r="C82" s="252"/>
      <c r="D82" s="252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0" customHeight="1">
      <c r="A83" s="513">
        <f t="shared" si="19"/>
        <v>7</v>
      </c>
      <c r="B83" s="514"/>
      <c r="C83" s="252"/>
      <c r="D83" s="252"/>
      <c r="E83" s="32"/>
      <c r="F83" s="514"/>
      <c r="G83" s="514"/>
      <c r="H83" s="514"/>
      <c r="I83" s="514"/>
      <c r="J83" s="514"/>
      <c r="K83" s="515"/>
      <c r="L83" s="516"/>
      <c r="M83" s="516"/>
      <c r="N83" s="516"/>
      <c r="O83" s="516"/>
      <c r="P83" s="516"/>
      <c r="Q83" s="516"/>
      <c r="R83" s="516"/>
      <c r="S83" s="517"/>
      <c r="T83" s="518"/>
      <c r="U83" s="518"/>
      <c r="V83" s="518"/>
      <c r="W83" s="518"/>
      <c r="X83" s="519"/>
      <c r="Y83" s="519"/>
      <c r="Z83" s="519"/>
      <c r="AA83" s="519"/>
      <c r="AB83" s="519"/>
      <c r="AC83" s="519"/>
      <c r="AD83" s="520"/>
      <c r="AF83" s="50"/>
    </row>
    <row r="84" spans="1:32" ht="36" thickBot="1">
      <c r="A84" s="506" t="s">
        <v>421</v>
      </c>
      <c r="B84" s="506"/>
      <c r="C84" s="506"/>
      <c r="D84" s="506"/>
      <c r="E84" s="50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507" t="s">
        <v>111</v>
      </c>
      <c r="B85" s="508"/>
      <c r="C85" s="534" t="s">
        <v>52</v>
      </c>
      <c r="D85" s="534"/>
      <c r="E85" s="534" t="s">
        <v>53</v>
      </c>
      <c r="F85" s="534"/>
      <c r="G85" s="534"/>
      <c r="H85" s="534"/>
      <c r="I85" s="534"/>
      <c r="J85" s="534"/>
      <c r="K85" s="534" t="s">
        <v>54</v>
      </c>
      <c r="L85" s="534"/>
      <c r="M85" s="534"/>
      <c r="N85" s="534"/>
      <c r="O85" s="534"/>
      <c r="P85" s="534"/>
      <c r="Q85" s="534"/>
      <c r="R85" s="534"/>
      <c r="S85" s="534"/>
      <c r="T85" s="534" t="s">
        <v>55</v>
      </c>
      <c r="U85" s="534"/>
      <c r="V85" s="534" t="s">
        <v>56</v>
      </c>
      <c r="W85" s="534"/>
      <c r="X85" s="534"/>
      <c r="Y85" s="534" t="s">
        <v>51</v>
      </c>
      <c r="Z85" s="534"/>
      <c r="AA85" s="534"/>
      <c r="AB85" s="534"/>
      <c r="AC85" s="534"/>
      <c r="AD85" s="535"/>
      <c r="AF85" s="50"/>
    </row>
    <row r="86" spans="1:32" ht="30.75" customHeight="1">
      <c r="A86" s="521">
        <v>1</v>
      </c>
      <c r="B86" s="522"/>
      <c r="C86" s="536">
        <v>9</v>
      </c>
      <c r="D86" s="536"/>
      <c r="E86" s="536" t="s">
        <v>136</v>
      </c>
      <c r="F86" s="536"/>
      <c r="G86" s="536"/>
      <c r="H86" s="536"/>
      <c r="I86" s="536"/>
      <c r="J86" s="536"/>
      <c r="K86" s="536" t="s">
        <v>161</v>
      </c>
      <c r="L86" s="536"/>
      <c r="M86" s="536"/>
      <c r="N86" s="536"/>
      <c r="O86" s="536"/>
      <c r="P86" s="536"/>
      <c r="Q86" s="536"/>
      <c r="R86" s="536"/>
      <c r="S86" s="536"/>
      <c r="T86" s="536" t="s">
        <v>137</v>
      </c>
      <c r="U86" s="536"/>
      <c r="V86" s="537" t="s">
        <v>152</v>
      </c>
      <c r="W86" s="537"/>
      <c r="X86" s="537"/>
      <c r="Y86" s="538"/>
      <c r="Z86" s="538"/>
      <c r="AA86" s="538"/>
      <c r="AB86" s="538"/>
      <c r="AC86" s="538"/>
      <c r="AD86" s="539"/>
      <c r="AF86" s="50"/>
    </row>
    <row r="87" spans="1:32" ht="30.75" customHeight="1">
      <c r="A87" s="513">
        <v>2</v>
      </c>
      <c r="B87" s="514"/>
      <c r="C87" s="547"/>
      <c r="D87" s="547"/>
      <c r="E87" s="547"/>
      <c r="F87" s="547"/>
      <c r="G87" s="547"/>
      <c r="H87" s="547"/>
      <c r="I87" s="547"/>
      <c r="J87" s="547"/>
      <c r="K87" s="547"/>
      <c r="L87" s="547"/>
      <c r="M87" s="547"/>
      <c r="N87" s="547"/>
      <c r="O87" s="547"/>
      <c r="P87" s="547"/>
      <c r="Q87" s="547"/>
      <c r="R87" s="547"/>
      <c r="S87" s="547"/>
      <c r="T87" s="548"/>
      <c r="U87" s="548"/>
      <c r="V87" s="549"/>
      <c r="W87" s="549"/>
      <c r="X87" s="549"/>
      <c r="Y87" s="540"/>
      <c r="Z87" s="540"/>
      <c r="AA87" s="540"/>
      <c r="AB87" s="540"/>
      <c r="AC87" s="540"/>
      <c r="AD87" s="541"/>
      <c r="AF87" s="50"/>
    </row>
    <row r="88" spans="1:32" ht="30.75" customHeight="1" thickBot="1">
      <c r="A88" s="542">
        <v>3</v>
      </c>
      <c r="B88" s="543"/>
      <c r="C88" s="544"/>
      <c r="D88" s="544"/>
      <c r="E88" s="544"/>
      <c r="F88" s="544"/>
      <c r="G88" s="544"/>
      <c r="H88" s="544"/>
      <c r="I88" s="544"/>
      <c r="J88" s="544"/>
      <c r="K88" s="544"/>
      <c r="L88" s="544"/>
      <c r="M88" s="544"/>
      <c r="N88" s="544"/>
      <c r="O88" s="544"/>
      <c r="P88" s="544"/>
      <c r="Q88" s="544"/>
      <c r="R88" s="544"/>
      <c r="S88" s="544"/>
      <c r="T88" s="544"/>
      <c r="U88" s="544"/>
      <c r="V88" s="544"/>
      <c r="W88" s="544"/>
      <c r="X88" s="544"/>
      <c r="Y88" s="545"/>
      <c r="Z88" s="545"/>
      <c r="AA88" s="545"/>
      <c r="AB88" s="545"/>
      <c r="AC88" s="545"/>
      <c r="AD88" s="546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9706-5C32-4311-BF50-022998B1E209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422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265" t="s">
        <v>17</v>
      </c>
      <c r="L5" s="265" t="s">
        <v>18</v>
      </c>
      <c r="M5" s="265" t="s">
        <v>19</v>
      </c>
      <c r="N5" s="26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210</v>
      </c>
      <c r="D6" s="52" t="s">
        <v>158</v>
      </c>
      <c r="E6" s="53" t="s">
        <v>389</v>
      </c>
      <c r="F6" s="30" t="s">
        <v>153</v>
      </c>
      <c r="G6" s="12">
        <v>1</v>
      </c>
      <c r="H6" s="13">
        <v>24</v>
      </c>
      <c r="I6" s="31">
        <v>3500</v>
      </c>
      <c r="J6" s="14">
        <v>4791</v>
      </c>
      <c r="K6" s="15">
        <f>L6+4395</f>
        <v>9186</v>
      </c>
      <c r="L6" s="15">
        <f>1937+2854</f>
        <v>4791</v>
      </c>
      <c r="M6" s="15">
        <f t="shared" ref="M6:M21" si="0">L6-N6</f>
        <v>4791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0.50520833333333326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208</v>
      </c>
      <c r="E7" s="53" t="s">
        <v>246</v>
      </c>
      <c r="F7" s="30" t="s">
        <v>247</v>
      </c>
      <c r="G7" s="12">
        <v>1</v>
      </c>
      <c r="H7" s="13">
        <v>24</v>
      </c>
      <c r="I7" s="31">
        <v>80000</v>
      </c>
      <c r="J7" s="14">
        <v>5669</v>
      </c>
      <c r="K7" s="15">
        <f>L7+4944+6055+5647+3827+5705</f>
        <v>31847</v>
      </c>
      <c r="L7" s="15">
        <f>2673+2996</f>
        <v>5669</v>
      </c>
      <c r="M7" s="15">
        <f t="shared" si="0"/>
        <v>5669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0.50520833333333326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280</v>
      </c>
      <c r="E8" s="53" t="s">
        <v>392</v>
      </c>
      <c r="F8" s="30" t="s">
        <v>404</v>
      </c>
      <c r="G8" s="12">
        <v>1</v>
      </c>
      <c r="H8" s="13">
        <v>24</v>
      </c>
      <c r="I8" s="7">
        <v>16000</v>
      </c>
      <c r="J8" s="5">
        <v>3884</v>
      </c>
      <c r="K8" s="15">
        <f>L8</f>
        <v>3884</v>
      </c>
      <c r="L8" s="15">
        <f>1128+2756</f>
        <v>3884</v>
      </c>
      <c r="M8" s="15">
        <f t="shared" si="0"/>
        <v>3884</v>
      </c>
      <c r="N8" s="15">
        <v>0</v>
      </c>
      <c r="O8" s="58">
        <f t="shared" si="1"/>
        <v>0</v>
      </c>
      <c r="P8" s="39">
        <f t="shared" si="2"/>
        <v>19</v>
      </c>
      <c r="Q8" s="40">
        <f t="shared" si="3"/>
        <v>5</v>
      </c>
      <c r="R8" s="7"/>
      <c r="S8" s="6">
        <v>5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6">
        <f t="shared" si="7"/>
        <v>0.50520833333333326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115</v>
      </c>
      <c r="E9" s="53" t="s">
        <v>276</v>
      </c>
      <c r="F9" s="30" t="s">
        <v>130</v>
      </c>
      <c r="G9" s="12">
        <v>1</v>
      </c>
      <c r="H9" s="13">
        <v>24</v>
      </c>
      <c r="I9" s="7">
        <v>30000</v>
      </c>
      <c r="J9" s="14">
        <v>6726</v>
      </c>
      <c r="K9" s="15">
        <f>L9+2382</f>
        <v>9108</v>
      </c>
      <c r="L9" s="15">
        <f>786*2+2577*2</f>
        <v>6726</v>
      </c>
      <c r="M9" s="15">
        <f t="shared" si="0"/>
        <v>6726</v>
      </c>
      <c r="N9" s="15">
        <v>0</v>
      </c>
      <c r="O9" s="58">
        <f t="shared" si="1"/>
        <v>0</v>
      </c>
      <c r="P9" s="39">
        <f t="shared" si="2"/>
        <v>15</v>
      </c>
      <c r="Q9" s="40">
        <f t="shared" si="3"/>
        <v>9</v>
      </c>
      <c r="R9" s="7"/>
      <c r="S9" s="6">
        <v>9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0.625</v>
      </c>
      <c r="AD9" s="10">
        <f t="shared" si="6"/>
        <v>0.625</v>
      </c>
      <c r="AE9" s="36">
        <f t="shared" si="7"/>
        <v>0.50520833333333326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210</v>
      </c>
      <c r="D10" s="52" t="s">
        <v>423</v>
      </c>
      <c r="E10" s="53" t="s">
        <v>415</v>
      </c>
      <c r="F10" s="30" t="s">
        <v>213</v>
      </c>
      <c r="G10" s="33">
        <v>1</v>
      </c>
      <c r="H10" s="35">
        <v>24</v>
      </c>
      <c r="I10" s="7">
        <v>2000</v>
      </c>
      <c r="J10" s="14">
        <v>2514</v>
      </c>
      <c r="K10" s="15">
        <f>L10</f>
        <v>2514</v>
      </c>
      <c r="L10" s="15">
        <f>1497+1017</f>
        <v>2514</v>
      </c>
      <c r="M10" s="15">
        <f t="shared" si="0"/>
        <v>2514</v>
      </c>
      <c r="N10" s="15">
        <v>0</v>
      </c>
      <c r="O10" s="58">
        <f t="shared" si="1"/>
        <v>0</v>
      </c>
      <c r="P10" s="39">
        <f t="shared" si="2"/>
        <v>14</v>
      </c>
      <c r="Q10" s="40">
        <f t="shared" si="3"/>
        <v>10</v>
      </c>
      <c r="R10" s="7"/>
      <c r="S10" s="6">
        <v>5</v>
      </c>
      <c r="T10" s="16"/>
      <c r="U10" s="16"/>
      <c r="V10" s="17"/>
      <c r="W10" s="5">
        <v>5</v>
      </c>
      <c r="X10" s="16"/>
      <c r="Y10" s="16"/>
      <c r="Z10" s="16"/>
      <c r="AA10" s="18"/>
      <c r="AB10" s="8">
        <f t="shared" si="4"/>
        <v>1</v>
      </c>
      <c r="AC10" s="9">
        <f t="shared" si="5"/>
        <v>0.58333333333333337</v>
      </c>
      <c r="AD10" s="10">
        <f t="shared" si="6"/>
        <v>0.58333333333333337</v>
      </c>
      <c r="AE10" s="36">
        <f t="shared" si="7"/>
        <v>0.50520833333333326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405</v>
      </c>
      <c r="E11" s="53" t="s">
        <v>406</v>
      </c>
      <c r="F11" s="30" t="s">
        <v>164</v>
      </c>
      <c r="G11" s="33">
        <v>16</v>
      </c>
      <c r="H11" s="35">
        <v>24</v>
      </c>
      <c r="I11" s="7">
        <v>4500</v>
      </c>
      <c r="J11" s="14">
        <v>2639</v>
      </c>
      <c r="K11" s="15">
        <f>L11+3352</f>
        <v>5991</v>
      </c>
      <c r="L11" s="15">
        <v>2639</v>
      </c>
      <c r="M11" s="15">
        <f t="shared" si="0"/>
        <v>2639</v>
      </c>
      <c r="N11" s="15">
        <v>0</v>
      </c>
      <c r="O11" s="58">
        <f t="shared" si="1"/>
        <v>0</v>
      </c>
      <c r="P11" s="39">
        <f t="shared" si="2"/>
        <v>9</v>
      </c>
      <c r="Q11" s="40">
        <f t="shared" si="3"/>
        <v>15</v>
      </c>
      <c r="R11" s="7"/>
      <c r="S11" s="6">
        <v>15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0.375</v>
      </c>
      <c r="AD11" s="10">
        <f t="shared" si="6"/>
        <v>0.375</v>
      </c>
      <c r="AE11" s="36">
        <f t="shared" si="7"/>
        <v>0.50520833333333326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134</v>
      </c>
      <c r="F12" s="30" t="s">
        <v>135</v>
      </c>
      <c r="G12" s="12">
        <v>1</v>
      </c>
      <c r="H12" s="13">
        <v>22</v>
      </c>
      <c r="I12" s="31">
        <v>30000</v>
      </c>
      <c r="J12" s="5">
        <v>4446</v>
      </c>
      <c r="K12" s="15">
        <f>L12+3816+5458+5462+5155+5274</f>
        <v>29611</v>
      </c>
      <c r="L12" s="15">
        <f>2719+1727</f>
        <v>4446</v>
      </c>
      <c r="M12" s="15">
        <f t="shared" si="0"/>
        <v>4446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6">
        <f t="shared" si="7"/>
        <v>0.50520833333333326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131</v>
      </c>
      <c r="E13" s="53" t="s">
        <v>368</v>
      </c>
      <c r="F13" s="30" t="s">
        <v>144</v>
      </c>
      <c r="G13" s="33">
        <v>1</v>
      </c>
      <c r="H13" s="35">
        <v>24</v>
      </c>
      <c r="I13" s="7">
        <v>80000</v>
      </c>
      <c r="J13" s="14">
        <v>5542</v>
      </c>
      <c r="K13" s="15">
        <f>L13+5383+5677</f>
        <v>16602</v>
      </c>
      <c r="L13" s="15">
        <f>2642+2900</f>
        <v>5542</v>
      </c>
      <c r="M13" s="15">
        <f t="shared" si="0"/>
        <v>5542</v>
      </c>
      <c r="N13" s="15">
        <v>0</v>
      </c>
      <c r="O13" s="58">
        <f t="shared" si="1"/>
        <v>0</v>
      </c>
      <c r="P13" s="39">
        <f t="shared" si="2"/>
        <v>23</v>
      </c>
      <c r="Q13" s="40">
        <f t="shared" si="3"/>
        <v>1</v>
      </c>
      <c r="R13" s="7"/>
      <c r="S13" s="6">
        <v>1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0.95833333333333337</v>
      </c>
      <c r="AD13" s="10">
        <f t="shared" si="6"/>
        <v>0.95833333333333337</v>
      </c>
      <c r="AE13" s="36">
        <f t="shared" si="7"/>
        <v>0.50520833333333326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118</v>
      </c>
      <c r="D14" s="52" t="s">
        <v>115</v>
      </c>
      <c r="E14" s="53" t="s">
        <v>258</v>
      </c>
      <c r="F14" s="30" t="s">
        <v>145</v>
      </c>
      <c r="G14" s="33">
        <v>1</v>
      </c>
      <c r="H14" s="35">
        <v>50</v>
      </c>
      <c r="I14" s="7">
        <v>500</v>
      </c>
      <c r="J14" s="5">
        <v>711</v>
      </c>
      <c r="K14" s="15">
        <f>L14+711</f>
        <v>711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0.50520833333333326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0.50520833333333326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280</v>
      </c>
      <c r="E16" s="53" t="s">
        <v>369</v>
      </c>
      <c r="F16" s="30" t="s">
        <v>156</v>
      </c>
      <c r="G16" s="12">
        <v>1</v>
      </c>
      <c r="H16" s="13">
        <v>24</v>
      </c>
      <c r="I16" s="7">
        <v>30000</v>
      </c>
      <c r="J16" s="14">
        <v>5960</v>
      </c>
      <c r="K16" s="15">
        <f>L16+5663+2419</f>
        <v>14042</v>
      </c>
      <c r="L16" s="15">
        <f>2980*2</f>
        <v>5960</v>
      </c>
      <c r="M16" s="15">
        <f t="shared" si="0"/>
        <v>5960</v>
      </c>
      <c r="N16" s="15">
        <v>0</v>
      </c>
      <c r="O16" s="58">
        <f t="shared" si="1"/>
        <v>0</v>
      </c>
      <c r="P16" s="39">
        <f t="shared" si="2"/>
        <v>13</v>
      </c>
      <c r="Q16" s="40">
        <f t="shared" si="3"/>
        <v>11</v>
      </c>
      <c r="R16" s="7"/>
      <c r="S16" s="6">
        <v>11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0.54166666666666663</v>
      </c>
      <c r="AD16" s="10">
        <f t="shared" si="6"/>
        <v>0.54166666666666663</v>
      </c>
      <c r="AE16" s="36">
        <f t="shared" si="7"/>
        <v>0.50520833333333326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142</v>
      </c>
      <c r="E17" s="53" t="s">
        <v>424</v>
      </c>
      <c r="F17" s="30" t="s">
        <v>249</v>
      </c>
      <c r="G17" s="12">
        <v>1</v>
      </c>
      <c r="H17" s="13">
        <v>24</v>
      </c>
      <c r="I17" s="7">
        <v>500</v>
      </c>
      <c r="J17" s="14">
        <v>1157</v>
      </c>
      <c r="K17" s="15">
        <f>L17</f>
        <v>1157</v>
      </c>
      <c r="L17" s="15">
        <v>1157</v>
      </c>
      <c r="M17" s="15">
        <f t="shared" si="0"/>
        <v>1157</v>
      </c>
      <c r="N17" s="15">
        <v>0</v>
      </c>
      <c r="O17" s="58">
        <f t="shared" si="1"/>
        <v>0</v>
      </c>
      <c r="P17" s="39">
        <f t="shared" si="2"/>
        <v>5</v>
      </c>
      <c r="Q17" s="40">
        <f t="shared" si="3"/>
        <v>19</v>
      </c>
      <c r="R17" s="7"/>
      <c r="S17" s="6"/>
      <c r="T17" s="16"/>
      <c r="U17" s="16"/>
      <c r="V17" s="17"/>
      <c r="W17" s="5">
        <v>19</v>
      </c>
      <c r="X17" s="16"/>
      <c r="Y17" s="16"/>
      <c r="Z17" s="16"/>
      <c r="AA17" s="18"/>
      <c r="AB17" s="8">
        <f t="shared" si="4"/>
        <v>1</v>
      </c>
      <c r="AC17" s="9">
        <f t="shared" si="5"/>
        <v>0.20833333333333334</v>
      </c>
      <c r="AD17" s="10">
        <f t="shared" si="6"/>
        <v>0.20833333333333334</v>
      </c>
      <c r="AE17" s="36">
        <f t="shared" si="7"/>
        <v>0.50520833333333326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417</v>
      </c>
      <c r="F18" s="30" t="s">
        <v>145</v>
      </c>
      <c r="G18" s="33">
        <v>1</v>
      </c>
      <c r="H18" s="35">
        <v>24</v>
      </c>
      <c r="I18" s="7">
        <v>1000</v>
      </c>
      <c r="J18" s="14">
        <v>2815</v>
      </c>
      <c r="K18" s="15">
        <f>L18</f>
        <v>2815</v>
      </c>
      <c r="L18" s="15">
        <f>1184+1631</f>
        <v>2815</v>
      </c>
      <c r="M18" s="15">
        <f t="shared" si="0"/>
        <v>2815</v>
      </c>
      <c r="N18" s="15">
        <v>0</v>
      </c>
      <c r="O18" s="58">
        <f t="shared" si="1"/>
        <v>0</v>
      </c>
      <c r="P18" s="39">
        <f t="shared" si="2"/>
        <v>14</v>
      </c>
      <c r="Q18" s="40">
        <f t="shared" si="3"/>
        <v>10</v>
      </c>
      <c r="R18" s="7"/>
      <c r="S18" s="6">
        <v>5</v>
      </c>
      <c r="T18" s="16"/>
      <c r="U18" s="16"/>
      <c r="V18" s="17"/>
      <c r="W18" s="5">
        <v>5</v>
      </c>
      <c r="X18" s="16"/>
      <c r="Y18" s="16"/>
      <c r="Z18" s="16"/>
      <c r="AA18" s="18"/>
      <c r="AB18" s="8">
        <f t="shared" si="4"/>
        <v>1</v>
      </c>
      <c r="AC18" s="9">
        <f t="shared" si="5"/>
        <v>0.58333333333333337</v>
      </c>
      <c r="AD18" s="10">
        <f t="shared" si="6"/>
        <v>0.58333333333333337</v>
      </c>
      <c r="AE18" s="36">
        <f t="shared" si="7"/>
        <v>0.50520833333333326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131</v>
      </c>
      <c r="E19" s="53" t="s">
        <v>416</v>
      </c>
      <c r="F19" s="30" t="s">
        <v>156</v>
      </c>
      <c r="G19" s="33">
        <v>1</v>
      </c>
      <c r="H19" s="35">
        <v>24</v>
      </c>
      <c r="I19" s="7">
        <v>16000</v>
      </c>
      <c r="J19" s="14">
        <v>4142</v>
      </c>
      <c r="K19" s="15">
        <f>L19</f>
        <v>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0.50520833333333326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394</v>
      </c>
      <c r="F20" s="30" t="s">
        <v>311</v>
      </c>
      <c r="G20" s="12">
        <v>1</v>
      </c>
      <c r="H20" s="13">
        <v>24</v>
      </c>
      <c r="I20" s="7">
        <v>16000</v>
      </c>
      <c r="J20" s="14">
        <v>2115</v>
      </c>
      <c r="K20" s="15">
        <f>L20+2115</f>
        <v>2115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0.50520833333333326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31820</v>
      </c>
      <c r="K21" s="15">
        <f>L21+62008+65280+66156+31132+60100+67104+64940+66996+38324+18548</f>
        <v>572408</v>
      </c>
      <c r="L21" s="15">
        <f>7231*4+724*4</f>
        <v>31820</v>
      </c>
      <c r="M21" s="15">
        <f t="shared" si="0"/>
        <v>31820</v>
      </c>
      <c r="N21" s="15">
        <v>0</v>
      </c>
      <c r="O21" s="58">
        <f t="shared" si="1"/>
        <v>0</v>
      </c>
      <c r="P21" s="39">
        <f t="shared" si="2"/>
        <v>13</v>
      </c>
      <c r="Q21" s="40">
        <f t="shared" si="3"/>
        <v>11</v>
      </c>
      <c r="R21" s="7"/>
      <c r="S21" s="6"/>
      <c r="T21" s="16"/>
      <c r="U21" s="16"/>
      <c r="V21" s="17">
        <v>11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0.54166666666666663</v>
      </c>
      <c r="AD21" s="10">
        <f t="shared" si="6"/>
        <v>0.54166666666666663</v>
      </c>
      <c r="AE21" s="36">
        <f t="shared" si="7"/>
        <v>0.50520833333333326</v>
      </c>
      <c r="AF21" s="84">
        <f t="shared" si="8"/>
        <v>16</v>
      </c>
    </row>
    <row r="22" spans="1:32" ht="31.5" customHeight="1" thickBot="1">
      <c r="A22" s="443" t="s">
        <v>34</v>
      </c>
      <c r="B22" s="444"/>
      <c r="C22" s="444"/>
      <c r="D22" s="444"/>
      <c r="E22" s="444"/>
      <c r="F22" s="444"/>
      <c r="G22" s="444"/>
      <c r="H22" s="445"/>
      <c r="I22" s="22">
        <f t="shared" ref="I22:N22" si="9">SUM(I6:I21)</f>
        <v>1322000</v>
      </c>
      <c r="J22" s="19">
        <f t="shared" si="9"/>
        <v>97287</v>
      </c>
      <c r="K22" s="20">
        <f t="shared" si="9"/>
        <v>714347</v>
      </c>
      <c r="L22" s="21">
        <f t="shared" si="9"/>
        <v>77963</v>
      </c>
      <c r="M22" s="20">
        <f t="shared" si="9"/>
        <v>77963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194</v>
      </c>
      <c r="Q22" s="43">
        <f t="shared" si="10"/>
        <v>190</v>
      </c>
      <c r="R22" s="23">
        <f t="shared" si="10"/>
        <v>0</v>
      </c>
      <c r="S22" s="24">
        <f t="shared" si="10"/>
        <v>102</v>
      </c>
      <c r="T22" s="24">
        <f t="shared" si="10"/>
        <v>0</v>
      </c>
      <c r="U22" s="24">
        <f t="shared" si="10"/>
        <v>0</v>
      </c>
      <c r="V22" s="25">
        <f t="shared" si="10"/>
        <v>11</v>
      </c>
      <c r="W22" s="26">
        <f t="shared" si="10"/>
        <v>77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0.75</v>
      </c>
      <c r="AC22" s="4">
        <f>AVERAGE(AC6:AC21)</f>
        <v>0.50520833333333326</v>
      </c>
      <c r="AD22" s="4">
        <f>AVERAGE(AD6:AD21)</f>
        <v>0.50520833333333326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6" t="s">
        <v>45</v>
      </c>
      <c r="B49" s="446"/>
      <c r="C49" s="446"/>
      <c r="D49" s="446"/>
      <c r="E49" s="446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7" t="s">
        <v>425</v>
      </c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9"/>
      <c r="N50" s="450" t="s">
        <v>431</v>
      </c>
      <c r="O50" s="451"/>
      <c r="P50" s="451"/>
      <c r="Q50" s="451"/>
      <c r="R50" s="451"/>
      <c r="S50" s="451"/>
      <c r="T50" s="451"/>
      <c r="U50" s="451"/>
      <c r="V50" s="451"/>
      <c r="W50" s="451"/>
      <c r="X50" s="451"/>
      <c r="Y50" s="451"/>
      <c r="Z50" s="451"/>
      <c r="AA50" s="451"/>
      <c r="AB50" s="451"/>
      <c r="AC50" s="451"/>
      <c r="AD50" s="452"/>
    </row>
    <row r="51" spans="1:32" ht="27" customHeight="1">
      <c r="A51" s="453" t="s">
        <v>2</v>
      </c>
      <c r="B51" s="454"/>
      <c r="C51" s="266" t="s">
        <v>46</v>
      </c>
      <c r="D51" s="266" t="s">
        <v>47</v>
      </c>
      <c r="E51" s="266" t="s">
        <v>107</v>
      </c>
      <c r="F51" s="455" t="s">
        <v>106</v>
      </c>
      <c r="G51" s="456"/>
      <c r="H51" s="456"/>
      <c r="I51" s="456"/>
      <c r="J51" s="456"/>
      <c r="K51" s="456"/>
      <c r="L51" s="456"/>
      <c r="M51" s="457"/>
      <c r="N51" s="67" t="s">
        <v>110</v>
      </c>
      <c r="O51" s="266" t="s">
        <v>46</v>
      </c>
      <c r="P51" s="455" t="s">
        <v>47</v>
      </c>
      <c r="Q51" s="458"/>
      <c r="R51" s="455" t="s">
        <v>38</v>
      </c>
      <c r="S51" s="456"/>
      <c r="T51" s="456"/>
      <c r="U51" s="458"/>
      <c r="V51" s="455" t="s">
        <v>48</v>
      </c>
      <c r="W51" s="456"/>
      <c r="X51" s="456"/>
      <c r="Y51" s="456"/>
      <c r="Z51" s="456"/>
      <c r="AA51" s="456"/>
      <c r="AB51" s="456"/>
      <c r="AC51" s="456"/>
      <c r="AD51" s="457"/>
    </row>
    <row r="52" spans="1:32" ht="27" customHeight="1">
      <c r="A52" s="469" t="s">
        <v>112</v>
      </c>
      <c r="B52" s="470"/>
      <c r="C52" s="268" t="s">
        <v>133</v>
      </c>
      <c r="D52" s="268" t="s">
        <v>208</v>
      </c>
      <c r="E52" s="268" t="s">
        <v>246</v>
      </c>
      <c r="F52" s="471" t="s">
        <v>426</v>
      </c>
      <c r="G52" s="472"/>
      <c r="H52" s="472"/>
      <c r="I52" s="472"/>
      <c r="J52" s="472"/>
      <c r="K52" s="472"/>
      <c r="L52" s="472"/>
      <c r="M52" s="473"/>
      <c r="N52" s="267" t="s">
        <v>118</v>
      </c>
      <c r="O52" s="274" t="s">
        <v>141</v>
      </c>
      <c r="P52" s="474" t="s">
        <v>115</v>
      </c>
      <c r="Q52" s="475"/>
      <c r="R52" s="474" t="s">
        <v>394</v>
      </c>
      <c r="S52" s="476"/>
      <c r="T52" s="476"/>
      <c r="U52" s="475"/>
      <c r="V52" s="477" t="s">
        <v>124</v>
      </c>
      <c r="W52" s="477"/>
      <c r="X52" s="477"/>
      <c r="Y52" s="477"/>
      <c r="Z52" s="477"/>
      <c r="AA52" s="477"/>
      <c r="AB52" s="477"/>
      <c r="AC52" s="477"/>
      <c r="AD52" s="478"/>
    </row>
    <row r="53" spans="1:32" ht="27" customHeight="1">
      <c r="A53" s="469" t="s">
        <v>118</v>
      </c>
      <c r="B53" s="470"/>
      <c r="C53" s="268" t="s">
        <v>292</v>
      </c>
      <c r="D53" s="268" t="s">
        <v>115</v>
      </c>
      <c r="E53" s="268" t="s">
        <v>276</v>
      </c>
      <c r="F53" s="471" t="s">
        <v>427</v>
      </c>
      <c r="G53" s="472"/>
      <c r="H53" s="472"/>
      <c r="I53" s="472"/>
      <c r="J53" s="472"/>
      <c r="K53" s="472"/>
      <c r="L53" s="472"/>
      <c r="M53" s="473"/>
      <c r="N53" s="267" t="s">
        <v>118</v>
      </c>
      <c r="O53" s="274" t="s">
        <v>318</v>
      </c>
      <c r="P53" s="474" t="s">
        <v>184</v>
      </c>
      <c r="Q53" s="475"/>
      <c r="R53" s="474" t="s">
        <v>416</v>
      </c>
      <c r="S53" s="476"/>
      <c r="T53" s="476"/>
      <c r="U53" s="475"/>
      <c r="V53" s="477" t="s">
        <v>124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 t="s">
        <v>118</v>
      </c>
      <c r="B54" s="470"/>
      <c r="C54" s="268" t="s">
        <v>222</v>
      </c>
      <c r="D54" s="268" t="s">
        <v>280</v>
      </c>
      <c r="E54" s="268" t="s">
        <v>369</v>
      </c>
      <c r="F54" s="471" t="s">
        <v>124</v>
      </c>
      <c r="G54" s="472"/>
      <c r="H54" s="472"/>
      <c r="I54" s="472"/>
      <c r="J54" s="472"/>
      <c r="K54" s="472"/>
      <c r="L54" s="472"/>
      <c r="M54" s="473"/>
      <c r="N54" s="267" t="s">
        <v>210</v>
      </c>
      <c r="O54" s="274" t="s">
        <v>147</v>
      </c>
      <c r="P54" s="474" t="s">
        <v>158</v>
      </c>
      <c r="Q54" s="475"/>
      <c r="R54" s="474" t="s">
        <v>433</v>
      </c>
      <c r="S54" s="476"/>
      <c r="T54" s="476"/>
      <c r="U54" s="475"/>
      <c r="V54" s="477" t="s">
        <v>132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69" t="s">
        <v>118</v>
      </c>
      <c r="B55" s="470"/>
      <c r="C55" s="268" t="s">
        <v>139</v>
      </c>
      <c r="D55" s="268" t="s">
        <v>280</v>
      </c>
      <c r="E55" s="268" t="s">
        <v>392</v>
      </c>
      <c r="F55" s="471" t="s">
        <v>363</v>
      </c>
      <c r="G55" s="472"/>
      <c r="H55" s="472"/>
      <c r="I55" s="472"/>
      <c r="J55" s="472"/>
      <c r="K55" s="472"/>
      <c r="L55" s="472"/>
      <c r="M55" s="473"/>
      <c r="N55" s="267"/>
      <c r="O55" s="274"/>
      <c r="P55" s="474"/>
      <c r="Q55" s="475"/>
      <c r="R55" s="474"/>
      <c r="S55" s="476"/>
      <c r="T55" s="476"/>
      <c r="U55" s="475"/>
      <c r="V55" s="477"/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210</v>
      </c>
      <c r="B56" s="470"/>
      <c r="C56" s="268" t="s">
        <v>393</v>
      </c>
      <c r="D56" s="268" t="s">
        <v>429</v>
      </c>
      <c r="E56" s="268" t="s">
        <v>415</v>
      </c>
      <c r="F56" s="471" t="s">
        <v>428</v>
      </c>
      <c r="G56" s="472"/>
      <c r="H56" s="472"/>
      <c r="I56" s="472"/>
      <c r="J56" s="472"/>
      <c r="K56" s="472"/>
      <c r="L56" s="472"/>
      <c r="M56" s="473"/>
      <c r="N56" s="267"/>
      <c r="O56" s="274"/>
      <c r="P56" s="474"/>
      <c r="Q56" s="475"/>
      <c r="R56" s="474"/>
      <c r="S56" s="476"/>
      <c r="T56" s="476"/>
      <c r="U56" s="475"/>
      <c r="V56" s="477"/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 t="s">
        <v>112</v>
      </c>
      <c r="B57" s="470"/>
      <c r="C57" s="268" t="s">
        <v>198</v>
      </c>
      <c r="D57" s="268" t="s">
        <v>184</v>
      </c>
      <c r="E57" s="268" t="s">
        <v>368</v>
      </c>
      <c r="F57" s="471" t="s">
        <v>387</v>
      </c>
      <c r="G57" s="472"/>
      <c r="H57" s="472"/>
      <c r="I57" s="472"/>
      <c r="J57" s="472"/>
      <c r="K57" s="472"/>
      <c r="L57" s="472"/>
      <c r="M57" s="473"/>
      <c r="N57" s="267"/>
      <c r="O57" s="274"/>
      <c r="P57" s="474"/>
      <c r="Q57" s="475"/>
      <c r="R57" s="474"/>
      <c r="S57" s="476"/>
      <c r="T57" s="476"/>
      <c r="U57" s="475"/>
      <c r="V57" s="477"/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 t="s">
        <v>118</v>
      </c>
      <c r="B58" s="470"/>
      <c r="C58" s="268" t="s">
        <v>140</v>
      </c>
      <c r="D58" s="268" t="s">
        <v>142</v>
      </c>
      <c r="E58" s="268" t="s">
        <v>424</v>
      </c>
      <c r="F58" s="471" t="s">
        <v>132</v>
      </c>
      <c r="G58" s="472"/>
      <c r="H58" s="472"/>
      <c r="I58" s="472"/>
      <c r="J58" s="472"/>
      <c r="K58" s="472"/>
      <c r="L58" s="472"/>
      <c r="M58" s="473"/>
      <c r="N58" s="267"/>
      <c r="O58" s="274"/>
      <c r="P58" s="474"/>
      <c r="Q58" s="475"/>
      <c r="R58" s="474"/>
      <c r="S58" s="476"/>
      <c r="T58" s="476"/>
      <c r="U58" s="475"/>
      <c r="V58" s="477"/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 t="s">
        <v>118</v>
      </c>
      <c r="B59" s="488"/>
      <c r="C59" s="271" t="s">
        <v>318</v>
      </c>
      <c r="D59" s="271" t="s">
        <v>184</v>
      </c>
      <c r="E59" s="268" t="s">
        <v>416</v>
      </c>
      <c r="F59" s="471" t="s">
        <v>430</v>
      </c>
      <c r="G59" s="472"/>
      <c r="H59" s="472"/>
      <c r="I59" s="472"/>
      <c r="J59" s="472"/>
      <c r="K59" s="472"/>
      <c r="L59" s="472"/>
      <c r="M59" s="473"/>
      <c r="N59" s="267"/>
      <c r="O59" s="274"/>
      <c r="P59" s="474"/>
      <c r="Q59" s="475"/>
      <c r="R59" s="474"/>
      <c r="S59" s="476"/>
      <c r="T59" s="476"/>
      <c r="U59" s="475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 t="s">
        <v>118</v>
      </c>
      <c r="B60" s="488"/>
      <c r="C60" s="271" t="s">
        <v>191</v>
      </c>
      <c r="D60" s="271" t="s">
        <v>115</v>
      </c>
      <c r="E60" s="268" t="s">
        <v>417</v>
      </c>
      <c r="F60" s="471" t="s">
        <v>432</v>
      </c>
      <c r="G60" s="472"/>
      <c r="H60" s="472"/>
      <c r="I60" s="472"/>
      <c r="J60" s="472"/>
      <c r="K60" s="472"/>
      <c r="L60" s="472"/>
      <c r="M60" s="473"/>
      <c r="N60" s="267"/>
      <c r="O60" s="274"/>
      <c r="P60" s="470"/>
      <c r="Q60" s="470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  <c r="AF60" s="84">
        <f>8*3000</f>
        <v>24000</v>
      </c>
    </row>
    <row r="61" spans="1:32" ht="27" customHeight="1" thickBot="1">
      <c r="A61" s="479"/>
      <c r="B61" s="480"/>
      <c r="C61" s="269"/>
      <c r="D61" s="270"/>
      <c r="E61" s="269"/>
      <c r="F61" s="481"/>
      <c r="G61" s="482"/>
      <c r="H61" s="482"/>
      <c r="I61" s="482"/>
      <c r="J61" s="482"/>
      <c r="K61" s="482"/>
      <c r="L61" s="482"/>
      <c r="M61" s="483"/>
      <c r="N61" s="111"/>
      <c r="O61" s="103"/>
      <c r="P61" s="484"/>
      <c r="Q61" s="484"/>
      <c r="R61" s="484"/>
      <c r="S61" s="484"/>
      <c r="T61" s="484"/>
      <c r="U61" s="484"/>
      <c r="V61" s="485"/>
      <c r="W61" s="485"/>
      <c r="X61" s="485"/>
      <c r="Y61" s="485"/>
      <c r="Z61" s="485"/>
      <c r="AA61" s="485"/>
      <c r="AB61" s="485"/>
      <c r="AC61" s="485"/>
      <c r="AD61" s="486"/>
      <c r="AF61" s="84">
        <f>16*3000</f>
        <v>48000</v>
      </c>
    </row>
    <row r="62" spans="1:32" ht="27.75" thickBot="1">
      <c r="A62" s="489" t="s">
        <v>434</v>
      </c>
      <c r="B62" s="489"/>
      <c r="C62" s="489"/>
      <c r="D62" s="489"/>
      <c r="E62" s="48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0" t="s">
        <v>111</v>
      </c>
      <c r="B63" s="491"/>
      <c r="C63" s="272" t="s">
        <v>2</v>
      </c>
      <c r="D63" s="272" t="s">
        <v>37</v>
      </c>
      <c r="E63" s="272" t="s">
        <v>3</v>
      </c>
      <c r="F63" s="491" t="s">
        <v>109</v>
      </c>
      <c r="G63" s="491"/>
      <c r="H63" s="491"/>
      <c r="I63" s="491"/>
      <c r="J63" s="491"/>
      <c r="K63" s="491" t="s">
        <v>39</v>
      </c>
      <c r="L63" s="491"/>
      <c r="M63" s="272" t="s">
        <v>40</v>
      </c>
      <c r="N63" s="491" t="s">
        <v>41</v>
      </c>
      <c r="O63" s="491"/>
      <c r="P63" s="492" t="s">
        <v>42</v>
      </c>
      <c r="Q63" s="493"/>
      <c r="R63" s="492" t="s">
        <v>43</v>
      </c>
      <c r="S63" s="494"/>
      <c r="T63" s="494"/>
      <c r="U63" s="494"/>
      <c r="V63" s="494"/>
      <c r="W63" s="494"/>
      <c r="X63" s="494"/>
      <c r="Y63" s="494"/>
      <c r="Z63" s="494"/>
      <c r="AA63" s="493"/>
      <c r="AB63" s="491" t="s">
        <v>44</v>
      </c>
      <c r="AC63" s="491"/>
      <c r="AD63" s="495"/>
      <c r="AF63" s="84">
        <f>SUM(AF60:AF62)</f>
        <v>96000</v>
      </c>
    </row>
    <row r="64" spans="1:32" ht="25.5" customHeight="1">
      <c r="A64" s="496">
        <v>1</v>
      </c>
      <c r="B64" s="497"/>
      <c r="C64" s="104" t="s">
        <v>118</v>
      </c>
      <c r="D64" s="276"/>
      <c r="E64" s="273" t="s">
        <v>115</v>
      </c>
      <c r="F64" s="498" t="s">
        <v>417</v>
      </c>
      <c r="G64" s="499"/>
      <c r="H64" s="499"/>
      <c r="I64" s="499"/>
      <c r="J64" s="500"/>
      <c r="K64" s="501">
        <v>7301</v>
      </c>
      <c r="L64" s="501"/>
      <c r="M64" s="51" t="s">
        <v>143</v>
      </c>
      <c r="N64" s="502" t="s">
        <v>191</v>
      </c>
      <c r="O64" s="502"/>
      <c r="P64" s="503">
        <v>50</v>
      </c>
      <c r="Q64" s="503"/>
      <c r="R64" s="477"/>
      <c r="S64" s="477"/>
      <c r="T64" s="477"/>
      <c r="U64" s="477"/>
      <c r="V64" s="477"/>
      <c r="W64" s="477"/>
      <c r="X64" s="477"/>
      <c r="Y64" s="477"/>
      <c r="Z64" s="477"/>
      <c r="AA64" s="477"/>
      <c r="AB64" s="501"/>
      <c r="AC64" s="501"/>
      <c r="AD64" s="504"/>
      <c r="AF64" s="50"/>
    </row>
    <row r="65" spans="1:32" ht="25.5" customHeight="1">
      <c r="A65" s="496">
        <v>2</v>
      </c>
      <c r="B65" s="497"/>
      <c r="C65" s="104" t="s">
        <v>112</v>
      </c>
      <c r="D65" s="276"/>
      <c r="E65" s="273" t="s">
        <v>115</v>
      </c>
      <c r="F65" s="498" t="s">
        <v>435</v>
      </c>
      <c r="G65" s="499"/>
      <c r="H65" s="499"/>
      <c r="I65" s="499"/>
      <c r="J65" s="500"/>
      <c r="K65" s="501" t="s">
        <v>286</v>
      </c>
      <c r="L65" s="501"/>
      <c r="M65" s="51" t="s">
        <v>143</v>
      </c>
      <c r="N65" s="502" t="s">
        <v>191</v>
      </c>
      <c r="O65" s="502"/>
      <c r="P65" s="503">
        <v>100</v>
      </c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3</v>
      </c>
      <c r="B66" s="497"/>
      <c r="C66" s="104" t="s">
        <v>112</v>
      </c>
      <c r="D66" s="276"/>
      <c r="E66" s="273" t="s">
        <v>115</v>
      </c>
      <c r="F66" s="498" t="s">
        <v>436</v>
      </c>
      <c r="G66" s="499"/>
      <c r="H66" s="499"/>
      <c r="I66" s="499"/>
      <c r="J66" s="500"/>
      <c r="K66" s="501" t="s">
        <v>144</v>
      </c>
      <c r="L66" s="501"/>
      <c r="M66" s="51" t="s">
        <v>143</v>
      </c>
      <c r="N66" s="502" t="s">
        <v>318</v>
      </c>
      <c r="O66" s="502"/>
      <c r="P66" s="503">
        <v>30</v>
      </c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4</v>
      </c>
      <c r="B67" s="497"/>
      <c r="C67" s="104"/>
      <c r="D67" s="276"/>
      <c r="E67" s="273"/>
      <c r="F67" s="498"/>
      <c r="G67" s="499"/>
      <c r="H67" s="499"/>
      <c r="I67" s="499"/>
      <c r="J67" s="500"/>
      <c r="K67" s="501"/>
      <c r="L67" s="501"/>
      <c r="M67" s="51"/>
      <c r="N67" s="502"/>
      <c r="O67" s="502"/>
      <c r="P67" s="503"/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5</v>
      </c>
      <c r="B68" s="497"/>
      <c r="C68" s="104"/>
      <c r="D68" s="276"/>
      <c r="E68" s="273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6</v>
      </c>
      <c r="B69" s="497"/>
      <c r="C69" s="104"/>
      <c r="D69" s="276"/>
      <c r="E69" s="273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7</v>
      </c>
      <c r="B70" s="497"/>
      <c r="C70" s="104"/>
      <c r="D70" s="276"/>
      <c r="E70" s="273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8</v>
      </c>
      <c r="B71" s="497"/>
      <c r="C71" s="104"/>
      <c r="D71" s="276"/>
      <c r="E71" s="273"/>
      <c r="F71" s="505"/>
      <c r="G71" s="501"/>
      <c r="H71" s="501"/>
      <c r="I71" s="501"/>
      <c r="J71" s="501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9</v>
      </c>
      <c r="B72" s="497"/>
      <c r="C72" s="104"/>
      <c r="D72" s="276"/>
      <c r="E72" s="273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10</v>
      </c>
      <c r="B73" s="497"/>
      <c r="C73" s="104"/>
      <c r="D73" s="276"/>
      <c r="E73" s="273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6.25" customHeight="1" thickBot="1">
      <c r="A74" s="506" t="s">
        <v>437</v>
      </c>
      <c r="B74" s="506"/>
      <c r="C74" s="506"/>
      <c r="D74" s="506"/>
      <c r="E74" s="50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7" t="s">
        <v>126</v>
      </c>
      <c r="B75" s="508"/>
      <c r="C75" s="275" t="s">
        <v>2</v>
      </c>
      <c r="D75" s="275" t="s">
        <v>37</v>
      </c>
      <c r="E75" s="275" t="s">
        <v>125</v>
      </c>
      <c r="F75" s="508" t="s">
        <v>38</v>
      </c>
      <c r="G75" s="508"/>
      <c r="H75" s="508"/>
      <c r="I75" s="508"/>
      <c r="J75" s="508"/>
      <c r="K75" s="509" t="s">
        <v>58</v>
      </c>
      <c r="L75" s="510"/>
      <c r="M75" s="510"/>
      <c r="N75" s="510"/>
      <c r="O75" s="510"/>
      <c r="P75" s="510"/>
      <c r="Q75" s="510"/>
      <c r="R75" s="510"/>
      <c r="S75" s="511"/>
      <c r="T75" s="508" t="s">
        <v>49</v>
      </c>
      <c r="U75" s="508"/>
      <c r="V75" s="509" t="s">
        <v>50</v>
      </c>
      <c r="W75" s="511"/>
      <c r="X75" s="510" t="s">
        <v>51</v>
      </c>
      <c r="Y75" s="510"/>
      <c r="Z75" s="510"/>
      <c r="AA75" s="510"/>
      <c r="AB75" s="510"/>
      <c r="AC75" s="510"/>
      <c r="AD75" s="512"/>
      <c r="AF75" s="50"/>
    </row>
    <row r="76" spans="1:32" ht="33.75" customHeight="1">
      <c r="A76" s="521">
        <v>1</v>
      </c>
      <c r="B76" s="522"/>
      <c r="C76" s="277" t="s">
        <v>112</v>
      </c>
      <c r="D76" s="277"/>
      <c r="E76" s="65" t="s">
        <v>117</v>
      </c>
      <c r="F76" s="523" t="s">
        <v>116</v>
      </c>
      <c r="G76" s="524"/>
      <c r="H76" s="524"/>
      <c r="I76" s="524"/>
      <c r="J76" s="525"/>
      <c r="K76" s="526" t="s">
        <v>119</v>
      </c>
      <c r="L76" s="527"/>
      <c r="M76" s="527"/>
      <c r="N76" s="527"/>
      <c r="O76" s="527"/>
      <c r="P76" s="527"/>
      <c r="Q76" s="527"/>
      <c r="R76" s="527"/>
      <c r="S76" s="528"/>
      <c r="T76" s="529">
        <v>44118</v>
      </c>
      <c r="U76" s="530"/>
      <c r="V76" s="531"/>
      <c r="W76" s="531"/>
      <c r="X76" s="532"/>
      <c r="Y76" s="532"/>
      <c r="Z76" s="532"/>
      <c r="AA76" s="532"/>
      <c r="AB76" s="532"/>
      <c r="AC76" s="532"/>
      <c r="AD76" s="533"/>
      <c r="AF76" s="50"/>
    </row>
    <row r="77" spans="1:32" ht="30" customHeight="1">
      <c r="A77" s="513">
        <f>A76+1</f>
        <v>2</v>
      </c>
      <c r="B77" s="514"/>
      <c r="C77" s="276"/>
      <c r="D77" s="276"/>
      <c r="E77" s="32"/>
      <c r="F77" s="514"/>
      <c r="G77" s="514"/>
      <c r="H77" s="514"/>
      <c r="I77" s="514"/>
      <c r="J77" s="514"/>
      <c r="K77" s="515"/>
      <c r="L77" s="516"/>
      <c r="M77" s="516"/>
      <c r="N77" s="516"/>
      <c r="O77" s="516"/>
      <c r="P77" s="516"/>
      <c r="Q77" s="516"/>
      <c r="R77" s="516"/>
      <c r="S77" s="517"/>
      <c r="T77" s="518"/>
      <c r="U77" s="518"/>
      <c r="V77" s="518"/>
      <c r="W77" s="518"/>
      <c r="X77" s="519"/>
      <c r="Y77" s="519"/>
      <c r="Z77" s="519"/>
      <c r="AA77" s="519"/>
      <c r="AB77" s="519"/>
      <c r="AC77" s="519"/>
      <c r="AD77" s="520"/>
      <c r="AF77" s="50"/>
    </row>
    <row r="78" spans="1:32" ht="30" customHeight="1">
      <c r="A78" s="513">
        <f t="shared" ref="A78:A82" si="11">A77+1</f>
        <v>3</v>
      </c>
      <c r="B78" s="514"/>
      <c r="C78" s="276"/>
      <c r="D78" s="276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si="11"/>
        <v>4</v>
      </c>
      <c r="B79" s="514"/>
      <c r="C79" s="276"/>
      <c r="D79" s="276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1"/>
        <v>5</v>
      </c>
      <c r="B80" s="514"/>
      <c r="C80" s="276"/>
      <c r="D80" s="276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1"/>
        <v>6</v>
      </c>
      <c r="B81" s="514"/>
      <c r="C81" s="276"/>
      <c r="D81" s="276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1"/>
        <v>7</v>
      </c>
      <c r="B82" s="514"/>
      <c r="C82" s="276"/>
      <c r="D82" s="276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6" thickBot="1">
      <c r="A83" s="506" t="s">
        <v>438</v>
      </c>
      <c r="B83" s="506"/>
      <c r="C83" s="506"/>
      <c r="D83" s="506"/>
      <c r="E83" s="50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7" t="s">
        <v>111</v>
      </c>
      <c r="B84" s="508"/>
      <c r="C84" s="534" t="s">
        <v>52</v>
      </c>
      <c r="D84" s="534"/>
      <c r="E84" s="534" t="s">
        <v>53</v>
      </c>
      <c r="F84" s="534"/>
      <c r="G84" s="534"/>
      <c r="H84" s="534"/>
      <c r="I84" s="534"/>
      <c r="J84" s="534"/>
      <c r="K84" s="534" t="s">
        <v>54</v>
      </c>
      <c r="L84" s="534"/>
      <c r="M84" s="534"/>
      <c r="N84" s="534"/>
      <c r="O84" s="534"/>
      <c r="P84" s="534"/>
      <c r="Q84" s="534"/>
      <c r="R84" s="534"/>
      <c r="S84" s="534"/>
      <c r="T84" s="534" t="s">
        <v>55</v>
      </c>
      <c r="U84" s="534"/>
      <c r="V84" s="534" t="s">
        <v>56</v>
      </c>
      <c r="W84" s="534"/>
      <c r="X84" s="534"/>
      <c r="Y84" s="534" t="s">
        <v>51</v>
      </c>
      <c r="Z84" s="534"/>
      <c r="AA84" s="534"/>
      <c r="AB84" s="534"/>
      <c r="AC84" s="534"/>
      <c r="AD84" s="535"/>
      <c r="AF84" s="50"/>
    </row>
    <row r="85" spans="1:32" ht="30.75" customHeight="1">
      <c r="A85" s="521">
        <v>1</v>
      </c>
      <c r="B85" s="522"/>
      <c r="C85" s="536">
        <v>9</v>
      </c>
      <c r="D85" s="536"/>
      <c r="E85" s="536" t="s">
        <v>136</v>
      </c>
      <c r="F85" s="536"/>
      <c r="G85" s="536"/>
      <c r="H85" s="536"/>
      <c r="I85" s="536"/>
      <c r="J85" s="536"/>
      <c r="K85" s="536" t="s">
        <v>161</v>
      </c>
      <c r="L85" s="536"/>
      <c r="M85" s="536"/>
      <c r="N85" s="536"/>
      <c r="O85" s="536"/>
      <c r="P85" s="536"/>
      <c r="Q85" s="536"/>
      <c r="R85" s="536"/>
      <c r="S85" s="536"/>
      <c r="T85" s="536" t="s">
        <v>137</v>
      </c>
      <c r="U85" s="536"/>
      <c r="V85" s="537" t="s">
        <v>152</v>
      </c>
      <c r="W85" s="537"/>
      <c r="X85" s="537"/>
      <c r="Y85" s="538"/>
      <c r="Z85" s="538"/>
      <c r="AA85" s="538"/>
      <c r="AB85" s="538"/>
      <c r="AC85" s="538"/>
      <c r="AD85" s="539"/>
      <c r="AF85" s="50"/>
    </row>
    <row r="86" spans="1:32" ht="30.75" customHeight="1">
      <c r="A86" s="513">
        <v>2</v>
      </c>
      <c r="B86" s="514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  <c r="P86" s="547"/>
      <c r="Q86" s="547"/>
      <c r="R86" s="547"/>
      <c r="S86" s="547"/>
      <c r="T86" s="548"/>
      <c r="U86" s="548"/>
      <c r="V86" s="549"/>
      <c r="W86" s="549"/>
      <c r="X86" s="549"/>
      <c r="Y86" s="540"/>
      <c r="Z86" s="540"/>
      <c r="AA86" s="540"/>
      <c r="AB86" s="540"/>
      <c r="AC86" s="540"/>
      <c r="AD86" s="541"/>
      <c r="AF86" s="50"/>
    </row>
    <row r="87" spans="1:32" ht="30.75" customHeight="1" thickBot="1">
      <c r="A87" s="542">
        <v>3</v>
      </c>
      <c r="B87" s="543"/>
      <c r="C87" s="544"/>
      <c r="D87" s="544"/>
      <c r="E87" s="544"/>
      <c r="F87" s="544"/>
      <c r="G87" s="544"/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5"/>
      <c r="Z87" s="545"/>
      <c r="AA87" s="545"/>
      <c r="AB87" s="545"/>
      <c r="AC87" s="545"/>
      <c r="AD87" s="546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DB88-9329-47F1-B859-10BB3B869A71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439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290" t="s">
        <v>17</v>
      </c>
      <c r="L5" s="290" t="s">
        <v>18</v>
      </c>
      <c r="M5" s="290" t="s">
        <v>19</v>
      </c>
      <c r="N5" s="29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210</v>
      </c>
      <c r="D6" s="52" t="s">
        <v>158</v>
      </c>
      <c r="E6" s="53" t="s">
        <v>433</v>
      </c>
      <c r="F6" s="30" t="s">
        <v>358</v>
      </c>
      <c r="G6" s="12">
        <v>1</v>
      </c>
      <c r="H6" s="13">
        <v>24</v>
      </c>
      <c r="I6" s="31">
        <v>300</v>
      </c>
      <c r="J6" s="14">
        <v>563</v>
      </c>
      <c r="K6" s="15">
        <f>L6</f>
        <v>563</v>
      </c>
      <c r="L6" s="15">
        <v>563</v>
      </c>
      <c r="M6" s="15">
        <f t="shared" ref="M6:M21" si="0">L6-N6</f>
        <v>563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4</v>
      </c>
      <c r="Q6" s="40">
        <f t="shared" ref="Q6:Q21" si="3">SUM(R6:AA6)</f>
        <v>20</v>
      </c>
      <c r="R6" s="7"/>
      <c r="S6" s="6"/>
      <c r="T6" s="16"/>
      <c r="U6" s="16"/>
      <c r="V6" s="17"/>
      <c r="W6" s="5">
        <v>20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0.16666666666666666</v>
      </c>
      <c r="AD6" s="10">
        <f t="shared" ref="AD6:AD21" si="6">AC6*AB6*(1-O6)</f>
        <v>0.16666666666666666</v>
      </c>
      <c r="AE6" s="36">
        <f t="shared" ref="AE6:AE21" si="7">$AD$22</f>
        <v>0.46875000000000011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208</v>
      </c>
      <c r="E7" s="53" t="s">
        <v>246</v>
      </c>
      <c r="F7" s="30" t="s">
        <v>247</v>
      </c>
      <c r="G7" s="12">
        <v>1</v>
      </c>
      <c r="H7" s="13">
        <v>24</v>
      </c>
      <c r="I7" s="31">
        <v>35000</v>
      </c>
      <c r="J7" s="14">
        <v>5992</v>
      </c>
      <c r="K7" s="15">
        <f>L7</f>
        <v>5992</v>
      </c>
      <c r="L7" s="15">
        <f>3007+2985</f>
        <v>5992</v>
      </c>
      <c r="M7" s="15">
        <f t="shared" si="0"/>
        <v>5992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0.46875000000000011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280</v>
      </c>
      <c r="E8" s="53" t="s">
        <v>392</v>
      </c>
      <c r="F8" s="30" t="s">
        <v>404</v>
      </c>
      <c r="G8" s="12">
        <v>1</v>
      </c>
      <c r="H8" s="13">
        <v>24</v>
      </c>
      <c r="I8" s="7">
        <v>16000</v>
      </c>
      <c r="J8" s="5">
        <v>4187</v>
      </c>
      <c r="K8" s="15">
        <f>L8+3884</f>
        <v>8071</v>
      </c>
      <c r="L8" s="15">
        <f>2010+2177</f>
        <v>4187</v>
      </c>
      <c r="M8" s="15">
        <f t="shared" si="0"/>
        <v>4187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6">
        <f t="shared" si="7"/>
        <v>0.46875000000000011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115</v>
      </c>
      <c r="E9" s="53" t="s">
        <v>276</v>
      </c>
      <c r="F9" s="30" t="s">
        <v>130</v>
      </c>
      <c r="G9" s="12">
        <v>1</v>
      </c>
      <c r="H9" s="13">
        <v>24</v>
      </c>
      <c r="I9" s="7">
        <v>40000</v>
      </c>
      <c r="J9" s="14">
        <v>7524</v>
      </c>
      <c r="K9" s="15">
        <f>L9+2382+6726</f>
        <v>16632</v>
      </c>
      <c r="L9" s="15">
        <f>2243*2+1519*2</f>
        <v>7524</v>
      </c>
      <c r="M9" s="15">
        <f t="shared" si="0"/>
        <v>7524</v>
      </c>
      <c r="N9" s="15">
        <v>0</v>
      </c>
      <c r="O9" s="58">
        <f t="shared" si="1"/>
        <v>0</v>
      </c>
      <c r="P9" s="39">
        <f t="shared" si="2"/>
        <v>19</v>
      </c>
      <c r="Q9" s="40">
        <f t="shared" si="3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0.79166666666666663</v>
      </c>
      <c r="AD9" s="10">
        <f t="shared" si="6"/>
        <v>0.79166666666666663</v>
      </c>
      <c r="AE9" s="36">
        <f t="shared" si="7"/>
        <v>0.46875000000000011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210</v>
      </c>
      <c r="D10" s="52" t="s">
        <v>423</v>
      </c>
      <c r="E10" s="53" t="s">
        <v>415</v>
      </c>
      <c r="F10" s="30" t="s">
        <v>213</v>
      </c>
      <c r="G10" s="33">
        <v>1</v>
      </c>
      <c r="H10" s="35">
        <v>24</v>
      </c>
      <c r="I10" s="7">
        <v>2000</v>
      </c>
      <c r="J10" s="14">
        <v>2514</v>
      </c>
      <c r="K10" s="15">
        <f>L10+2514</f>
        <v>2514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0.46875000000000011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405</v>
      </c>
      <c r="E11" s="53" t="s">
        <v>406</v>
      </c>
      <c r="F11" s="30" t="s">
        <v>164</v>
      </c>
      <c r="G11" s="33">
        <v>2</v>
      </c>
      <c r="H11" s="35">
        <v>24</v>
      </c>
      <c r="I11" s="7">
        <v>4500</v>
      </c>
      <c r="J11" s="14">
        <v>2639</v>
      </c>
      <c r="K11" s="15">
        <f>L11+3352+2639</f>
        <v>5991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0.46875000000000011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134</v>
      </c>
      <c r="F12" s="30" t="s">
        <v>135</v>
      </c>
      <c r="G12" s="12">
        <v>1</v>
      </c>
      <c r="H12" s="13">
        <v>22</v>
      </c>
      <c r="I12" s="31">
        <v>30000</v>
      </c>
      <c r="J12" s="5">
        <v>4479</v>
      </c>
      <c r="K12" s="15">
        <f>L12+3816+5458+5462+5155+5274+4446</f>
        <v>34090</v>
      </c>
      <c r="L12" s="15">
        <f>2562+1917</f>
        <v>4479</v>
      </c>
      <c r="M12" s="15">
        <f t="shared" si="0"/>
        <v>4479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6">
        <f t="shared" si="7"/>
        <v>0.46875000000000011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131</v>
      </c>
      <c r="E13" s="53" t="s">
        <v>368</v>
      </c>
      <c r="F13" s="30" t="s">
        <v>144</v>
      </c>
      <c r="G13" s="33">
        <v>1</v>
      </c>
      <c r="H13" s="35">
        <v>24</v>
      </c>
      <c r="I13" s="7">
        <v>35000</v>
      </c>
      <c r="J13" s="14">
        <v>5836</v>
      </c>
      <c r="K13" s="15">
        <f>L13</f>
        <v>5836</v>
      </c>
      <c r="L13" s="15">
        <f>2944+2892</f>
        <v>5836</v>
      </c>
      <c r="M13" s="15">
        <f t="shared" si="0"/>
        <v>5836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0.46875000000000011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118</v>
      </c>
      <c r="D14" s="52" t="s">
        <v>115</v>
      </c>
      <c r="E14" s="53" t="s">
        <v>258</v>
      </c>
      <c r="F14" s="30" t="s">
        <v>145</v>
      </c>
      <c r="G14" s="33">
        <v>1</v>
      </c>
      <c r="H14" s="35">
        <v>50</v>
      </c>
      <c r="I14" s="7">
        <v>500</v>
      </c>
      <c r="J14" s="5">
        <v>711</v>
      </c>
      <c r="K14" s="15">
        <f>L14+711</f>
        <v>711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0.46875000000000011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0.46875000000000011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280</v>
      </c>
      <c r="E16" s="53" t="s">
        <v>369</v>
      </c>
      <c r="F16" s="30" t="s">
        <v>156</v>
      </c>
      <c r="G16" s="12">
        <v>1</v>
      </c>
      <c r="H16" s="13">
        <v>24</v>
      </c>
      <c r="I16" s="7">
        <v>40000</v>
      </c>
      <c r="J16" s="14">
        <v>11958</v>
      </c>
      <c r="K16" s="15">
        <f>L16+5663+2419+5960</f>
        <v>26000</v>
      </c>
      <c r="L16" s="15">
        <f>2997*2+2982*2</f>
        <v>11958</v>
      </c>
      <c r="M16" s="15">
        <f t="shared" si="0"/>
        <v>11958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0.46875000000000011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210</v>
      </c>
      <c r="D17" s="52" t="s">
        <v>242</v>
      </c>
      <c r="E17" s="53" t="s">
        <v>440</v>
      </c>
      <c r="F17" s="30" t="s">
        <v>358</v>
      </c>
      <c r="G17" s="12">
        <v>2</v>
      </c>
      <c r="H17" s="13">
        <v>24</v>
      </c>
      <c r="I17" s="7">
        <v>7000</v>
      </c>
      <c r="J17" s="14">
        <v>8300</v>
      </c>
      <c r="K17" s="15">
        <f>L17</f>
        <v>8300</v>
      </c>
      <c r="L17" s="15">
        <f>1243*2+2907*2</f>
        <v>8300</v>
      </c>
      <c r="M17" s="15">
        <f t="shared" si="0"/>
        <v>8300</v>
      </c>
      <c r="N17" s="15">
        <v>0</v>
      </c>
      <c r="O17" s="58">
        <f t="shared" si="1"/>
        <v>0</v>
      </c>
      <c r="P17" s="39">
        <f t="shared" si="2"/>
        <v>19</v>
      </c>
      <c r="Q17" s="40">
        <f t="shared" si="3"/>
        <v>5</v>
      </c>
      <c r="R17" s="7"/>
      <c r="S17" s="6"/>
      <c r="T17" s="16">
        <v>5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0.79166666666666663</v>
      </c>
      <c r="AD17" s="10">
        <f t="shared" si="6"/>
        <v>0.79166666666666663</v>
      </c>
      <c r="AE17" s="36">
        <f t="shared" si="7"/>
        <v>0.46875000000000011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129</v>
      </c>
      <c r="E18" s="53" t="s">
        <v>441</v>
      </c>
      <c r="F18" s="30" t="s">
        <v>217</v>
      </c>
      <c r="G18" s="33">
        <v>1</v>
      </c>
      <c r="H18" s="35">
        <v>24</v>
      </c>
      <c r="I18" s="7">
        <v>500</v>
      </c>
      <c r="J18" s="14">
        <v>450</v>
      </c>
      <c r="K18" s="15">
        <f>L18</f>
        <v>450</v>
      </c>
      <c r="L18" s="15">
        <v>450</v>
      </c>
      <c r="M18" s="15">
        <f t="shared" si="0"/>
        <v>450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6">
        <f t="shared" si="7"/>
        <v>0.46875000000000011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131</v>
      </c>
      <c r="E19" s="53" t="s">
        <v>416</v>
      </c>
      <c r="F19" s="30" t="s">
        <v>156</v>
      </c>
      <c r="G19" s="33">
        <v>1</v>
      </c>
      <c r="H19" s="35">
        <v>24</v>
      </c>
      <c r="I19" s="7">
        <v>16000</v>
      </c>
      <c r="J19" s="14">
        <v>1568</v>
      </c>
      <c r="K19" s="15">
        <f>L19</f>
        <v>1568</v>
      </c>
      <c r="L19" s="15">
        <f>750+818</f>
        <v>1568</v>
      </c>
      <c r="M19" s="15">
        <f t="shared" si="0"/>
        <v>1568</v>
      </c>
      <c r="N19" s="15">
        <v>0</v>
      </c>
      <c r="O19" s="58">
        <f t="shared" si="1"/>
        <v>0</v>
      </c>
      <c r="P19" s="39">
        <f t="shared" si="2"/>
        <v>7</v>
      </c>
      <c r="Q19" s="40">
        <f t="shared" si="3"/>
        <v>17</v>
      </c>
      <c r="R19" s="7"/>
      <c r="S19" s="6">
        <v>17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0.29166666666666669</v>
      </c>
      <c r="AD19" s="10">
        <f t="shared" si="6"/>
        <v>0.29166666666666669</v>
      </c>
      <c r="AE19" s="36">
        <f t="shared" si="7"/>
        <v>0.46875000000000011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394</v>
      </c>
      <c r="F20" s="30" t="s">
        <v>311</v>
      </c>
      <c r="G20" s="12">
        <v>1</v>
      </c>
      <c r="H20" s="13">
        <v>24</v>
      </c>
      <c r="I20" s="7">
        <v>16000</v>
      </c>
      <c r="J20" s="14">
        <v>2115</v>
      </c>
      <c r="K20" s="15">
        <f>L20+2115</f>
        <v>2115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0.46875000000000011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33244</v>
      </c>
      <c r="K21" s="15">
        <f>L21+62008+65280+66156+31132+60100+67104+64940+66996+38324+18548+31820</f>
        <v>605652</v>
      </c>
      <c r="L21" s="15">
        <f>8311*4</f>
        <v>33244</v>
      </c>
      <c r="M21" s="15">
        <f t="shared" si="0"/>
        <v>33244</v>
      </c>
      <c r="N21" s="15">
        <v>0</v>
      </c>
      <c r="O21" s="58">
        <f t="shared" si="1"/>
        <v>0</v>
      </c>
      <c r="P21" s="39">
        <f t="shared" si="2"/>
        <v>13</v>
      </c>
      <c r="Q21" s="40">
        <f t="shared" si="3"/>
        <v>11</v>
      </c>
      <c r="R21" s="7"/>
      <c r="S21" s="6"/>
      <c r="T21" s="16"/>
      <c r="U21" s="16"/>
      <c r="V21" s="17">
        <v>11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0.54166666666666663</v>
      </c>
      <c r="AD21" s="10">
        <f t="shared" si="6"/>
        <v>0.54166666666666663</v>
      </c>
      <c r="AE21" s="36">
        <f t="shared" si="7"/>
        <v>0.46875000000000011</v>
      </c>
      <c r="AF21" s="84">
        <f t="shared" si="8"/>
        <v>16</v>
      </c>
    </row>
    <row r="22" spans="1:32" ht="31.5" customHeight="1" thickBot="1">
      <c r="A22" s="443" t="s">
        <v>34</v>
      </c>
      <c r="B22" s="444"/>
      <c r="C22" s="444"/>
      <c r="D22" s="444"/>
      <c r="E22" s="444"/>
      <c r="F22" s="444"/>
      <c r="G22" s="444"/>
      <c r="H22" s="445"/>
      <c r="I22" s="22">
        <f t="shared" ref="I22:N22" si="9">SUM(I6:I21)</f>
        <v>1254800</v>
      </c>
      <c r="J22" s="19">
        <f t="shared" si="9"/>
        <v>104436</v>
      </c>
      <c r="K22" s="20">
        <f t="shared" si="9"/>
        <v>736841</v>
      </c>
      <c r="L22" s="21">
        <f t="shared" si="9"/>
        <v>84101</v>
      </c>
      <c r="M22" s="20">
        <f t="shared" si="9"/>
        <v>84101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180</v>
      </c>
      <c r="Q22" s="43">
        <f t="shared" si="10"/>
        <v>204</v>
      </c>
      <c r="R22" s="23">
        <f t="shared" si="10"/>
        <v>0</v>
      </c>
      <c r="S22" s="24">
        <f t="shared" si="10"/>
        <v>76</v>
      </c>
      <c r="T22" s="24">
        <f t="shared" si="10"/>
        <v>5</v>
      </c>
      <c r="U22" s="24">
        <f t="shared" si="10"/>
        <v>0</v>
      </c>
      <c r="V22" s="25">
        <f t="shared" si="10"/>
        <v>11</v>
      </c>
      <c r="W22" s="26">
        <f t="shared" si="10"/>
        <v>112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0.6875</v>
      </c>
      <c r="AC22" s="4">
        <f>AVERAGE(AC6:AC21)</f>
        <v>0.46875000000000011</v>
      </c>
      <c r="AD22" s="4">
        <f>AVERAGE(AD6:AD21)</f>
        <v>0.46875000000000011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6" t="s">
        <v>45</v>
      </c>
      <c r="B49" s="446"/>
      <c r="C49" s="446"/>
      <c r="D49" s="446"/>
      <c r="E49" s="446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7" t="s">
        <v>445</v>
      </c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9"/>
      <c r="N50" s="450" t="s">
        <v>444</v>
      </c>
      <c r="O50" s="451"/>
      <c r="P50" s="451"/>
      <c r="Q50" s="451"/>
      <c r="R50" s="451"/>
      <c r="S50" s="451"/>
      <c r="T50" s="451"/>
      <c r="U50" s="451"/>
      <c r="V50" s="451"/>
      <c r="W50" s="451"/>
      <c r="X50" s="451"/>
      <c r="Y50" s="451"/>
      <c r="Z50" s="451"/>
      <c r="AA50" s="451"/>
      <c r="AB50" s="451"/>
      <c r="AC50" s="451"/>
      <c r="AD50" s="452"/>
    </row>
    <row r="51" spans="1:32" ht="27" customHeight="1">
      <c r="A51" s="453" t="s">
        <v>2</v>
      </c>
      <c r="B51" s="454"/>
      <c r="C51" s="289" t="s">
        <v>46</v>
      </c>
      <c r="D51" s="289" t="s">
        <v>47</v>
      </c>
      <c r="E51" s="289" t="s">
        <v>107</v>
      </c>
      <c r="F51" s="455" t="s">
        <v>106</v>
      </c>
      <c r="G51" s="456"/>
      <c r="H51" s="456"/>
      <c r="I51" s="456"/>
      <c r="J51" s="456"/>
      <c r="K51" s="456"/>
      <c r="L51" s="456"/>
      <c r="M51" s="457"/>
      <c r="N51" s="67" t="s">
        <v>110</v>
      </c>
      <c r="O51" s="289" t="s">
        <v>46</v>
      </c>
      <c r="P51" s="455" t="s">
        <v>47</v>
      </c>
      <c r="Q51" s="458"/>
      <c r="R51" s="455" t="s">
        <v>38</v>
      </c>
      <c r="S51" s="456"/>
      <c r="T51" s="456"/>
      <c r="U51" s="458"/>
      <c r="V51" s="455" t="s">
        <v>48</v>
      </c>
      <c r="W51" s="456"/>
      <c r="X51" s="456"/>
      <c r="Y51" s="456"/>
      <c r="Z51" s="456"/>
      <c r="AA51" s="456"/>
      <c r="AB51" s="456"/>
      <c r="AC51" s="456"/>
      <c r="AD51" s="457"/>
    </row>
    <row r="52" spans="1:32" ht="27" customHeight="1">
      <c r="A52" s="469" t="s">
        <v>210</v>
      </c>
      <c r="B52" s="470"/>
      <c r="C52" s="285" t="s">
        <v>147</v>
      </c>
      <c r="D52" s="285" t="s">
        <v>158</v>
      </c>
      <c r="E52" s="285" t="s">
        <v>433</v>
      </c>
      <c r="F52" s="471" t="s">
        <v>132</v>
      </c>
      <c r="G52" s="472"/>
      <c r="H52" s="472"/>
      <c r="I52" s="472"/>
      <c r="J52" s="472"/>
      <c r="K52" s="472"/>
      <c r="L52" s="472"/>
      <c r="M52" s="473"/>
      <c r="N52" s="288" t="s">
        <v>118</v>
      </c>
      <c r="O52" s="282" t="s">
        <v>141</v>
      </c>
      <c r="P52" s="474" t="s">
        <v>115</v>
      </c>
      <c r="Q52" s="475"/>
      <c r="R52" s="474" t="s">
        <v>394</v>
      </c>
      <c r="S52" s="476"/>
      <c r="T52" s="476"/>
      <c r="U52" s="475"/>
      <c r="V52" s="477" t="s">
        <v>124</v>
      </c>
      <c r="W52" s="477"/>
      <c r="X52" s="477"/>
      <c r="Y52" s="477"/>
      <c r="Z52" s="477"/>
      <c r="AA52" s="477"/>
      <c r="AB52" s="477"/>
      <c r="AC52" s="477"/>
      <c r="AD52" s="478"/>
    </row>
    <row r="53" spans="1:32" ht="27" customHeight="1">
      <c r="A53" s="469" t="s">
        <v>118</v>
      </c>
      <c r="B53" s="470"/>
      <c r="C53" s="285" t="s">
        <v>292</v>
      </c>
      <c r="D53" s="285" t="s">
        <v>115</v>
      </c>
      <c r="E53" s="285" t="s">
        <v>276</v>
      </c>
      <c r="F53" s="471" t="s">
        <v>442</v>
      </c>
      <c r="G53" s="472"/>
      <c r="H53" s="472"/>
      <c r="I53" s="472"/>
      <c r="J53" s="472"/>
      <c r="K53" s="472"/>
      <c r="L53" s="472"/>
      <c r="M53" s="473"/>
      <c r="N53" s="288" t="s">
        <v>118</v>
      </c>
      <c r="O53" s="282" t="s">
        <v>318</v>
      </c>
      <c r="P53" s="474" t="s">
        <v>184</v>
      </c>
      <c r="Q53" s="475"/>
      <c r="R53" s="474" t="s">
        <v>416</v>
      </c>
      <c r="S53" s="476"/>
      <c r="T53" s="476"/>
      <c r="U53" s="475"/>
      <c r="V53" s="477" t="s">
        <v>124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 t="s">
        <v>118</v>
      </c>
      <c r="B54" s="470"/>
      <c r="C54" s="285" t="s">
        <v>139</v>
      </c>
      <c r="D54" s="285" t="s">
        <v>280</v>
      </c>
      <c r="E54" s="285" t="s">
        <v>392</v>
      </c>
      <c r="F54" s="471" t="s">
        <v>291</v>
      </c>
      <c r="G54" s="472"/>
      <c r="H54" s="472"/>
      <c r="I54" s="472"/>
      <c r="J54" s="472"/>
      <c r="K54" s="472"/>
      <c r="L54" s="472"/>
      <c r="M54" s="473"/>
      <c r="N54" s="288" t="s">
        <v>118</v>
      </c>
      <c r="O54" s="282" t="s">
        <v>139</v>
      </c>
      <c r="P54" s="474" t="s">
        <v>280</v>
      </c>
      <c r="Q54" s="475"/>
      <c r="R54" s="474" t="s">
        <v>392</v>
      </c>
      <c r="S54" s="476"/>
      <c r="T54" s="476"/>
      <c r="U54" s="475"/>
      <c r="V54" s="477" t="s">
        <v>124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87" t="s">
        <v>118</v>
      </c>
      <c r="B55" s="488"/>
      <c r="C55" s="284" t="s">
        <v>318</v>
      </c>
      <c r="D55" s="284" t="s">
        <v>184</v>
      </c>
      <c r="E55" s="285" t="s">
        <v>416</v>
      </c>
      <c r="F55" s="471" t="s">
        <v>443</v>
      </c>
      <c r="G55" s="472"/>
      <c r="H55" s="472"/>
      <c r="I55" s="472"/>
      <c r="J55" s="472"/>
      <c r="K55" s="472"/>
      <c r="L55" s="472"/>
      <c r="M55" s="473"/>
      <c r="N55" s="288" t="s">
        <v>118</v>
      </c>
      <c r="O55" s="282" t="s">
        <v>386</v>
      </c>
      <c r="P55" s="474" t="s">
        <v>115</v>
      </c>
      <c r="Q55" s="475"/>
      <c r="R55" s="474" t="s">
        <v>134</v>
      </c>
      <c r="S55" s="476"/>
      <c r="T55" s="476"/>
      <c r="U55" s="475"/>
      <c r="V55" s="477" t="s">
        <v>124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112</v>
      </c>
      <c r="B56" s="470"/>
      <c r="C56" s="285" t="s">
        <v>191</v>
      </c>
      <c r="D56" s="285" t="s">
        <v>129</v>
      </c>
      <c r="E56" s="285" t="s">
        <v>441</v>
      </c>
      <c r="F56" s="471" t="s">
        <v>132</v>
      </c>
      <c r="G56" s="472"/>
      <c r="H56" s="472"/>
      <c r="I56" s="472"/>
      <c r="J56" s="472"/>
      <c r="K56" s="472"/>
      <c r="L56" s="472"/>
      <c r="M56" s="473"/>
      <c r="N56" s="288" t="s">
        <v>210</v>
      </c>
      <c r="O56" s="282" t="s">
        <v>372</v>
      </c>
      <c r="P56" s="474" t="s">
        <v>448</v>
      </c>
      <c r="Q56" s="475"/>
      <c r="R56" s="474" t="s">
        <v>447</v>
      </c>
      <c r="S56" s="476"/>
      <c r="T56" s="476"/>
      <c r="U56" s="475"/>
      <c r="V56" s="477" t="s">
        <v>132</v>
      </c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 t="s">
        <v>118</v>
      </c>
      <c r="B57" s="470"/>
      <c r="C57" s="285" t="s">
        <v>386</v>
      </c>
      <c r="D57" s="285" t="s">
        <v>115</v>
      </c>
      <c r="E57" s="285" t="s">
        <v>134</v>
      </c>
      <c r="F57" s="471" t="s">
        <v>446</v>
      </c>
      <c r="G57" s="472"/>
      <c r="H57" s="472"/>
      <c r="I57" s="472"/>
      <c r="J57" s="472"/>
      <c r="K57" s="472"/>
      <c r="L57" s="472"/>
      <c r="M57" s="473"/>
      <c r="N57" s="288" t="s">
        <v>118</v>
      </c>
      <c r="O57" s="282" t="s">
        <v>191</v>
      </c>
      <c r="P57" s="474" t="s">
        <v>391</v>
      </c>
      <c r="Q57" s="475"/>
      <c r="R57" s="474" t="s">
        <v>390</v>
      </c>
      <c r="S57" s="476"/>
      <c r="T57" s="476"/>
      <c r="U57" s="475"/>
      <c r="V57" s="477" t="s">
        <v>124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/>
      <c r="B58" s="470"/>
      <c r="C58" s="285"/>
      <c r="D58" s="285"/>
      <c r="E58" s="285"/>
      <c r="F58" s="471"/>
      <c r="G58" s="472"/>
      <c r="H58" s="472"/>
      <c r="I58" s="472"/>
      <c r="J58" s="472"/>
      <c r="K58" s="472"/>
      <c r="L58" s="472"/>
      <c r="M58" s="473"/>
      <c r="N58" s="288"/>
      <c r="O58" s="282"/>
      <c r="P58" s="474"/>
      <c r="Q58" s="475"/>
      <c r="R58" s="474"/>
      <c r="S58" s="476"/>
      <c r="T58" s="476"/>
      <c r="U58" s="475"/>
      <c r="V58" s="477"/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/>
      <c r="B59" s="488"/>
      <c r="C59" s="284"/>
      <c r="D59" s="284"/>
      <c r="E59" s="285"/>
      <c r="F59" s="471"/>
      <c r="G59" s="472"/>
      <c r="H59" s="472"/>
      <c r="I59" s="472"/>
      <c r="J59" s="472"/>
      <c r="K59" s="472"/>
      <c r="L59" s="472"/>
      <c r="M59" s="473"/>
      <c r="N59" s="288"/>
      <c r="O59" s="282"/>
      <c r="P59" s="474"/>
      <c r="Q59" s="475"/>
      <c r="R59" s="474"/>
      <c r="S59" s="476"/>
      <c r="T59" s="476"/>
      <c r="U59" s="475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/>
      <c r="B60" s="488"/>
      <c r="C60" s="284"/>
      <c r="D60" s="284"/>
      <c r="E60" s="285"/>
      <c r="F60" s="471"/>
      <c r="G60" s="472"/>
      <c r="H60" s="472"/>
      <c r="I60" s="472"/>
      <c r="J60" s="472"/>
      <c r="K60" s="472"/>
      <c r="L60" s="472"/>
      <c r="M60" s="473"/>
      <c r="N60" s="288"/>
      <c r="O60" s="282"/>
      <c r="P60" s="470"/>
      <c r="Q60" s="470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  <c r="AF60" s="84">
        <f>8*3000</f>
        <v>24000</v>
      </c>
    </row>
    <row r="61" spans="1:32" ht="27" customHeight="1" thickBot="1">
      <c r="A61" s="479"/>
      <c r="B61" s="480"/>
      <c r="C61" s="286"/>
      <c r="D61" s="287"/>
      <c r="E61" s="286"/>
      <c r="F61" s="481"/>
      <c r="G61" s="482"/>
      <c r="H61" s="482"/>
      <c r="I61" s="482"/>
      <c r="J61" s="482"/>
      <c r="K61" s="482"/>
      <c r="L61" s="482"/>
      <c r="M61" s="483"/>
      <c r="N61" s="111"/>
      <c r="O61" s="103"/>
      <c r="P61" s="484"/>
      <c r="Q61" s="484"/>
      <c r="R61" s="484"/>
      <c r="S61" s="484"/>
      <c r="T61" s="484"/>
      <c r="U61" s="484"/>
      <c r="V61" s="485"/>
      <c r="W61" s="485"/>
      <c r="X61" s="485"/>
      <c r="Y61" s="485"/>
      <c r="Z61" s="485"/>
      <c r="AA61" s="485"/>
      <c r="AB61" s="485"/>
      <c r="AC61" s="485"/>
      <c r="AD61" s="486"/>
      <c r="AF61" s="84">
        <f>16*3000</f>
        <v>48000</v>
      </c>
    </row>
    <row r="62" spans="1:32" ht="27.75" thickBot="1">
      <c r="A62" s="489" t="s">
        <v>449</v>
      </c>
      <c r="B62" s="489"/>
      <c r="C62" s="489"/>
      <c r="D62" s="489"/>
      <c r="E62" s="48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0" t="s">
        <v>111</v>
      </c>
      <c r="B63" s="491"/>
      <c r="C63" s="283" t="s">
        <v>2</v>
      </c>
      <c r="D63" s="283" t="s">
        <v>37</v>
      </c>
      <c r="E63" s="283" t="s">
        <v>3</v>
      </c>
      <c r="F63" s="491" t="s">
        <v>109</v>
      </c>
      <c r="G63" s="491"/>
      <c r="H63" s="491"/>
      <c r="I63" s="491"/>
      <c r="J63" s="491"/>
      <c r="K63" s="491" t="s">
        <v>39</v>
      </c>
      <c r="L63" s="491"/>
      <c r="M63" s="283" t="s">
        <v>40</v>
      </c>
      <c r="N63" s="491" t="s">
        <v>41</v>
      </c>
      <c r="O63" s="491"/>
      <c r="P63" s="492" t="s">
        <v>42</v>
      </c>
      <c r="Q63" s="493"/>
      <c r="R63" s="492" t="s">
        <v>43</v>
      </c>
      <c r="S63" s="494"/>
      <c r="T63" s="494"/>
      <c r="U63" s="494"/>
      <c r="V63" s="494"/>
      <c r="W63" s="494"/>
      <c r="X63" s="494"/>
      <c r="Y63" s="494"/>
      <c r="Z63" s="494"/>
      <c r="AA63" s="493"/>
      <c r="AB63" s="491" t="s">
        <v>44</v>
      </c>
      <c r="AC63" s="491"/>
      <c r="AD63" s="495"/>
      <c r="AF63" s="84">
        <f>SUM(AF60:AF62)</f>
        <v>96000</v>
      </c>
    </row>
    <row r="64" spans="1:32" ht="25.5" customHeight="1">
      <c r="A64" s="496">
        <v>1</v>
      </c>
      <c r="B64" s="497"/>
      <c r="C64" s="104" t="s">
        <v>210</v>
      </c>
      <c r="D64" s="278"/>
      <c r="E64" s="281" t="s">
        <v>115</v>
      </c>
      <c r="F64" s="498" t="s">
        <v>450</v>
      </c>
      <c r="G64" s="499"/>
      <c r="H64" s="499"/>
      <c r="I64" s="499"/>
      <c r="J64" s="500"/>
      <c r="K64" s="501" t="s">
        <v>135</v>
      </c>
      <c r="L64" s="501"/>
      <c r="M64" s="51" t="s">
        <v>451</v>
      </c>
      <c r="N64" s="502" t="s">
        <v>191</v>
      </c>
      <c r="O64" s="502"/>
      <c r="P64" s="503">
        <v>100</v>
      </c>
      <c r="Q64" s="503"/>
      <c r="R64" s="477"/>
      <c r="S64" s="477"/>
      <c r="T64" s="477"/>
      <c r="U64" s="477"/>
      <c r="V64" s="477"/>
      <c r="W64" s="477"/>
      <c r="X64" s="477"/>
      <c r="Y64" s="477"/>
      <c r="Z64" s="477"/>
      <c r="AA64" s="477"/>
      <c r="AB64" s="501"/>
      <c r="AC64" s="501"/>
      <c r="AD64" s="504"/>
      <c r="AF64" s="50"/>
    </row>
    <row r="65" spans="1:32" ht="25.5" customHeight="1">
      <c r="A65" s="496">
        <v>2</v>
      </c>
      <c r="B65" s="497"/>
      <c r="C65" s="104" t="s">
        <v>120</v>
      </c>
      <c r="D65" s="278"/>
      <c r="E65" s="281"/>
      <c r="F65" s="498" t="s">
        <v>261</v>
      </c>
      <c r="G65" s="499"/>
      <c r="H65" s="499"/>
      <c r="I65" s="499"/>
      <c r="J65" s="500"/>
      <c r="K65" s="501" t="s">
        <v>262</v>
      </c>
      <c r="L65" s="501"/>
      <c r="M65" s="51" t="s">
        <v>143</v>
      </c>
      <c r="N65" s="502" t="s">
        <v>191</v>
      </c>
      <c r="O65" s="502"/>
      <c r="P65" s="503">
        <v>100</v>
      </c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3</v>
      </c>
      <c r="B66" s="497"/>
      <c r="C66" s="104" t="s">
        <v>210</v>
      </c>
      <c r="D66" s="278"/>
      <c r="E66" s="281" t="s">
        <v>129</v>
      </c>
      <c r="F66" s="498" t="s">
        <v>355</v>
      </c>
      <c r="G66" s="499"/>
      <c r="H66" s="499"/>
      <c r="I66" s="499"/>
      <c r="J66" s="500"/>
      <c r="K66" s="501" t="s">
        <v>217</v>
      </c>
      <c r="L66" s="501"/>
      <c r="M66" s="51" t="s">
        <v>143</v>
      </c>
      <c r="N66" s="502" t="s">
        <v>191</v>
      </c>
      <c r="O66" s="502"/>
      <c r="P66" s="503">
        <v>100</v>
      </c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4</v>
      </c>
      <c r="B67" s="497"/>
      <c r="C67" s="104"/>
      <c r="D67" s="278"/>
      <c r="E67" s="281"/>
      <c r="F67" s="498"/>
      <c r="G67" s="499"/>
      <c r="H67" s="499"/>
      <c r="I67" s="499"/>
      <c r="J67" s="500"/>
      <c r="K67" s="501"/>
      <c r="L67" s="501"/>
      <c r="M67" s="51"/>
      <c r="N67" s="502"/>
      <c r="O67" s="502"/>
      <c r="P67" s="503"/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5</v>
      </c>
      <c r="B68" s="497"/>
      <c r="C68" s="104"/>
      <c r="D68" s="278"/>
      <c r="E68" s="281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6</v>
      </c>
      <c r="B69" s="497"/>
      <c r="C69" s="104"/>
      <c r="D69" s="278"/>
      <c r="E69" s="281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7</v>
      </c>
      <c r="B70" s="497"/>
      <c r="C70" s="104"/>
      <c r="D70" s="278"/>
      <c r="E70" s="281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8</v>
      </c>
      <c r="B71" s="497"/>
      <c r="C71" s="104"/>
      <c r="D71" s="278"/>
      <c r="E71" s="281"/>
      <c r="F71" s="505"/>
      <c r="G71" s="501"/>
      <c r="H71" s="501"/>
      <c r="I71" s="501"/>
      <c r="J71" s="501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9</v>
      </c>
      <c r="B72" s="497"/>
      <c r="C72" s="104"/>
      <c r="D72" s="278"/>
      <c r="E72" s="281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10</v>
      </c>
      <c r="B73" s="497"/>
      <c r="C73" s="104"/>
      <c r="D73" s="278"/>
      <c r="E73" s="281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6.25" customHeight="1" thickBot="1">
      <c r="A74" s="506" t="s">
        <v>452</v>
      </c>
      <c r="B74" s="506"/>
      <c r="C74" s="506"/>
      <c r="D74" s="506"/>
      <c r="E74" s="50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7" t="s">
        <v>126</v>
      </c>
      <c r="B75" s="508"/>
      <c r="C75" s="280" t="s">
        <v>2</v>
      </c>
      <c r="D75" s="280" t="s">
        <v>37</v>
      </c>
      <c r="E75" s="280" t="s">
        <v>125</v>
      </c>
      <c r="F75" s="508" t="s">
        <v>38</v>
      </c>
      <c r="G75" s="508"/>
      <c r="H75" s="508"/>
      <c r="I75" s="508"/>
      <c r="J75" s="508"/>
      <c r="K75" s="509" t="s">
        <v>58</v>
      </c>
      <c r="L75" s="510"/>
      <c r="M75" s="510"/>
      <c r="N75" s="510"/>
      <c r="O75" s="510"/>
      <c r="P75" s="510"/>
      <c r="Q75" s="510"/>
      <c r="R75" s="510"/>
      <c r="S75" s="511"/>
      <c r="T75" s="508" t="s">
        <v>49</v>
      </c>
      <c r="U75" s="508"/>
      <c r="V75" s="509" t="s">
        <v>50</v>
      </c>
      <c r="W75" s="511"/>
      <c r="X75" s="510" t="s">
        <v>51</v>
      </c>
      <c r="Y75" s="510"/>
      <c r="Z75" s="510"/>
      <c r="AA75" s="510"/>
      <c r="AB75" s="510"/>
      <c r="AC75" s="510"/>
      <c r="AD75" s="512"/>
      <c r="AF75" s="50"/>
    </row>
    <row r="76" spans="1:32" ht="33.75" customHeight="1">
      <c r="A76" s="521">
        <v>1</v>
      </c>
      <c r="B76" s="522"/>
      <c r="C76" s="279" t="s">
        <v>112</v>
      </c>
      <c r="D76" s="279"/>
      <c r="E76" s="65" t="s">
        <v>117</v>
      </c>
      <c r="F76" s="523" t="s">
        <v>116</v>
      </c>
      <c r="G76" s="524"/>
      <c r="H76" s="524"/>
      <c r="I76" s="524"/>
      <c r="J76" s="525"/>
      <c r="K76" s="526" t="s">
        <v>119</v>
      </c>
      <c r="L76" s="527"/>
      <c r="M76" s="527"/>
      <c r="N76" s="527"/>
      <c r="O76" s="527"/>
      <c r="P76" s="527"/>
      <c r="Q76" s="527"/>
      <c r="R76" s="527"/>
      <c r="S76" s="528"/>
      <c r="T76" s="529">
        <v>44118</v>
      </c>
      <c r="U76" s="530"/>
      <c r="V76" s="531"/>
      <c r="W76" s="531"/>
      <c r="X76" s="532"/>
      <c r="Y76" s="532"/>
      <c r="Z76" s="532"/>
      <c r="AA76" s="532"/>
      <c r="AB76" s="532"/>
      <c r="AC76" s="532"/>
      <c r="AD76" s="533"/>
      <c r="AF76" s="50"/>
    </row>
    <row r="77" spans="1:32" ht="30" customHeight="1">
      <c r="A77" s="513">
        <f>A76+1</f>
        <v>2</v>
      </c>
      <c r="B77" s="514"/>
      <c r="C77" s="278"/>
      <c r="D77" s="278"/>
      <c r="E77" s="32"/>
      <c r="F77" s="514"/>
      <c r="G77" s="514"/>
      <c r="H77" s="514"/>
      <c r="I77" s="514"/>
      <c r="J77" s="514"/>
      <c r="K77" s="515"/>
      <c r="L77" s="516"/>
      <c r="M77" s="516"/>
      <c r="N77" s="516"/>
      <c r="O77" s="516"/>
      <c r="P77" s="516"/>
      <c r="Q77" s="516"/>
      <c r="R77" s="516"/>
      <c r="S77" s="517"/>
      <c r="T77" s="518"/>
      <c r="U77" s="518"/>
      <c r="V77" s="518"/>
      <c r="W77" s="518"/>
      <c r="X77" s="519"/>
      <c r="Y77" s="519"/>
      <c r="Z77" s="519"/>
      <c r="AA77" s="519"/>
      <c r="AB77" s="519"/>
      <c r="AC77" s="519"/>
      <c r="AD77" s="520"/>
      <c r="AF77" s="50"/>
    </row>
    <row r="78" spans="1:32" ht="30" customHeight="1">
      <c r="A78" s="513">
        <f t="shared" ref="A78:A82" si="11">A77+1</f>
        <v>3</v>
      </c>
      <c r="B78" s="514"/>
      <c r="C78" s="278"/>
      <c r="D78" s="278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si="11"/>
        <v>4</v>
      </c>
      <c r="B79" s="514"/>
      <c r="C79" s="278"/>
      <c r="D79" s="278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1"/>
        <v>5</v>
      </c>
      <c r="B80" s="514"/>
      <c r="C80" s="278"/>
      <c r="D80" s="278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1"/>
        <v>6</v>
      </c>
      <c r="B81" s="514"/>
      <c r="C81" s="278"/>
      <c r="D81" s="278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1"/>
        <v>7</v>
      </c>
      <c r="B82" s="514"/>
      <c r="C82" s="278"/>
      <c r="D82" s="278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6" thickBot="1">
      <c r="A83" s="506" t="s">
        <v>453</v>
      </c>
      <c r="B83" s="506"/>
      <c r="C83" s="506"/>
      <c r="D83" s="506"/>
      <c r="E83" s="50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7" t="s">
        <v>111</v>
      </c>
      <c r="B84" s="508"/>
      <c r="C84" s="534" t="s">
        <v>52</v>
      </c>
      <c r="D84" s="534"/>
      <c r="E84" s="534" t="s">
        <v>53</v>
      </c>
      <c r="F84" s="534"/>
      <c r="G84" s="534"/>
      <c r="H84" s="534"/>
      <c r="I84" s="534"/>
      <c r="J84" s="534"/>
      <c r="K84" s="534" t="s">
        <v>54</v>
      </c>
      <c r="L84" s="534"/>
      <c r="M84" s="534"/>
      <c r="N84" s="534"/>
      <c r="O84" s="534"/>
      <c r="P84" s="534"/>
      <c r="Q84" s="534"/>
      <c r="R84" s="534"/>
      <c r="S84" s="534"/>
      <c r="T84" s="534" t="s">
        <v>55</v>
      </c>
      <c r="U84" s="534"/>
      <c r="V84" s="534" t="s">
        <v>56</v>
      </c>
      <c r="W84" s="534"/>
      <c r="X84" s="534"/>
      <c r="Y84" s="534" t="s">
        <v>51</v>
      </c>
      <c r="Z84" s="534"/>
      <c r="AA84" s="534"/>
      <c r="AB84" s="534"/>
      <c r="AC84" s="534"/>
      <c r="AD84" s="535"/>
      <c r="AF84" s="50"/>
    </row>
    <row r="85" spans="1:32" ht="30.75" customHeight="1">
      <c r="A85" s="521">
        <v>1</v>
      </c>
      <c r="B85" s="522"/>
      <c r="C85" s="536">
        <v>9</v>
      </c>
      <c r="D85" s="536"/>
      <c r="E85" s="536" t="s">
        <v>136</v>
      </c>
      <c r="F85" s="536"/>
      <c r="G85" s="536"/>
      <c r="H85" s="536"/>
      <c r="I85" s="536"/>
      <c r="J85" s="536"/>
      <c r="K85" s="536" t="s">
        <v>161</v>
      </c>
      <c r="L85" s="536"/>
      <c r="M85" s="536"/>
      <c r="N85" s="536"/>
      <c r="O85" s="536"/>
      <c r="P85" s="536"/>
      <c r="Q85" s="536"/>
      <c r="R85" s="536"/>
      <c r="S85" s="536"/>
      <c r="T85" s="536" t="s">
        <v>137</v>
      </c>
      <c r="U85" s="536"/>
      <c r="V85" s="537" t="s">
        <v>152</v>
      </c>
      <c r="W85" s="537"/>
      <c r="X85" s="537"/>
      <c r="Y85" s="538"/>
      <c r="Z85" s="538"/>
      <c r="AA85" s="538"/>
      <c r="AB85" s="538"/>
      <c r="AC85" s="538"/>
      <c r="AD85" s="539"/>
      <c r="AF85" s="50"/>
    </row>
    <row r="86" spans="1:32" ht="30.75" customHeight="1">
      <c r="A86" s="513">
        <v>2</v>
      </c>
      <c r="B86" s="514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  <c r="P86" s="547"/>
      <c r="Q86" s="547"/>
      <c r="R86" s="547"/>
      <c r="S86" s="547"/>
      <c r="T86" s="548"/>
      <c r="U86" s="548"/>
      <c r="V86" s="549"/>
      <c r="W86" s="549"/>
      <c r="X86" s="549"/>
      <c r="Y86" s="540"/>
      <c r="Z86" s="540"/>
      <c r="AA86" s="540"/>
      <c r="AB86" s="540"/>
      <c r="AC86" s="540"/>
      <c r="AD86" s="541"/>
      <c r="AF86" s="50"/>
    </row>
    <row r="87" spans="1:32" ht="30.75" customHeight="1" thickBot="1">
      <c r="A87" s="542">
        <v>3</v>
      </c>
      <c r="B87" s="543"/>
      <c r="C87" s="544"/>
      <c r="D87" s="544"/>
      <c r="E87" s="544"/>
      <c r="F87" s="544"/>
      <c r="G87" s="544"/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5"/>
      <c r="Z87" s="545"/>
      <c r="AA87" s="545"/>
      <c r="AB87" s="545"/>
      <c r="AC87" s="545"/>
      <c r="AD87" s="546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B4D2-3435-4501-832D-EDCAB578E226}">
  <dimension ref="A1:AF87"/>
  <sheetViews>
    <sheetView view="pageBreakPreview" zoomScale="70" zoomScaleNormal="72" zoomScaleSheetLayoutView="70" workbookViewId="0">
      <selection activeCell="K70" sqref="K70:L7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454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291" t="s">
        <v>17</v>
      </c>
      <c r="L5" s="291" t="s">
        <v>18</v>
      </c>
      <c r="M5" s="291" t="s">
        <v>19</v>
      </c>
      <c r="N5" s="29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210</v>
      </c>
      <c r="D6" s="52" t="s">
        <v>158</v>
      </c>
      <c r="E6" s="53" t="s">
        <v>455</v>
      </c>
      <c r="F6" s="30" t="s">
        <v>358</v>
      </c>
      <c r="G6" s="12">
        <v>1</v>
      </c>
      <c r="H6" s="13">
        <v>24</v>
      </c>
      <c r="I6" s="31">
        <v>3500</v>
      </c>
      <c r="J6" s="14">
        <v>2910</v>
      </c>
      <c r="K6" s="15">
        <f>L6</f>
        <v>2910</v>
      </c>
      <c r="L6" s="15">
        <f>2910</f>
        <v>2910</v>
      </c>
      <c r="M6" s="15">
        <f t="shared" ref="M6:M21" si="0">L6-N6</f>
        <v>2910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14</v>
      </c>
      <c r="Q6" s="40">
        <f t="shared" ref="Q6:Q21" si="3">SUM(R6:AA6)</f>
        <v>10</v>
      </c>
      <c r="R6" s="7"/>
      <c r="S6" s="6">
        <v>10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0.58333333333333337</v>
      </c>
      <c r="AD6" s="10">
        <f t="shared" ref="AD6:AD21" si="6">AC6*AB6*(1-O6)</f>
        <v>0.58333333333333337</v>
      </c>
      <c r="AE6" s="36">
        <f t="shared" ref="AE6:AE21" si="7">$AD$22</f>
        <v>0.53125000000000011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208</v>
      </c>
      <c r="E7" s="53" t="s">
        <v>246</v>
      </c>
      <c r="F7" s="30" t="s">
        <v>247</v>
      </c>
      <c r="G7" s="12">
        <v>1</v>
      </c>
      <c r="H7" s="13">
        <v>24</v>
      </c>
      <c r="I7" s="31">
        <v>35000</v>
      </c>
      <c r="J7" s="14">
        <v>4796</v>
      </c>
      <c r="K7" s="15">
        <f>L7+5992</f>
        <v>10788</v>
      </c>
      <c r="L7" s="15">
        <f>3082+1714</f>
        <v>4796</v>
      </c>
      <c r="M7" s="15">
        <f t="shared" si="0"/>
        <v>4796</v>
      </c>
      <c r="N7" s="15">
        <v>0</v>
      </c>
      <c r="O7" s="58">
        <f t="shared" si="1"/>
        <v>0</v>
      </c>
      <c r="P7" s="39">
        <f t="shared" si="2"/>
        <v>19</v>
      </c>
      <c r="Q7" s="40">
        <f t="shared" si="3"/>
        <v>5</v>
      </c>
      <c r="R7" s="7"/>
      <c r="S7" s="6">
        <v>5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0.79166666666666663</v>
      </c>
      <c r="AD7" s="10">
        <f t="shared" si="6"/>
        <v>0.79166666666666663</v>
      </c>
      <c r="AE7" s="36">
        <f t="shared" si="7"/>
        <v>0.53125000000000011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280</v>
      </c>
      <c r="E8" s="53" t="s">
        <v>392</v>
      </c>
      <c r="F8" s="30" t="s">
        <v>404</v>
      </c>
      <c r="G8" s="12">
        <v>1</v>
      </c>
      <c r="H8" s="13">
        <v>24</v>
      </c>
      <c r="I8" s="7">
        <v>16000</v>
      </c>
      <c r="J8" s="5">
        <v>4063</v>
      </c>
      <c r="K8" s="15">
        <f>L8+3884+4187</f>
        <v>12134</v>
      </c>
      <c r="L8" s="15">
        <f>2978+1085</f>
        <v>4063</v>
      </c>
      <c r="M8" s="15">
        <f t="shared" si="0"/>
        <v>4063</v>
      </c>
      <c r="N8" s="15">
        <v>0</v>
      </c>
      <c r="O8" s="58">
        <f t="shared" si="1"/>
        <v>0</v>
      </c>
      <c r="P8" s="39">
        <f t="shared" si="2"/>
        <v>17</v>
      </c>
      <c r="Q8" s="40">
        <f t="shared" si="3"/>
        <v>7</v>
      </c>
      <c r="R8" s="7"/>
      <c r="S8" s="6">
        <v>7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0.70833333333333337</v>
      </c>
      <c r="AD8" s="10">
        <f t="shared" si="6"/>
        <v>0.70833333333333337</v>
      </c>
      <c r="AE8" s="36">
        <f t="shared" si="7"/>
        <v>0.53125000000000011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115</v>
      </c>
      <c r="E9" s="53" t="s">
        <v>276</v>
      </c>
      <c r="F9" s="30" t="s">
        <v>130</v>
      </c>
      <c r="G9" s="12">
        <v>1</v>
      </c>
      <c r="H9" s="13">
        <v>24</v>
      </c>
      <c r="I9" s="7">
        <v>40000</v>
      </c>
      <c r="J9" s="14">
        <v>9466</v>
      </c>
      <c r="K9" s="15">
        <f>L9+2382+6726+7524</f>
        <v>26098</v>
      </c>
      <c r="L9" s="15">
        <f>2553*2+2180*2</f>
        <v>9466</v>
      </c>
      <c r="M9" s="15">
        <f t="shared" si="0"/>
        <v>9466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7"/>
        <v>0.53125000000000011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210</v>
      </c>
      <c r="D10" s="52" t="s">
        <v>423</v>
      </c>
      <c r="E10" s="53" t="s">
        <v>415</v>
      </c>
      <c r="F10" s="30" t="s">
        <v>213</v>
      </c>
      <c r="G10" s="33">
        <v>1</v>
      </c>
      <c r="H10" s="35">
        <v>24</v>
      </c>
      <c r="I10" s="7">
        <v>2000</v>
      </c>
      <c r="J10" s="14">
        <v>2514</v>
      </c>
      <c r="K10" s="15">
        <f>L10+2514</f>
        <v>2514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0.53125000000000011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210</v>
      </c>
      <c r="D11" s="52" t="s">
        <v>448</v>
      </c>
      <c r="E11" s="53" t="s">
        <v>447</v>
      </c>
      <c r="F11" s="30" t="s">
        <v>128</v>
      </c>
      <c r="G11" s="33">
        <v>1</v>
      </c>
      <c r="H11" s="35">
        <v>24</v>
      </c>
      <c r="I11" s="7">
        <v>3500</v>
      </c>
      <c r="J11" s="14">
        <v>2301</v>
      </c>
      <c r="K11" s="15">
        <f>L11</f>
        <v>2301</v>
      </c>
      <c r="L11" s="15">
        <f>1115+1186</f>
        <v>2301</v>
      </c>
      <c r="M11" s="15">
        <f t="shared" si="0"/>
        <v>2301</v>
      </c>
      <c r="N11" s="15">
        <v>0</v>
      </c>
      <c r="O11" s="58">
        <f t="shared" si="1"/>
        <v>0</v>
      </c>
      <c r="P11" s="39">
        <f t="shared" si="2"/>
        <v>12</v>
      </c>
      <c r="Q11" s="40">
        <f t="shared" si="3"/>
        <v>12</v>
      </c>
      <c r="R11" s="7"/>
      <c r="S11" s="6">
        <v>12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0.5</v>
      </c>
      <c r="AD11" s="10">
        <f t="shared" si="6"/>
        <v>0.5</v>
      </c>
      <c r="AE11" s="36">
        <f t="shared" si="7"/>
        <v>0.53125000000000011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134</v>
      </c>
      <c r="F12" s="30" t="s">
        <v>135</v>
      </c>
      <c r="G12" s="12">
        <v>1</v>
      </c>
      <c r="H12" s="13">
        <v>22</v>
      </c>
      <c r="I12" s="31">
        <v>30000</v>
      </c>
      <c r="J12" s="5">
        <v>3099</v>
      </c>
      <c r="K12" s="15">
        <f>L12+3816+5458+5462+5155+5274+4446+4479</f>
        <v>37189</v>
      </c>
      <c r="L12" s="15">
        <f>3099</f>
        <v>3099</v>
      </c>
      <c r="M12" s="15">
        <f t="shared" si="0"/>
        <v>3099</v>
      </c>
      <c r="N12" s="15">
        <v>0</v>
      </c>
      <c r="O12" s="58">
        <f t="shared" si="1"/>
        <v>0</v>
      </c>
      <c r="P12" s="39">
        <f t="shared" si="2"/>
        <v>14</v>
      </c>
      <c r="Q12" s="40">
        <f t="shared" si="3"/>
        <v>10</v>
      </c>
      <c r="R12" s="7"/>
      <c r="S12" s="6">
        <v>10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0.58333333333333337</v>
      </c>
      <c r="AD12" s="10">
        <f t="shared" si="6"/>
        <v>0.58333333333333337</v>
      </c>
      <c r="AE12" s="36">
        <f t="shared" si="7"/>
        <v>0.53125000000000011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131</v>
      </c>
      <c r="E13" s="53" t="s">
        <v>368</v>
      </c>
      <c r="F13" s="30" t="s">
        <v>144</v>
      </c>
      <c r="G13" s="33">
        <v>1</v>
      </c>
      <c r="H13" s="35">
        <v>24</v>
      </c>
      <c r="I13" s="7">
        <v>35000</v>
      </c>
      <c r="J13" s="14">
        <v>5860</v>
      </c>
      <c r="K13" s="15">
        <f>L13+5836</f>
        <v>11696</v>
      </c>
      <c r="L13" s="15">
        <f>2965+2895</f>
        <v>5860</v>
      </c>
      <c r="M13" s="15">
        <f t="shared" si="0"/>
        <v>5860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0.53125000000000011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118</v>
      </c>
      <c r="D14" s="52" t="s">
        <v>115</v>
      </c>
      <c r="E14" s="53" t="s">
        <v>258</v>
      </c>
      <c r="F14" s="30" t="s">
        <v>145</v>
      </c>
      <c r="G14" s="33">
        <v>1</v>
      </c>
      <c r="H14" s="35">
        <v>50</v>
      </c>
      <c r="I14" s="7">
        <v>500</v>
      </c>
      <c r="J14" s="5">
        <v>711</v>
      </c>
      <c r="K14" s="15">
        <f>L14+711</f>
        <v>711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0.53125000000000011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0.53125000000000011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280</v>
      </c>
      <c r="E16" s="53" t="s">
        <v>369</v>
      </c>
      <c r="F16" s="30" t="s">
        <v>156</v>
      </c>
      <c r="G16" s="12">
        <v>1</v>
      </c>
      <c r="H16" s="13">
        <v>24</v>
      </c>
      <c r="I16" s="7">
        <v>40000</v>
      </c>
      <c r="J16" s="14">
        <v>10860</v>
      </c>
      <c r="K16" s="15">
        <f>L16+5663+2419+5960+11958</f>
        <v>36860</v>
      </c>
      <c r="L16" s="15">
        <f>2995*2+2435*2</f>
        <v>10860</v>
      </c>
      <c r="M16" s="15">
        <f t="shared" si="0"/>
        <v>10860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0.53125000000000011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210</v>
      </c>
      <c r="D17" s="52" t="s">
        <v>242</v>
      </c>
      <c r="E17" s="53" t="s">
        <v>440</v>
      </c>
      <c r="F17" s="30" t="s">
        <v>358</v>
      </c>
      <c r="G17" s="12">
        <v>2</v>
      </c>
      <c r="H17" s="13">
        <v>24</v>
      </c>
      <c r="I17" s="7">
        <v>7000</v>
      </c>
      <c r="J17" s="14">
        <v>7314</v>
      </c>
      <c r="K17" s="15">
        <f>L17+8300</f>
        <v>15614</v>
      </c>
      <c r="L17" s="15">
        <f>795*2+2862*2</f>
        <v>7314</v>
      </c>
      <c r="M17" s="15">
        <f t="shared" si="0"/>
        <v>7314</v>
      </c>
      <c r="N17" s="15">
        <v>0</v>
      </c>
      <c r="O17" s="58">
        <f t="shared" si="1"/>
        <v>0</v>
      </c>
      <c r="P17" s="39">
        <f t="shared" si="2"/>
        <v>16</v>
      </c>
      <c r="Q17" s="40">
        <f t="shared" si="3"/>
        <v>8</v>
      </c>
      <c r="R17" s="7"/>
      <c r="S17" s="6"/>
      <c r="T17" s="16"/>
      <c r="U17" s="16"/>
      <c r="V17" s="17"/>
      <c r="W17" s="5">
        <v>8</v>
      </c>
      <c r="X17" s="16"/>
      <c r="Y17" s="16"/>
      <c r="Z17" s="16"/>
      <c r="AA17" s="18"/>
      <c r="AB17" s="8">
        <f t="shared" si="4"/>
        <v>1</v>
      </c>
      <c r="AC17" s="9">
        <f t="shared" si="5"/>
        <v>0.66666666666666663</v>
      </c>
      <c r="AD17" s="10">
        <f t="shared" si="6"/>
        <v>0.66666666666666663</v>
      </c>
      <c r="AE17" s="36">
        <f t="shared" si="7"/>
        <v>0.53125000000000011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240</v>
      </c>
      <c r="F18" s="30" t="s">
        <v>144</v>
      </c>
      <c r="G18" s="33">
        <v>1</v>
      </c>
      <c r="H18" s="35">
        <v>24</v>
      </c>
      <c r="I18" s="7">
        <v>500</v>
      </c>
      <c r="J18" s="14">
        <v>500</v>
      </c>
      <c r="K18" s="15">
        <f>L18</f>
        <v>500</v>
      </c>
      <c r="L18" s="15">
        <v>500</v>
      </c>
      <c r="M18" s="15">
        <f t="shared" si="0"/>
        <v>500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6">
        <f t="shared" si="7"/>
        <v>0.53125000000000011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131</v>
      </c>
      <c r="E19" s="53" t="s">
        <v>416</v>
      </c>
      <c r="F19" s="30" t="s">
        <v>156</v>
      </c>
      <c r="G19" s="33">
        <v>1</v>
      </c>
      <c r="H19" s="35">
        <v>24</v>
      </c>
      <c r="I19" s="7">
        <v>16000</v>
      </c>
      <c r="J19" s="14">
        <v>3700</v>
      </c>
      <c r="K19" s="15">
        <f>L19+1568</f>
        <v>5268</v>
      </c>
      <c r="L19" s="15">
        <f>811+2889</f>
        <v>3700</v>
      </c>
      <c r="M19" s="15">
        <f t="shared" si="0"/>
        <v>3700</v>
      </c>
      <c r="N19" s="15">
        <v>0</v>
      </c>
      <c r="O19" s="58">
        <f t="shared" si="1"/>
        <v>0</v>
      </c>
      <c r="P19" s="39">
        <f t="shared" si="2"/>
        <v>16</v>
      </c>
      <c r="Q19" s="40">
        <f t="shared" si="3"/>
        <v>8</v>
      </c>
      <c r="R19" s="7"/>
      <c r="S19" s="6">
        <v>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0.66666666666666663</v>
      </c>
      <c r="AD19" s="10">
        <f t="shared" si="6"/>
        <v>0.66666666666666663</v>
      </c>
      <c r="AE19" s="36">
        <f t="shared" si="7"/>
        <v>0.53125000000000011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394</v>
      </c>
      <c r="F20" s="30" t="s">
        <v>311</v>
      </c>
      <c r="G20" s="12">
        <v>1</v>
      </c>
      <c r="H20" s="13">
        <v>24</v>
      </c>
      <c r="I20" s="7">
        <v>16000</v>
      </c>
      <c r="J20" s="14">
        <v>2480</v>
      </c>
      <c r="K20" s="15">
        <f>L20+2115</f>
        <v>4595</v>
      </c>
      <c r="L20" s="15">
        <f>2480</f>
        <v>2480</v>
      </c>
      <c r="M20" s="15">
        <f t="shared" si="0"/>
        <v>2480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>
        <v>14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 t="shared" si="6"/>
        <v>0.41666666666666669</v>
      </c>
      <c r="AE20" s="36">
        <f t="shared" si="7"/>
        <v>0.53125000000000011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32052</v>
      </c>
      <c r="K21" s="15">
        <f>L21+62008+65280+66156+31132+60100+67104+64940+66996+38324+18548+31820+33244</f>
        <v>637704</v>
      </c>
      <c r="L21" s="15">
        <f>8013*4</f>
        <v>32052</v>
      </c>
      <c r="M21" s="15">
        <f t="shared" si="0"/>
        <v>32052</v>
      </c>
      <c r="N21" s="15">
        <v>0</v>
      </c>
      <c r="O21" s="58">
        <f t="shared" si="1"/>
        <v>0</v>
      </c>
      <c r="P21" s="39">
        <f t="shared" si="2"/>
        <v>13</v>
      </c>
      <c r="Q21" s="40">
        <f t="shared" si="3"/>
        <v>11</v>
      </c>
      <c r="R21" s="7"/>
      <c r="S21" s="6"/>
      <c r="T21" s="16"/>
      <c r="U21" s="16"/>
      <c r="V21" s="17">
        <v>11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0.54166666666666663</v>
      </c>
      <c r="AD21" s="10">
        <f t="shared" si="6"/>
        <v>0.54166666666666663</v>
      </c>
      <c r="AE21" s="36">
        <f t="shared" si="7"/>
        <v>0.53125000000000011</v>
      </c>
      <c r="AF21" s="84">
        <f t="shared" si="8"/>
        <v>16</v>
      </c>
    </row>
    <row r="22" spans="1:32" ht="31.5" customHeight="1" thickBot="1">
      <c r="A22" s="443" t="s">
        <v>34</v>
      </c>
      <c r="B22" s="444"/>
      <c r="C22" s="444"/>
      <c r="D22" s="444"/>
      <c r="E22" s="444"/>
      <c r="F22" s="444"/>
      <c r="G22" s="444"/>
      <c r="H22" s="445"/>
      <c r="I22" s="22">
        <f t="shared" ref="I22:N22" si="9">SUM(I6:I21)</f>
        <v>1257000</v>
      </c>
      <c r="J22" s="19">
        <f t="shared" si="9"/>
        <v>104982</v>
      </c>
      <c r="K22" s="20">
        <f t="shared" si="9"/>
        <v>819238</v>
      </c>
      <c r="L22" s="21">
        <f t="shared" si="9"/>
        <v>89401</v>
      </c>
      <c r="M22" s="20">
        <f t="shared" si="9"/>
        <v>89401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204</v>
      </c>
      <c r="Q22" s="43">
        <f t="shared" si="10"/>
        <v>180</v>
      </c>
      <c r="R22" s="23">
        <f t="shared" si="10"/>
        <v>0</v>
      </c>
      <c r="S22" s="24">
        <f t="shared" si="10"/>
        <v>69</v>
      </c>
      <c r="T22" s="24">
        <f t="shared" si="10"/>
        <v>0</v>
      </c>
      <c r="U22" s="24">
        <f t="shared" si="10"/>
        <v>0</v>
      </c>
      <c r="V22" s="25">
        <f t="shared" si="10"/>
        <v>11</v>
      </c>
      <c r="W22" s="26">
        <f t="shared" si="10"/>
        <v>100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0.8125</v>
      </c>
      <c r="AC22" s="4">
        <f>AVERAGE(AC6:AC21)</f>
        <v>0.53125000000000011</v>
      </c>
      <c r="AD22" s="4">
        <f>AVERAGE(AD6:AD21)</f>
        <v>0.53125000000000011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6" t="s">
        <v>45</v>
      </c>
      <c r="B49" s="446"/>
      <c r="C49" s="446"/>
      <c r="D49" s="446"/>
      <c r="E49" s="446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7" t="s">
        <v>456</v>
      </c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9"/>
      <c r="N50" s="450" t="s">
        <v>462</v>
      </c>
      <c r="O50" s="451"/>
      <c r="P50" s="451"/>
      <c r="Q50" s="451"/>
      <c r="R50" s="451"/>
      <c r="S50" s="451"/>
      <c r="T50" s="451"/>
      <c r="U50" s="451"/>
      <c r="V50" s="451"/>
      <c r="W50" s="451"/>
      <c r="X50" s="451"/>
      <c r="Y50" s="451"/>
      <c r="Z50" s="451"/>
      <c r="AA50" s="451"/>
      <c r="AB50" s="451"/>
      <c r="AC50" s="451"/>
      <c r="AD50" s="452"/>
    </row>
    <row r="51" spans="1:32" ht="27" customHeight="1">
      <c r="A51" s="453" t="s">
        <v>2</v>
      </c>
      <c r="B51" s="454"/>
      <c r="C51" s="292" t="s">
        <v>46</v>
      </c>
      <c r="D51" s="292" t="s">
        <v>47</v>
      </c>
      <c r="E51" s="292" t="s">
        <v>107</v>
      </c>
      <c r="F51" s="455" t="s">
        <v>106</v>
      </c>
      <c r="G51" s="456"/>
      <c r="H51" s="456"/>
      <c r="I51" s="456"/>
      <c r="J51" s="456"/>
      <c r="K51" s="456"/>
      <c r="L51" s="456"/>
      <c r="M51" s="457"/>
      <c r="N51" s="67" t="s">
        <v>110</v>
      </c>
      <c r="O51" s="292" t="s">
        <v>46</v>
      </c>
      <c r="P51" s="455" t="s">
        <v>47</v>
      </c>
      <c r="Q51" s="458"/>
      <c r="R51" s="455" t="s">
        <v>38</v>
      </c>
      <c r="S51" s="456"/>
      <c r="T51" s="456"/>
      <c r="U51" s="458"/>
      <c r="V51" s="455" t="s">
        <v>48</v>
      </c>
      <c r="W51" s="456"/>
      <c r="X51" s="456"/>
      <c r="Y51" s="456"/>
      <c r="Z51" s="456"/>
      <c r="AA51" s="456"/>
      <c r="AB51" s="456"/>
      <c r="AC51" s="456"/>
      <c r="AD51" s="457"/>
    </row>
    <row r="52" spans="1:32" ht="27" customHeight="1">
      <c r="A52" s="469" t="s">
        <v>210</v>
      </c>
      <c r="B52" s="470"/>
      <c r="C52" s="294" t="s">
        <v>147</v>
      </c>
      <c r="D52" s="294" t="s">
        <v>158</v>
      </c>
      <c r="E52" s="294" t="s">
        <v>455</v>
      </c>
      <c r="F52" s="471" t="s">
        <v>132</v>
      </c>
      <c r="G52" s="472"/>
      <c r="H52" s="472"/>
      <c r="I52" s="472"/>
      <c r="J52" s="472"/>
      <c r="K52" s="472"/>
      <c r="L52" s="472"/>
      <c r="M52" s="473"/>
      <c r="N52" s="293" t="s">
        <v>118</v>
      </c>
      <c r="O52" s="300" t="s">
        <v>141</v>
      </c>
      <c r="P52" s="474" t="s">
        <v>115</v>
      </c>
      <c r="Q52" s="475"/>
      <c r="R52" s="474" t="s">
        <v>394</v>
      </c>
      <c r="S52" s="476"/>
      <c r="T52" s="476"/>
      <c r="U52" s="475"/>
      <c r="V52" s="477" t="s">
        <v>124</v>
      </c>
      <c r="W52" s="477"/>
      <c r="X52" s="477"/>
      <c r="Y52" s="477"/>
      <c r="Z52" s="477"/>
      <c r="AA52" s="477"/>
      <c r="AB52" s="477"/>
      <c r="AC52" s="477"/>
      <c r="AD52" s="478"/>
    </row>
    <row r="53" spans="1:32" ht="27" customHeight="1">
      <c r="A53" s="469" t="s">
        <v>118</v>
      </c>
      <c r="B53" s="470"/>
      <c r="C53" s="294" t="s">
        <v>292</v>
      </c>
      <c r="D53" s="294" t="s">
        <v>115</v>
      </c>
      <c r="E53" s="294" t="s">
        <v>276</v>
      </c>
      <c r="F53" s="471" t="s">
        <v>457</v>
      </c>
      <c r="G53" s="472"/>
      <c r="H53" s="472"/>
      <c r="I53" s="472"/>
      <c r="J53" s="472"/>
      <c r="K53" s="472"/>
      <c r="L53" s="472"/>
      <c r="M53" s="473"/>
      <c r="N53" s="293" t="s">
        <v>210</v>
      </c>
      <c r="O53" s="300" t="s">
        <v>372</v>
      </c>
      <c r="P53" s="474" t="s">
        <v>448</v>
      </c>
      <c r="Q53" s="475"/>
      <c r="R53" s="474" t="s">
        <v>447</v>
      </c>
      <c r="S53" s="476"/>
      <c r="T53" s="476"/>
      <c r="U53" s="475"/>
      <c r="V53" s="477" t="s">
        <v>124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 t="s">
        <v>118</v>
      </c>
      <c r="B54" s="470"/>
      <c r="C54" s="294" t="s">
        <v>139</v>
      </c>
      <c r="D54" s="294" t="s">
        <v>280</v>
      </c>
      <c r="E54" s="294" t="s">
        <v>392</v>
      </c>
      <c r="F54" s="471" t="s">
        <v>124</v>
      </c>
      <c r="G54" s="472"/>
      <c r="H54" s="472"/>
      <c r="I54" s="472"/>
      <c r="J54" s="472"/>
      <c r="K54" s="472"/>
      <c r="L54" s="472"/>
      <c r="M54" s="473"/>
      <c r="N54" s="293" t="s">
        <v>273</v>
      </c>
      <c r="O54" s="300" t="s">
        <v>191</v>
      </c>
      <c r="P54" s="474" t="s">
        <v>115</v>
      </c>
      <c r="Q54" s="475"/>
      <c r="R54" s="474" t="s">
        <v>272</v>
      </c>
      <c r="S54" s="476"/>
      <c r="T54" s="476"/>
      <c r="U54" s="475"/>
      <c r="V54" s="477" t="s">
        <v>124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87" t="s">
        <v>118</v>
      </c>
      <c r="B55" s="488"/>
      <c r="C55" s="297" t="s">
        <v>318</v>
      </c>
      <c r="D55" s="297" t="s">
        <v>184</v>
      </c>
      <c r="E55" s="294" t="s">
        <v>416</v>
      </c>
      <c r="F55" s="471" t="s">
        <v>363</v>
      </c>
      <c r="G55" s="472"/>
      <c r="H55" s="472"/>
      <c r="I55" s="472"/>
      <c r="J55" s="472"/>
      <c r="K55" s="472"/>
      <c r="L55" s="472"/>
      <c r="M55" s="473"/>
      <c r="N55" s="293"/>
      <c r="O55" s="300"/>
      <c r="P55" s="474"/>
      <c r="Q55" s="475"/>
      <c r="R55" s="474"/>
      <c r="S55" s="476"/>
      <c r="T55" s="476"/>
      <c r="U55" s="475"/>
      <c r="V55" s="477"/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112</v>
      </c>
      <c r="B56" s="470"/>
      <c r="C56" s="294" t="s">
        <v>191</v>
      </c>
      <c r="D56" s="294" t="s">
        <v>115</v>
      </c>
      <c r="E56" s="294" t="s">
        <v>240</v>
      </c>
      <c r="F56" s="471" t="s">
        <v>132</v>
      </c>
      <c r="G56" s="472"/>
      <c r="H56" s="472"/>
      <c r="I56" s="472"/>
      <c r="J56" s="472"/>
      <c r="K56" s="472"/>
      <c r="L56" s="472"/>
      <c r="M56" s="473"/>
      <c r="N56" s="293"/>
      <c r="O56" s="300"/>
      <c r="P56" s="474"/>
      <c r="Q56" s="475"/>
      <c r="R56" s="474"/>
      <c r="S56" s="476"/>
      <c r="T56" s="476"/>
      <c r="U56" s="475"/>
      <c r="V56" s="477"/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 t="s">
        <v>118</v>
      </c>
      <c r="B57" s="470"/>
      <c r="C57" s="294" t="s">
        <v>386</v>
      </c>
      <c r="D57" s="294" t="s">
        <v>115</v>
      </c>
      <c r="E57" s="294" t="s">
        <v>134</v>
      </c>
      <c r="F57" s="471" t="s">
        <v>458</v>
      </c>
      <c r="G57" s="472"/>
      <c r="H57" s="472"/>
      <c r="I57" s="472"/>
      <c r="J57" s="472"/>
      <c r="K57" s="472"/>
      <c r="L57" s="472"/>
      <c r="M57" s="473"/>
      <c r="N57" s="293"/>
      <c r="O57" s="300"/>
      <c r="P57" s="474"/>
      <c r="Q57" s="475"/>
      <c r="R57" s="474"/>
      <c r="S57" s="476"/>
      <c r="T57" s="476"/>
      <c r="U57" s="475"/>
      <c r="V57" s="477"/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 t="s">
        <v>118</v>
      </c>
      <c r="B58" s="470"/>
      <c r="C58" s="294" t="s">
        <v>141</v>
      </c>
      <c r="D58" s="294" t="s">
        <v>115</v>
      </c>
      <c r="E58" s="294" t="s">
        <v>394</v>
      </c>
      <c r="F58" s="471" t="s">
        <v>459</v>
      </c>
      <c r="G58" s="472"/>
      <c r="H58" s="472"/>
      <c r="I58" s="472"/>
      <c r="J58" s="472"/>
      <c r="K58" s="472"/>
      <c r="L58" s="472"/>
      <c r="M58" s="473"/>
      <c r="N58" s="293"/>
      <c r="O58" s="300"/>
      <c r="P58" s="474"/>
      <c r="Q58" s="475"/>
      <c r="R58" s="474"/>
      <c r="S58" s="476"/>
      <c r="T58" s="476"/>
      <c r="U58" s="475"/>
      <c r="V58" s="477"/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 t="s">
        <v>112</v>
      </c>
      <c r="B59" s="488"/>
      <c r="C59" s="297" t="s">
        <v>133</v>
      </c>
      <c r="D59" s="297" t="s">
        <v>208</v>
      </c>
      <c r="E59" s="294" t="s">
        <v>246</v>
      </c>
      <c r="F59" s="471" t="s">
        <v>460</v>
      </c>
      <c r="G59" s="472"/>
      <c r="H59" s="472"/>
      <c r="I59" s="472"/>
      <c r="J59" s="472"/>
      <c r="K59" s="472"/>
      <c r="L59" s="472"/>
      <c r="M59" s="473"/>
      <c r="N59" s="293"/>
      <c r="O59" s="300"/>
      <c r="P59" s="474"/>
      <c r="Q59" s="475"/>
      <c r="R59" s="474"/>
      <c r="S59" s="476"/>
      <c r="T59" s="476"/>
      <c r="U59" s="475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 t="s">
        <v>210</v>
      </c>
      <c r="B60" s="488"/>
      <c r="C60" s="297" t="s">
        <v>372</v>
      </c>
      <c r="D60" s="297" t="s">
        <v>448</v>
      </c>
      <c r="E60" s="294" t="s">
        <v>447</v>
      </c>
      <c r="F60" s="471" t="s">
        <v>461</v>
      </c>
      <c r="G60" s="472"/>
      <c r="H60" s="472"/>
      <c r="I60" s="472"/>
      <c r="J60" s="472"/>
      <c r="K60" s="472"/>
      <c r="L60" s="472"/>
      <c r="M60" s="473"/>
      <c r="N60" s="293"/>
      <c r="O60" s="300"/>
      <c r="P60" s="470"/>
      <c r="Q60" s="470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  <c r="AF60" s="84">
        <f>8*3000</f>
        <v>24000</v>
      </c>
    </row>
    <row r="61" spans="1:32" ht="27" customHeight="1" thickBot="1">
      <c r="A61" s="479"/>
      <c r="B61" s="480"/>
      <c r="C61" s="295"/>
      <c r="D61" s="296"/>
      <c r="E61" s="295"/>
      <c r="F61" s="481"/>
      <c r="G61" s="482"/>
      <c r="H61" s="482"/>
      <c r="I61" s="482"/>
      <c r="J61" s="482"/>
      <c r="K61" s="482"/>
      <c r="L61" s="482"/>
      <c r="M61" s="483"/>
      <c r="N61" s="111"/>
      <c r="O61" s="103"/>
      <c r="P61" s="484"/>
      <c r="Q61" s="484"/>
      <c r="R61" s="484"/>
      <c r="S61" s="484"/>
      <c r="T61" s="484"/>
      <c r="U61" s="484"/>
      <c r="V61" s="485"/>
      <c r="W61" s="485"/>
      <c r="X61" s="485"/>
      <c r="Y61" s="485"/>
      <c r="Z61" s="485"/>
      <c r="AA61" s="485"/>
      <c r="AB61" s="485"/>
      <c r="AC61" s="485"/>
      <c r="AD61" s="486"/>
      <c r="AF61" s="84">
        <f>16*3000</f>
        <v>48000</v>
      </c>
    </row>
    <row r="62" spans="1:32" ht="27.75" thickBot="1">
      <c r="A62" s="489" t="s">
        <v>463</v>
      </c>
      <c r="B62" s="489"/>
      <c r="C62" s="489"/>
      <c r="D62" s="489"/>
      <c r="E62" s="48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0" t="s">
        <v>111</v>
      </c>
      <c r="B63" s="491"/>
      <c r="C63" s="298" t="s">
        <v>2</v>
      </c>
      <c r="D63" s="298" t="s">
        <v>37</v>
      </c>
      <c r="E63" s="298" t="s">
        <v>3</v>
      </c>
      <c r="F63" s="491" t="s">
        <v>109</v>
      </c>
      <c r="G63" s="491"/>
      <c r="H63" s="491"/>
      <c r="I63" s="491"/>
      <c r="J63" s="491"/>
      <c r="K63" s="491" t="s">
        <v>39</v>
      </c>
      <c r="L63" s="491"/>
      <c r="M63" s="298" t="s">
        <v>40</v>
      </c>
      <c r="N63" s="491" t="s">
        <v>41</v>
      </c>
      <c r="O63" s="491"/>
      <c r="P63" s="492" t="s">
        <v>42</v>
      </c>
      <c r="Q63" s="493"/>
      <c r="R63" s="492" t="s">
        <v>43</v>
      </c>
      <c r="S63" s="494"/>
      <c r="T63" s="494"/>
      <c r="U63" s="494"/>
      <c r="V63" s="494"/>
      <c r="W63" s="494"/>
      <c r="X63" s="494"/>
      <c r="Y63" s="494"/>
      <c r="Z63" s="494"/>
      <c r="AA63" s="493"/>
      <c r="AB63" s="491" t="s">
        <v>44</v>
      </c>
      <c r="AC63" s="491"/>
      <c r="AD63" s="495"/>
      <c r="AF63" s="84">
        <f>SUM(AF60:AF62)</f>
        <v>96000</v>
      </c>
    </row>
    <row r="64" spans="1:32" ht="25.5" customHeight="1">
      <c r="A64" s="496">
        <v>1</v>
      </c>
      <c r="B64" s="497"/>
      <c r="C64" s="104" t="s">
        <v>118</v>
      </c>
      <c r="D64" s="302"/>
      <c r="E64" s="299" t="s">
        <v>142</v>
      </c>
      <c r="F64" s="498" t="s">
        <v>301</v>
      </c>
      <c r="G64" s="499"/>
      <c r="H64" s="499"/>
      <c r="I64" s="499"/>
      <c r="J64" s="500"/>
      <c r="K64" s="501">
        <v>8301</v>
      </c>
      <c r="L64" s="501"/>
      <c r="M64" s="51" t="s">
        <v>143</v>
      </c>
      <c r="N64" s="502" t="s">
        <v>147</v>
      </c>
      <c r="O64" s="502"/>
      <c r="P64" s="503">
        <v>50</v>
      </c>
      <c r="Q64" s="503"/>
      <c r="R64" s="477"/>
      <c r="S64" s="477"/>
      <c r="T64" s="477"/>
      <c r="U64" s="477"/>
      <c r="V64" s="477"/>
      <c r="W64" s="477"/>
      <c r="X64" s="477"/>
      <c r="Y64" s="477"/>
      <c r="Z64" s="477"/>
      <c r="AA64" s="477"/>
      <c r="AB64" s="501"/>
      <c r="AC64" s="501"/>
      <c r="AD64" s="504"/>
      <c r="AF64" s="50"/>
    </row>
    <row r="65" spans="1:32" ht="25.5" customHeight="1">
      <c r="A65" s="496">
        <v>2</v>
      </c>
      <c r="B65" s="497"/>
      <c r="C65" s="104"/>
      <c r="D65" s="302"/>
      <c r="E65" s="299"/>
      <c r="F65" s="498"/>
      <c r="G65" s="499"/>
      <c r="H65" s="499"/>
      <c r="I65" s="499"/>
      <c r="J65" s="500"/>
      <c r="K65" s="501"/>
      <c r="L65" s="501"/>
      <c r="M65" s="51"/>
      <c r="N65" s="502"/>
      <c r="O65" s="502"/>
      <c r="P65" s="503"/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3</v>
      </c>
      <c r="B66" s="497"/>
      <c r="C66" s="104"/>
      <c r="D66" s="302"/>
      <c r="E66" s="299"/>
      <c r="F66" s="498"/>
      <c r="G66" s="499"/>
      <c r="H66" s="499"/>
      <c r="I66" s="499"/>
      <c r="J66" s="500"/>
      <c r="K66" s="501"/>
      <c r="L66" s="501"/>
      <c r="M66" s="51"/>
      <c r="N66" s="502"/>
      <c r="O66" s="502"/>
      <c r="P66" s="503"/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4</v>
      </c>
      <c r="B67" s="497"/>
      <c r="C67" s="104"/>
      <c r="D67" s="302"/>
      <c r="E67" s="299"/>
      <c r="F67" s="498"/>
      <c r="G67" s="499"/>
      <c r="H67" s="499"/>
      <c r="I67" s="499"/>
      <c r="J67" s="500"/>
      <c r="K67" s="501"/>
      <c r="L67" s="501"/>
      <c r="M67" s="51"/>
      <c r="N67" s="502"/>
      <c r="O67" s="502"/>
      <c r="P67" s="503"/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5</v>
      </c>
      <c r="B68" s="497"/>
      <c r="C68" s="104"/>
      <c r="D68" s="302"/>
      <c r="E68" s="299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6</v>
      </c>
      <c r="B69" s="497"/>
      <c r="C69" s="104"/>
      <c r="D69" s="302"/>
      <c r="E69" s="299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7</v>
      </c>
      <c r="B70" s="497"/>
      <c r="C70" s="104"/>
      <c r="D70" s="302"/>
      <c r="E70" s="299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8</v>
      </c>
      <c r="B71" s="497"/>
      <c r="C71" s="104"/>
      <c r="D71" s="302"/>
      <c r="E71" s="299"/>
      <c r="F71" s="505"/>
      <c r="G71" s="501"/>
      <c r="H71" s="501"/>
      <c r="I71" s="501"/>
      <c r="J71" s="501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9</v>
      </c>
      <c r="B72" s="497"/>
      <c r="C72" s="104"/>
      <c r="D72" s="302"/>
      <c r="E72" s="299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10</v>
      </c>
      <c r="B73" s="497"/>
      <c r="C73" s="104"/>
      <c r="D73" s="302"/>
      <c r="E73" s="299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6.25" customHeight="1" thickBot="1">
      <c r="A74" s="506" t="s">
        <v>464</v>
      </c>
      <c r="B74" s="506"/>
      <c r="C74" s="506"/>
      <c r="D74" s="506"/>
      <c r="E74" s="50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7" t="s">
        <v>126</v>
      </c>
      <c r="B75" s="508"/>
      <c r="C75" s="301" t="s">
        <v>2</v>
      </c>
      <c r="D75" s="301" t="s">
        <v>37</v>
      </c>
      <c r="E75" s="301" t="s">
        <v>125</v>
      </c>
      <c r="F75" s="508" t="s">
        <v>38</v>
      </c>
      <c r="G75" s="508"/>
      <c r="H75" s="508"/>
      <c r="I75" s="508"/>
      <c r="J75" s="508"/>
      <c r="K75" s="509" t="s">
        <v>58</v>
      </c>
      <c r="L75" s="510"/>
      <c r="M75" s="510"/>
      <c r="N75" s="510"/>
      <c r="O75" s="510"/>
      <c r="P75" s="510"/>
      <c r="Q75" s="510"/>
      <c r="R75" s="510"/>
      <c r="S75" s="511"/>
      <c r="T75" s="508" t="s">
        <v>49</v>
      </c>
      <c r="U75" s="508"/>
      <c r="V75" s="509" t="s">
        <v>50</v>
      </c>
      <c r="W75" s="511"/>
      <c r="X75" s="510" t="s">
        <v>51</v>
      </c>
      <c r="Y75" s="510"/>
      <c r="Z75" s="510"/>
      <c r="AA75" s="510"/>
      <c r="AB75" s="510"/>
      <c r="AC75" s="510"/>
      <c r="AD75" s="512"/>
      <c r="AF75" s="50"/>
    </row>
    <row r="76" spans="1:32" ht="33.75" customHeight="1">
      <c r="A76" s="521">
        <v>1</v>
      </c>
      <c r="B76" s="522"/>
      <c r="C76" s="303" t="s">
        <v>112</v>
      </c>
      <c r="D76" s="303"/>
      <c r="E76" s="65" t="s">
        <v>117</v>
      </c>
      <c r="F76" s="523" t="s">
        <v>116</v>
      </c>
      <c r="G76" s="524"/>
      <c r="H76" s="524"/>
      <c r="I76" s="524"/>
      <c r="J76" s="525"/>
      <c r="K76" s="526" t="s">
        <v>119</v>
      </c>
      <c r="L76" s="527"/>
      <c r="M76" s="527"/>
      <c r="N76" s="527"/>
      <c r="O76" s="527"/>
      <c r="P76" s="527"/>
      <c r="Q76" s="527"/>
      <c r="R76" s="527"/>
      <c r="S76" s="528"/>
      <c r="T76" s="529">
        <v>44118</v>
      </c>
      <c r="U76" s="530"/>
      <c r="V76" s="531"/>
      <c r="W76" s="531"/>
      <c r="X76" s="532"/>
      <c r="Y76" s="532"/>
      <c r="Z76" s="532"/>
      <c r="AA76" s="532"/>
      <c r="AB76" s="532"/>
      <c r="AC76" s="532"/>
      <c r="AD76" s="533"/>
      <c r="AF76" s="50"/>
    </row>
    <row r="77" spans="1:32" ht="30" customHeight="1">
      <c r="A77" s="513">
        <f>A76+1</f>
        <v>2</v>
      </c>
      <c r="B77" s="514"/>
      <c r="C77" s="302"/>
      <c r="D77" s="302"/>
      <c r="E77" s="32"/>
      <c r="F77" s="514"/>
      <c r="G77" s="514"/>
      <c r="H77" s="514"/>
      <c r="I77" s="514"/>
      <c r="J77" s="514"/>
      <c r="K77" s="515"/>
      <c r="L77" s="516"/>
      <c r="M77" s="516"/>
      <c r="N77" s="516"/>
      <c r="O77" s="516"/>
      <c r="P77" s="516"/>
      <c r="Q77" s="516"/>
      <c r="R77" s="516"/>
      <c r="S77" s="517"/>
      <c r="T77" s="518"/>
      <c r="U77" s="518"/>
      <c r="V77" s="518"/>
      <c r="W77" s="518"/>
      <c r="X77" s="519"/>
      <c r="Y77" s="519"/>
      <c r="Z77" s="519"/>
      <c r="AA77" s="519"/>
      <c r="AB77" s="519"/>
      <c r="AC77" s="519"/>
      <c r="AD77" s="520"/>
      <c r="AF77" s="50"/>
    </row>
    <row r="78" spans="1:32" ht="30" customHeight="1">
      <c r="A78" s="513">
        <f t="shared" ref="A78:A82" si="11">A77+1</f>
        <v>3</v>
      </c>
      <c r="B78" s="514"/>
      <c r="C78" s="302"/>
      <c r="D78" s="302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si="11"/>
        <v>4</v>
      </c>
      <c r="B79" s="514"/>
      <c r="C79" s="302"/>
      <c r="D79" s="302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1"/>
        <v>5</v>
      </c>
      <c r="B80" s="514"/>
      <c r="C80" s="302"/>
      <c r="D80" s="302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1"/>
        <v>6</v>
      </c>
      <c r="B81" s="514"/>
      <c r="C81" s="302"/>
      <c r="D81" s="302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1"/>
        <v>7</v>
      </c>
      <c r="B82" s="514"/>
      <c r="C82" s="302"/>
      <c r="D82" s="302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6" thickBot="1">
      <c r="A83" s="506" t="s">
        <v>465</v>
      </c>
      <c r="B83" s="506"/>
      <c r="C83" s="506"/>
      <c r="D83" s="506"/>
      <c r="E83" s="50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7" t="s">
        <v>111</v>
      </c>
      <c r="B84" s="508"/>
      <c r="C84" s="534" t="s">
        <v>52</v>
      </c>
      <c r="D84" s="534"/>
      <c r="E84" s="534" t="s">
        <v>53</v>
      </c>
      <c r="F84" s="534"/>
      <c r="G84" s="534"/>
      <c r="H84" s="534"/>
      <c r="I84" s="534"/>
      <c r="J84" s="534"/>
      <c r="K84" s="534" t="s">
        <v>54</v>
      </c>
      <c r="L84" s="534"/>
      <c r="M84" s="534"/>
      <c r="N84" s="534"/>
      <c r="O84" s="534"/>
      <c r="P84" s="534"/>
      <c r="Q84" s="534"/>
      <c r="R84" s="534"/>
      <c r="S84" s="534"/>
      <c r="T84" s="534" t="s">
        <v>55</v>
      </c>
      <c r="U84" s="534"/>
      <c r="V84" s="534" t="s">
        <v>56</v>
      </c>
      <c r="W84" s="534"/>
      <c r="X84" s="534"/>
      <c r="Y84" s="534" t="s">
        <v>51</v>
      </c>
      <c r="Z84" s="534"/>
      <c r="AA84" s="534"/>
      <c r="AB84" s="534"/>
      <c r="AC84" s="534"/>
      <c r="AD84" s="535"/>
      <c r="AF84" s="50"/>
    </row>
    <row r="85" spans="1:32" ht="30.75" customHeight="1">
      <c r="A85" s="521">
        <v>1</v>
      </c>
      <c r="B85" s="522"/>
      <c r="C85" s="536">
        <v>9</v>
      </c>
      <c r="D85" s="536"/>
      <c r="E85" s="536" t="s">
        <v>136</v>
      </c>
      <c r="F85" s="536"/>
      <c r="G85" s="536"/>
      <c r="H85" s="536"/>
      <c r="I85" s="536"/>
      <c r="J85" s="536"/>
      <c r="K85" s="536" t="s">
        <v>161</v>
      </c>
      <c r="L85" s="536"/>
      <c r="M85" s="536"/>
      <c r="N85" s="536"/>
      <c r="O85" s="536"/>
      <c r="P85" s="536"/>
      <c r="Q85" s="536"/>
      <c r="R85" s="536"/>
      <c r="S85" s="536"/>
      <c r="T85" s="536" t="s">
        <v>137</v>
      </c>
      <c r="U85" s="536"/>
      <c r="V85" s="537" t="s">
        <v>152</v>
      </c>
      <c r="W85" s="537"/>
      <c r="X85" s="537"/>
      <c r="Y85" s="538"/>
      <c r="Z85" s="538"/>
      <c r="AA85" s="538"/>
      <c r="AB85" s="538"/>
      <c r="AC85" s="538"/>
      <c r="AD85" s="539"/>
      <c r="AF85" s="50"/>
    </row>
    <row r="86" spans="1:32" ht="30.75" customHeight="1">
      <c r="A86" s="513">
        <v>2</v>
      </c>
      <c r="B86" s="514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  <c r="P86" s="547"/>
      <c r="Q86" s="547"/>
      <c r="R86" s="547"/>
      <c r="S86" s="547"/>
      <c r="T86" s="548"/>
      <c r="U86" s="548"/>
      <c r="V86" s="549"/>
      <c r="W86" s="549"/>
      <c r="X86" s="549"/>
      <c r="Y86" s="540"/>
      <c r="Z86" s="540"/>
      <c r="AA86" s="540"/>
      <c r="AB86" s="540"/>
      <c r="AC86" s="540"/>
      <c r="AD86" s="541"/>
      <c r="AF86" s="50"/>
    </row>
    <row r="87" spans="1:32" ht="30.75" customHeight="1" thickBot="1">
      <c r="A87" s="542">
        <v>3</v>
      </c>
      <c r="B87" s="543"/>
      <c r="C87" s="544"/>
      <c r="D87" s="544"/>
      <c r="E87" s="544"/>
      <c r="F87" s="544"/>
      <c r="G87" s="544"/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5"/>
      <c r="Z87" s="545"/>
      <c r="AA87" s="545"/>
      <c r="AB87" s="545"/>
      <c r="AC87" s="545"/>
      <c r="AD87" s="546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E3AF-FF1B-4E2E-A44C-1E693872FE24}">
  <dimension ref="A1:AF87"/>
  <sheetViews>
    <sheetView view="pageBreakPreview" topLeftCell="A25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466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316" t="s">
        <v>17</v>
      </c>
      <c r="L5" s="316" t="s">
        <v>18</v>
      </c>
      <c r="M5" s="316" t="s">
        <v>19</v>
      </c>
      <c r="N5" s="31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210</v>
      </c>
      <c r="D6" s="52" t="s">
        <v>158</v>
      </c>
      <c r="E6" s="53" t="s">
        <v>455</v>
      </c>
      <c r="F6" s="30" t="s">
        <v>358</v>
      </c>
      <c r="G6" s="12">
        <v>1</v>
      </c>
      <c r="H6" s="13">
        <v>24</v>
      </c>
      <c r="I6" s="31">
        <v>3500</v>
      </c>
      <c r="J6" s="14">
        <v>5618</v>
      </c>
      <c r="K6" s="15">
        <f>L6+2910</f>
        <v>8528</v>
      </c>
      <c r="L6" s="15">
        <f>2577+3041</f>
        <v>5618</v>
      </c>
      <c r="M6" s="15">
        <f t="shared" ref="M6:M21" si="0">L6-N6</f>
        <v>5618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0.625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208</v>
      </c>
      <c r="E7" s="53" t="s">
        <v>246</v>
      </c>
      <c r="F7" s="30" t="s">
        <v>247</v>
      </c>
      <c r="G7" s="12">
        <v>1</v>
      </c>
      <c r="H7" s="13">
        <v>24</v>
      </c>
      <c r="I7" s="31">
        <v>35000</v>
      </c>
      <c r="J7" s="14">
        <v>6025</v>
      </c>
      <c r="K7" s="15">
        <f>L7+5992+4796</f>
        <v>16813</v>
      </c>
      <c r="L7" s="15">
        <f>3048+2977</f>
        <v>6025</v>
      </c>
      <c r="M7" s="15">
        <f t="shared" si="0"/>
        <v>6025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0.625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280</v>
      </c>
      <c r="E8" s="53" t="s">
        <v>392</v>
      </c>
      <c r="F8" s="30" t="s">
        <v>404</v>
      </c>
      <c r="G8" s="12">
        <v>1</v>
      </c>
      <c r="H8" s="13">
        <v>24</v>
      </c>
      <c r="I8" s="7">
        <v>16000</v>
      </c>
      <c r="J8" s="5">
        <v>5773</v>
      </c>
      <c r="K8" s="15">
        <f>L8+3884+4187+4063</f>
        <v>17907</v>
      </c>
      <c r="L8" s="15">
        <f>2886+2887</f>
        <v>5773</v>
      </c>
      <c r="M8" s="15">
        <f t="shared" si="0"/>
        <v>5773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0.625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115</v>
      </c>
      <c r="E9" s="53" t="s">
        <v>276</v>
      </c>
      <c r="F9" s="30" t="s">
        <v>130</v>
      </c>
      <c r="G9" s="12">
        <v>1</v>
      </c>
      <c r="H9" s="13">
        <v>24</v>
      </c>
      <c r="I9" s="7">
        <v>40000</v>
      </c>
      <c r="J9" s="14">
        <v>7966</v>
      </c>
      <c r="K9" s="15">
        <f>L9+2382+6726+7524+9466</f>
        <v>34064</v>
      </c>
      <c r="L9" s="15">
        <f>2497*2+1486*2</f>
        <v>7966</v>
      </c>
      <c r="M9" s="15">
        <f t="shared" si="0"/>
        <v>7966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6"/>
        <v>0.83333333333333337</v>
      </c>
      <c r="AE9" s="36">
        <f t="shared" si="7"/>
        <v>0.625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210</v>
      </c>
      <c r="D10" s="52" t="s">
        <v>423</v>
      </c>
      <c r="E10" s="53" t="s">
        <v>415</v>
      </c>
      <c r="F10" s="30" t="s">
        <v>213</v>
      </c>
      <c r="G10" s="33">
        <v>1</v>
      </c>
      <c r="H10" s="35">
        <v>24</v>
      </c>
      <c r="I10" s="7">
        <v>2000</v>
      </c>
      <c r="J10" s="14">
        <v>2514</v>
      </c>
      <c r="K10" s="15">
        <f>L10+2514</f>
        <v>2514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0.625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210</v>
      </c>
      <c r="D11" s="52" t="s">
        <v>448</v>
      </c>
      <c r="E11" s="53" t="s">
        <v>447</v>
      </c>
      <c r="F11" s="30" t="s">
        <v>128</v>
      </c>
      <c r="G11" s="33">
        <v>1</v>
      </c>
      <c r="H11" s="35">
        <v>24</v>
      </c>
      <c r="I11" s="7">
        <v>3500</v>
      </c>
      <c r="J11" s="14">
        <v>2243</v>
      </c>
      <c r="K11" s="15">
        <f>L11+2301</f>
        <v>4544</v>
      </c>
      <c r="L11" s="15">
        <f>1422+821</f>
        <v>2243</v>
      </c>
      <c r="M11" s="15">
        <f t="shared" si="0"/>
        <v>2243</v>
      </c>
      <c r="N11" s="15">
        <v>0</v>
      </c>
      <c r="O11" s="58">
        <f t="shared" si="1"/>
        <v>0</v>
      </c>
      <c r="P11" s="39">
        <f t="shared" si="2"/>
        <v>11</v>
      </c>
      <c r="Q11" s="40">
        <f t="shared" si="3"/>
        <v>13</v>
      </c>
      <c r="R11" s="7"/>
      <c r="S11" s="6">
        <v>13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0.45833333333333331</v>
      </c>
      <c r="AD11" s="10">
        <f t="shared" si="6"/>
        <v>0.45833333333333331</v>
      </c>
      <c r="AE11" s="36">
        <f t="shared" si="7"/>
        <v>0.625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134</v>
      </c>
      <c r="F12" s="30" t="s">
        <v>135</v>
      </c>
      <c r="G12" s="12">
        <v>1</v>
      </c>
      <c r="H12" s="13">
        <v>22</v>
      </c>
      <c r="I12" s="31">
        <v>30000</v>
      </c>
      <c r="J12" s="5">
        <v>5465</v>
      </c>
      <c r="K12" s="15">
        <f>L12+3816+5458+5462+5155+5274+4446+4479+3099</f>
        <v>42654</v>
      </c>
      <c r="L12" s="15">
        <f>2761+2704</f>
        <v>5465</v>
      </c>
      <c r="M12" s="15">
        <f t="shared" si="0"/>
        <v>5465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0.625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131</v>
      </c>
      <c r="E13" s="53" t="s">
        <v>368</v>
      </c>
      <c r="F13" s="30" t="s">
        <v>144</v>
      </c>
      <c r="G13" s="33">
        <v>1</v>
      </c>
      <c r="H13" s="35">
        <v>24</v>
      </c>
      <c r="I13" s="7">
        <v>35000</v>
      </c>
      <c r="J13" s="14">
        <v>5835</v>
      </c>
      <c r="K13" s="15">
        <f>L13+5836+5860</f>
        <v>17531</v>
      </c>
      <c r="L13" s="15">
        <f>2952+2883</f>
        <v>5835</v>
      </c>
      <c r="M13" s="15">
        <f t="shared" si="0"/>
        <v>5835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0.625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118</v>
      </c>
      <c r="D14" s="52" t="s">
        <v>115</v>
      </c>
      <c r="E14" s="53" t="s">
        <v>258</v>
      </c>
      <c r="F14" s="30" t="s">
        <v>145</v>
      </c>
      <c r="G14" s="33">
        <v>1</v>
      </c>
      <c r="H14" s="35">
        <v>50</v>
      </c>
      <c r="I14" s="7">
        <v>500</v>
      </c>
      <c r="J14" s="5">
        <v>711</v>
      </c>
      <c r="K14" s="15">
        <f>L14+711</f>
        <v>711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0.625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0.625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280</v>
      </c>
      <c r="E16" s="53" t="s">
        <v>369</v>
      </c>
      <c r="F16" s="30" t="s">
        <v>156</v>
      </c>
      <c r="G16" s="12">
        <v>1</v>
      </c>
      <c r="H16" s="13">
        <v>24</v>
      </c>
      <c r="I16" s="7">
        <v>40000</v>
      </c>
      <c r="J16" s="14">
        <v>11844</v>
      </c>
      <c r="K16" s="15">
        <f>L16+5663+2419+5960+11958+10860</f>
        <v>48704</v>
      </c>
      <c r="L16" s="15">
        <f>2995*2+2927*2</f>
        <v>11844</v>
      </c>
      <c r="M16" s="15">
        <f t="shared" si="0"/>
        <v>11844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0.625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210</v>
      </c>
      <c r="D17" s="52" t="s">
        <v>242</v>
      </c>
      <c r="E17" s="53" t="s">
        <v>440</v>
      </c>
      <c r="F17" s="30" t="s">
        <v>358</v>
      </c>
      <c r="G17" s="12">
        <v>2</v>
      </c>
      <c r="H17" s="13">
        <v>24</v>
      </c>
      <c r="I17" s="7">
        <v>7000</v>
      </c>
      <c r="J17" s="14">
        <v>7314</v>
      </c>
      <c r="K17" s="15">
        <f>L17+8300+7314</f>
        <v>15614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0.625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273</v>
      </c>
      <c r="D18" s="52" t="s">
        <v>115</v>
      </c>
      <c r="E18" s="53" t="s">
        <v>272</v>
      </c>
      <c r="F18" s="30" t="s">
        <v>286</v>
      </c>
      <c r="G18" s="33">
        <v>1</v>
      </c>
      <c r="H18" s="35">
        <v>24</v>
      </c>
      <c r="I18" s="7">
        <v>11000</v>
      </c>
      <c r="J18" s="14">
        <v>6503</v>
      </c>
      <c r="K18" s="15">
        <f>L18</f>
        <v>6503</v>
      </c>
      <c r="L18" s="15">
        <f>3135+3368</f>
        <v>6503</v>
      </c>
      <c r="M18" s="15">
        <f t="shared" si="0"/>
        <v>6503</v>
      </c>
      <c r="N18" s="15">
        <v>0</v>
      </c>
      <c r="O18" s="58">
        <f t="shared" si="1"/>
        <v>0</v>
      </c>
      <c r="P18" s="39">
        <f t="shared" si="2"/>
        <v>22</v>
      </c>
      <c r="Q18" s="40">
        <f t="shared" si="3"/>
        <v>2</v>
      </c>
      <c r="R18" s="7"/>
      <c r="S18" s="6"/>
      <c r="T18" s="16">
        <v>2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0.91666666666666663</v>
      </c>
      <c r="AD18" s="10">
        <f t="shared" si="6"/>
        <v>0.91666666666666663</v>
      </c>
      <c r="AE18" s="36">
        <f t="shared" si="7"/>
        <v>0.625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131</v>
      </c>
      <c r="E19" s="53" t="s">
        <v>416</v>
      </c>
      <c r="F19" s="30" t="s">
        <v>156</v>
      </c>
      <c r="G19" s="33">
        <v>1</v>
      </c>
      <c r="H19" s="35">
        <v>24</v>
      </c>
      <c r="I19" s="7">
        <v>16000</v>
      </c>
      <c r="J19" s="14">
        <v>4581</v>
      </c>
      <c r="K19" s="15">
        <f>L19+1568+3700</f>
        <v>9849</v>
      </c>
      <c r="L19" s="15">
        <f>2716+1865</f>
        <v>4581</v>
      </c>
      <c r="M19" s="15">
        <f t="shared" si="0"/>
        <v>4581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6">
        <f t="shared" si="7"/>
        <v>0.625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394</v>
      </c>
      <c r="F20" s="30" t="s">
        <v>311</v>
      </c>
      <c r="G20" s="12">
        <v>1</v>
      </c>
      <c r="H20" s="13">
        <v>24</v>
      </c>
      <c r="I20" s="7">
        <v>16000</v>
      </c>
      <c r="J20" s="14">
        <v>2319</v>
      </c>
      <c r="K20" s="15">
        <f>L20+2115+2480</f>
        <v>6914</v>
      </c>
      <c r="L20" s="15">
        <f>1997+322</f>
        <v>2319</v>
      </c>
      <c r="M20" s="15">
        <f t="shared" si="0"/>
        <v>2319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>
        <v>14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 t="shared" si="6"/>
        <v>0.41666666666666669</v>
      </c>
      <c r="AE20" s="36">
        <f t="shared" si="7"/>
        <v>0.625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33372</v>
      </c>
      <c r="K21" s="15">
        <f>L21+62008+65280+66156+31132+60100+67104+64940+66996+38324+18548+31820+33244+32052</f>
        <v>671076</v>
      </c>
      <c r="L21" s="15">
        <f>8343*4</f>
        <v>33372</v>
      </c>
      <c r="M21" s="15">
        <f t="shared" si="0"/>
        <v>33372</v>
      </c>
      <c r="N21" s="15">
        <v>0</v>
      </c>
      <c r="O21" s="58">
        <f t="shared" si="1"/>
        <v>0</v>
      </c>
      <c r="P21" s="39">
        <f t="shared" si="2"/>
        <v>13</v>
      </c>
      <c r="Q21" s="40">
        <f t="shared" si="3"/>
        <v>11</v>
      </c>
      <c r="R21" s="7"/>
      <c r="S21" s="6"/>
      <c r="T21" s="16"/>
      <c r="U21" s="16"/>
      <c r="V21" s="17">
        <v>11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0.54166666666666663</v>
      </c>
      <c r="AD21" s="10">
        <f t="shared" si="6"/>
        <v>0.54166666666666663</v>
      </c>
      <c r="AE21" s="36">
        <f t="shared" si="7"/>
        <v>0.625</v>
      </c>
      <c r="AF21" s="84">
        <f t="shared" si="8"/>
        <v>16</v>
      </c>
    </row>
    <row r="22" spans="1:32" ht="31.5" customHeight="1" thickBot="1">
      <c r="A22" s="443" t="s">
        <v>34</v>
      </c>
      <c r="B22" s="444"/>
      <c r="C22" s="444"/>
      <c r="D22" s="444"/>
      <c r="E22" s="444"/>
      <c r="F22" s="444"/>
      <c r="G22" s="444"/>
      <c r="H22" s="445"/>
      <c r="I22" s="22">
        <f t="shared" ref="I22:N22" si="9">SUM(I6:I21)</f>
        <v>1267500</v>
      </c>
      <c r="J22" s="19">
        <f t="shared" si="9"/>
        <v>120439</v>
      </c>
      <c r="K22" s="20">
        <f t="shared" si="9"/>
        <v>916282</v>
      </c>
      <c r="L22" s="21">
        <f t="shared" si="9"/>
        <v>97544</v>
      </c>
      <c r="M22" s="20">
        <f t="shared" si="9"/>
        <v>97544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240</v>
      </c>
      <c r="Q22" s="43">
        <f t="shared" si="10"/>
        <v>144</v>
      </c>
      <c r="R22" s="23">
        <f t="shared" si="10"/>
        <v>0</v>
      </c>
      <c r="S22" s="24">
        <f t="shared" si="10"/>
        <v>35</v>
      </c>
      <c r="T22" s="24">
        <f t="shared" si="10"/>
        <v>2</v>
      </c>
      <c r="U22" s="24">
        <f t="shared" si="10"/>
        <v>0</v>
      </c>
      <c r="V22" s="25">
        <f t="shared" si="10"/>
        <v>11</v>
      </c>
      <c r="W22" s="26">
        <f t="shared" si="10"/>
        <v>96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0.75</v>
      </c>
      <c r="AC22" s="4">
        <f>AVERAGE(AC6:AC21)</f>
        <v>0.625</v>
      </c>
      <c r="AD22" s="4">
        <f>AVERAGE(AD6:AD21)</f>
        <v>0.625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6" t="s">
        <v>45</v>
      </c>
      <c r="B49" s="446"/>
      <c r="C49" s="446"/>
      <c r="D49" s="446"/>
      <c r="E49" s="446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7" t="s">
        <v>467</v>
      </c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9"/>
      <c r="N50" s="450" t="s">
        <v>473</v>
      </c>
      <c r="O50" s="451"/>
      <c r="P50" s="451"/>
      <c r="Q50" s="451"/>
      <c r="R50" s="451"/>
      <c r="S50" s="451"/>
      <c r="T50" s="451"/>
      <c r="U50" s="451"/>
      <c r="V50" s="451"/>
      <c r="W50" s="451"/>
      <c r="X50" s="451"/>
      <c r="Y50" s="451"/>
      <c r="Z50" s="451"/>
      <c r="AA50" s="451"/>
      <c r="AB50" s="451"/>
      <c r="AC50" s="451"/>
      <c r="AD50" s="452"/>
    </row>
    <row r="51" spans="1:32" ht="27" customHeight="1">
      <c r="A51" s="453" t="s">
        <v>2</v>
      </c>
      <c r="B51" s="454"/>
      <c r="C51" s="315" t="s">
        <v>46</v>
      </c>
      <c r="D51" s="315" t="s">
        <v>47</v>
      </c>
      <c r="E51" s="315" t="s">
        <v>107</v>
      </c>
      <c r="F51" s="455" t="s">
        <v>106</v>
      </c>
      <c r="G51" s="456"/>
      <c r="H51" s="456"/>
      <c r="I51" s="456"/>
      <c r="J51" s="456"/>
      <c r="K51" s="456"/>
      <c r="L51" s="456"/>
      <c r="M51" s="457"/>
      <c r="N51" s="67" t="s">
        <v>110</v>
      </c>
      <c r="O51" s="315" t="s">
        <v>46</v>
      </c>
      <c r="P51" s="455" t="s">
        <v>47</v>
      </c>
      <c r="Q51" s="458"/>
      <c r="R51" s="455" t="s">
        <v>38</v>
      </c>
      <c r="S51" s="456"/>
      <c r="T51" s="456"/>
      <c r="U51" s="458"/>
      <c r="V51" s="455" t="s">
        <v>48</v>
      </c>
      <c r="W51" s="456"/>
      <c r="X51" s="456"/>
      <c r="Y51" s="456"/>
      <c r="Z51" s="456"/>
      <c r="AA51" s="456"/>
      <c r="AB51" s="456"/>
      <c r="AC51" s="456"/>
      <c r="AD51" s="457"/>
    </row>
    <row r="52" spans="1:32" ht="27" customHeight="1">
      <c r="A52" s="469" t="s">
        <v>112</v>
      </c>
      <c r="B52" s="470"/>
      <c r="C52" s="311" t="s">
        <v>147</v>
      </c>
      <c r="D52" s="311" t="s">
        <v>468</v>
      </c>
      <c r="E52" s="311" t="s">
        <v>270</v>
      </c>
      <c r="F52" s="471" t="s">
        <v>132</v>
      </c>
      <c r="G52" s="472"/>
      <c r="H52" s="472"/>
      <c r="I52" s="472"/>
      <c r="J52" s="472"/>
      <c r="K52" s="472"/>
      <c r="L52" s="472"/>
      <c r="M52" s="473"/>
      <c r="N52" s="314" t="s">
        <v>118</v>
      </c>
      <c r="O52" s="308" t="s">
        <v>141</v>
      </c>
      <c r="P52" s="474" t="s">
        <v>115</v>
      </c>
      <c r="Q52" s="475"/>
      <c r="R52" s="474" t="s">
        <v>394</v>
      </c>
      <c r="S52" s="476"/>
      <c r="T52" s="476"/>
      <c r="U52" s="475"/>
      <c r="V52" s="477" t="s">
        <v>124</v>
      </c>
      <c r="W52" s="477"/>
      <c r="X52" s="477"/>
      <c r="Y52" s="477"/>
      <c r="Z52" s="477"/>
      <c r="AA52" s="477"/>
      <c r="AB52" s="477"/>
      <c r="AC52" s="477"/>
      <c r="AD52" s="478"/>
    </row>
    <row r="53" spans="1:32" ht="27" customHeight="1">
      <c r="A53" s="487" t="s">
        <v>210</v>
      </c>
      <c r="B53" s="488"/>
      <c r="C53" s="310" t="s">
        <v>372</v>
      </c>
      <c r="D53" s="310" t="s">
        <v>448</v>
      </c>
      <c r="E53" s="311" t="s">
        <v>447</v>
      </c>
      <c r="F53" s="471" t="s">
        <v>471</v>
      </c>
      <c r="G53" s="472"/>
      <c r="H53" s="472"/>
      <c r="I53" s="472"/>
      <c r="J53" s="472"/>
      <c r="K53" s="472"/>
      <c r="L53" s="472"/>
      <c r="M53" s="473"/>
      <c r="N53" s="314" t="s">
        <v>210</v>
      </c>
      <c r="O53" s="308" t="s">
        <v>372</v>
      </c>
      <c r="P53" s="474" t="s">
        <v>448</v>
      </c>
      <c r="Q53" s="475"/>
      <c r="R53" s="474" t="s">
        <v>447</v>
      </c>
      <c r="S53" s="476"/>
      <c r="T53" s="476"/>
      <c r="U53" s="475"/>
      <c r="V53" s="477" t="s">
        <v>124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 t="s">
        <v>118</v>
      </c>
      <c r="B54" s="470"/>
      <c r="C54" s="311" t="s">
        <v>141</v>
      </c>
      <c r="D54" s="311" t="s">
        <v>115</v>
      </c>
      <c r="E54" s="311" t="s">
        <v>394</v>
      </c>
      <c r="F54" s="471" t="s">
        <v>470</v>
      </c>
      <c r="G54" s="472"/>
      <c r="H54" s="472"/>
      <c r="I54" s="472"/>
      <c r="J54" s="472"/>
      <c r="K54" s="472"/>
      <c r="L54" s="472"/>
      <c r="M54" s="473"/>
      <c r="N54" s="314" t="s">
        <v>112</v>
      </c>
      <c r="O54" s="308" t="s">
        <v>257</v>
      </c>
      <c r="P54" s="474" t="s">
        <v>115</v>
      </c>
      <c r="Q54" s="475"/>
      <c r="R54" s="474" t="s">
        <v>474</v>
      </c>
      <c r="S54" s="476"/>
      <c r="T54" s="476"/>
      <c r="U54" s="475"/>
      <c r="V54" s="477" t="s">
        <v>132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87" t="s">
        <v>273</v>
      </c>
      <c r="B55" s="488"/>
      <c r="C55" s="310" t="s">
        <v>191</v>
      </c>
      <c r="D55" s="310" t="s">
        <v>115</v>
      </c>
      <c r="E55" s="311" t="s">
        <v>272</v>
      </c>
      <c r="F55" s="471" t="s">
        <v>124</v>
      </c>
      <c r="G55" s="472"/>
      <c r="H55" s="472"/>
      <c r="I55" s="472"/>
      <c r="J55" s="472"/>
      <c r="K55" s="472"/>
      <c r="L55" s="472"/>
      <c r="M55" s="473"/>
      <c r="N55" s="314" t="s">
        <v>118</v>
      </c>
      <c r="O55" s="308" t="s">
        <v>139</v>
      </c>
      <c r="P55" s="474" t="s">
        <v>280</v>
      </c>
      <c r="Q55" s="475"/>
      <c r="R55" s="474" t="s">
        <v>392</v>
      </c>
      <c r="S55" s="476"/>
      <c r="T55" s="476"/>
      <c r="U55" s="475"/>
      <c r="V55" s="477" t="s">
        <v>469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118</v>
      </c>
      <c r="B56" s="470"/>
      <c r="C56" s="311" t="s">
        <v>292</v>
      </c>
      <c r="D56" s="311" t="s">
        <v>115</v>
      </c>
      <c r="E56" s="311" t="s">
        <v>276</v>
      </c>
      <c r="F56" s="471" t="s">
        <v>472</v>
      </c>
      <c r="G56" s="472"/>
      <c r="H56" s="472"/>
      <c r="I56" s="472"/>
      <c r="J56" s="472"/>
      <c r="K56" s="472"/>
      <c r="L56" s="472"/>
      <c r="M56" s="473"/>
      <c r="N56" s="314"/>
      <c r="O56" s="308"/>
      <c r="P56" s="474"/>
      <c r="Q56" s="475"/>
      <c r="R56" s="474"/>
      <c r="S56" s="476"/>
      <c r="T56" s="476"/>
      <c r="U56" s="475"/>
      <c r="V56" s="477"/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 t="s">
        <v>118</v>
      </c>
      <c r="B57" s="470"/>
      <c r="C57" s="311" t="s">
        <v>318</v>
      </c>
      <c r="D57" s="311" t="s">
        <v>184</v>
      </c>
      <c r="E57" s="311" t="s">
        <v>416</v>
      </c>
      <c r="F57" s="471" t="s">
        <v>363</v>
      </c>
      <c r="G57" s="472"/>
      <c r="H57" s="472"/>
      <c r="I57" s="472"/>
      <c r="J57" s="472"/>
      <c r="K57" s="472"/>
      <c r="L57" s="472"/>
      <c r="M57" s="473"/>
      <c r="N57" s="314"/>
      <c r="O57" s="308"/>
      <c r="P57" s="474"/>
      <c r="Q57" s="475"/>
      <c r="R57" s="474"/>
      <c r="S57" s="476"/>
      <c r="T57" s="476"/>
      <c r="U57" s="475"/>
      <c r="V57" s="477"/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/>
      <c r="B58" s="470"/>
      <c r="C58" s="311"/>
      <c r="D58" s="311"/>
      <c r="E58" s="311"/>
      <c r="F58" s="471"/>
      <c r="G58" s="472"/>
      <c r="H58" s="472"/>
      <c r="I58" s="472"/>
      <c r="J58" s="472"/>
      <c r="K58" s="472"/>
      <c r="L58" s="472"/>
      <c r="M58" s="473"/>
      <c r="N58" s="314"/>
      <c r="O58" s="308"/>
      <c r="P58" s="474"/>
      <c r="Q58" s="475"/>
      <c r="R58" s="474"/>
      <c r="S58" s="476"/>
      <c r="T58" s="476"/>
      <c r="U58" s="475"/>
      <c r="V58" s="477"/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/>
      <c r="B59" s="488"/>
      <c r="C59" s="310"/>
      <c r="D59" s="310"/>
      <c r="E59" s="311"/>
      <c r="F59" s="471"/>
      <c r="G59" s="472"/>
      <c r="H59" s="472"/>
      <c r="I59" s="472"/>
      <c r="J59" s="472"/>
      <c r="K59" s="472"/>
      <c r="L59" s="472"/>
      <c r="M59" s="473"/>
      <c r="N59" s="314"/>
      <c r="O59" s="308"/>
      <c r="P59" s="474"/>
      <c r="Q59" s="475"/>
      <c r="R59" s="474"/>
      <c r="S59" s="476"/>
      <c r="T59" s="476"/>
      <c r="U59" s="475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/>
      <c r="B60" s="488"/>
      <c r="C60" s="310"/>
      <c r="D60" s="310"/>
      <c r="E60" s="311"/>
      <c r="F60" s="471"/>
      <c r="G60" s="472"/>
      <c r="H60" s="472"/>
      <c r="I60" s="472"/>
      <c r="J60" s="472"/>
      <c r="K60" s="472"/>
      <c r="L60" s="472"/>
      <c r="M60" s="473"/>
      <c r="N60" s="314"/>
      <c r="O60" s="308"/>
      <c r="P60" s="470"/>
      <c r="Q60" s="470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  <c r="AF60" s="84">
        <f>8*3000</f>
        <v>24000</v>
      </c>
    </row>
    <row r="61" spans="1:32" ht="27" customHeight="1" thickBot="1">
      <c r="A61" s="479"/>
      <c r="B61" s="480"/>
      <c r="C61" s="312"/>
      <c r="D61" s="313"/>
      <c r="E61" s="312"/>
      <c r="F61" s="481"/>
      <c r="G61" s="482"/>
      <c r="H61" s="482"/>
      <c r="I61" s="482"/>
      <c r="J61" s="482"/>
      <c r="K61" s="482"/>
      <c r="L61" s="482"/>
      <c r="M61" s="483"/>
      <c r="N61" s="111"/>
      <c r="O61" s="103"/>
      <c r="P61" s="484"/>
      <c r="Q61" s="484"/>
      <c r="R61" s="484"/>
      <c r="S61" s="484"/>
      <c r="T61" s="484"/>
      <c r="U61" s="484"/>
      <c r="V61" s="485"/>
      <c r="W61" s="485"/>
      <c r="X61" s="485"/>
      <c r="Y61" s="485"/>
      <c r="Z61" s="485"/>
      <c r="AA61" s="485"/>
      <c r="AB61" s="485"/>
      <c r="AC61" s="485"/>
      <c r="AD61" s="486"/>
      <c r="AF61" s="84">
        <f>16*3000</f>
        <v>48000</v>
      </c>
    </row>
    <row r="62" spans="1:32" ht="27.75" thickBot="1">
      <c r="A62" s="489" t="s">
        <v>475</v>
      </c>
      <c r="B62" s="489"/>
      <c r="C62" s="489"/>
      <c r="D62" s="489"/>
      <c r="E62" s="48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0" t="s">
        <v>111</v>
      </c>
      <c r="B63" s="491"/>
      <c r="C63" s="309" t="s">
        <v>2</v>
      </c>
      <c r="D63" s="309" t="s">
        <v>37</v>
      </c>
      <c r="E63" s="309" t="s">
        <v>3</v>
      </c>
      <c r="F63" s="491" t="s">
        <v>109</v>
      </c>
      <c r="G63" s="491"/>
      <c r="H63" s="491"/>
      <c r="I63" s="491"/>
      <c r="J63" s="491"/>
      <c r="K63" s="491" t="s">
        <v>39</v>
      </c>
      <c r="L63" s="491"/>
      <c r="M63" s="309" t="s">
        <v>40</v>
      </c>
      <c r="N63" s="491" t="s">
        <v>41</v>
      </c>
      <c r="O63" s="491"/>
      <c r="P63" s="492" t="s">
        <v>42</v>
      </c>
      <c r="Q63" s="493"/>
      <c r="R63" s="492" t="s">
        <v>43</v>
      </c>
      <c r="S63" s="494"/>
      <c r="T63" s="494"/>
      <c r="U63" s="494"/>
      <c r="V63" s="494"/>
      <c r="W63" s="494"/>
      <c r="X63" s="494"/>
      <c r="Y63" s="494"/>
      <c r="Z63" s="494"/>
      <c r="AA63" s="493"/>
      <c r="AB63" s="491" t="s">
        <v>44</v>
      </c>
      <c r="AC63" s="491"/>
      <c r="AD63" s="495"/>
      <c r="AF63" s="84">
        <f>SUM(AF60:AF62)</f>
        <v>96000</v>
      </c>
    </row>
    <row r="64" spans="1:32" ht="25.5" customHeight="1">
      <c r="A64" s="496">
        <v>1</v>
      </c>
      <c r="B64" s="497"/>
      <c r="C64" s="104"/>
      <c r="D64" s="304"/>
      <c r="E64" s="307"/>
      <c r="F64" s="498"/>
      <c r="G64" s="499"/>
      <c r="H64" s="499"/>
      <c r="I64" s="499"/>
      <c r="J64" s="500"/>
      <c r="K64" s="501"/>
      <c r="L64" s="501"/>
      <c r="M64" s="51"/>
      <c r="N64" s="502"/>
      <c r="O64" s="502"/>
      <c r="P64" s="503"/>
      <c r="Q64" s="503"/>
      <c r="R64" s="477"/>
      <c r="S64" s="477"/>
      <c r="T64" s="477"/>
      <c r="U64" s="477"/>
      <c r="V64" s="477"/>
      <c r="W64" s="477"/>
      <c r="X64" s="477"/>
      <c r="Y64" s="477"/>
      <c r="Z64" s="477"/>
      <c r="AA64" s="477"/>
      <c r="AB64" s="501"/>
      <c r="AC64" s="501"/>
      <c r="AD64" s="504"/>
      <c r="AF64" s="50"/>
    </row>
    <row r="65" spans="1:32" ht="25.5" customHeight="1">
      <c r="A65" s="496">
        <v>2</v>
      </c>
      <c r="B65" s="497"/>
      <c r="C65" s="104"/>
      <c r="D65" s="304"/>
      <c r="E65" s="307"/>
      <c r="F65" s="498"/>
      <c r="G65" s="499"/>
      <c r="H65" s="499"/>
      <c r="I65" s="499"/>
      <c r="J65" s="500"/>
      <c r="K65" s="501"/>
      <c r="L65" s="501"/>
      <c r="M65" s="51"/>
      <c r="N65" s="502"/>
      <c r="O65" s="502"/>
      <c r="P65" s="503"/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3</v>
      </c>
      <c r="B66" s="497"/>
      <c r="C66" s="104"/>
      <c r="D66" s="304"/>
      <c r="E66" s="307"/>
      <c r="F66" s="498"/>
      <c r="G66" s="499"/>
      <c r="H66" s="499"/>
      <c r="I66" s="499"/>
      <c r="J66" s="500"/>
      <c r="K66" s="501"/>
      <c r="L66" s="501"/>
      <c r="M66" s="51"/>
      <c r="N66" s="502"/>
      <c r="O66" s="502"/>
      <c r="P66" s="503"/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4</v>
      </c>
      <c r="B67" s="497"/>
      <c r="C67" s="104"/>
      <c r="D67" s="304"/>
      <c r="E67" s="307"/>
      <c r="F67" s="498"/>
      <c r="G67" s="499"/>
      <c r="H67" s="499"/>
      <c r="I67" s="499"/>
      <c r="J67" s="500"/>
      <c r="K67" s="501"/>
      <c r="L67" s="501"/>
      <c r="M67" s="51"/>
      <c r="N67" s="502"/>
      <c r="O67" s="502"/>
      <c r="P67" s="503"/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5</v>
      </c>
      <c r="B68" s="497"/>
      <c r="C68" s="104"/>
      <c r="D68" s="304"/>
      <c r="E68" s="307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6</v>
      </c>
      <c r="B69" s="497"/>
      <c r="C69" s="104"/>
      <c r="D69" s="304"/>
      <c r="E69" s="307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7</v>
      </c>
      <c r="B70" s="497"/>
      <c r="C70" s="104"/>
      <c r="D70" s="304"/>
      <c r="E70" s="307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8</v>
      </c>
      <c r="B71" s="497"/>
      <c r="C71" s="104"/>
      <c r="D71" s="304"/>
      <c r="E71" s="307"/>
      <c r="F71" s="505"/>
      <c r="G71" s="501"/>
      <c r="H71" s="501"/>
      <c r="I71" s="501"/>
      <c r="J71" s="501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9</v>
      </c>
      <c r="B72" s="497"/>
      <c r="C72" s="104"/>
      <c r="D72" s="304"/>
      <c r="E72" s="307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10</v>
      </c>
      <c r="B73" s="497"/>
      <c r="C73" s="104"/>
      <c r="D73" s="304"/>
      <c r="E73" s="307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6.25" customHeight="1" thickBot="1">
      <c r="A74" s="506" t="s">
        <v>476</v>
      </c>
      <c r="B74" s="506"/>
      <c r="C74" s="506"/>
      <c r="D74" s="506"/>
      <c r="E74" s="50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7" t="s">
        <v>126</v>
      </c>
      <c r="B75" s="508"/>
      <c r="C75" s="306" t="s">
        <v>2</v>
      </c>
      <c r="D75" s="306" t="s">
        <v>37</v>
      </c>
      <c r="E75" s="306" t="s">
        <v>125</v>
      </c>
      <c r="F75" s="508" t="s">
        <v>38</v>
      </c>
      <c r="G75" s="508"/>
      <c r="H75" s="508"/>
      <c r="I75" s="508"/>
      <c r="J75" s="508"/>
      <c r="K75" s="509" t="s">
        <v>58</v>
      </c>
      <c r="L75" s="510"/>
      <c r="M75" s="510"/>
      <c r="N75" s="510"/>
      <c r="O75" s="510"/>
      <c r="P75" s="510"/>
      <c r="Q75" s="510"/>
      <c r="R75" s="510"/>
      <c r="S75" s="511"/>
      <c r="T75" s="508" t="s">
        <v>49</v>
      </c>
      <c r="U75" s="508"/>
      <c r="V75" s="509" t="s">
        <v>50</v>
      </c>
      <c r="W75" s="511"/>
      <c r="X75" s="510" t="s">
        <v>51</v>
      </c>
      <c r="Y75" s="510"/>
      <c r="Z75" s="510"/>
      <c r="AA75" s="510"/>
      <c r="AB75" s="510"/>
      <c r="AC75" s="510"/>
      <c r="AD75" s="512"/>
      <c r="AF75" s="50"/>
    </row>
    <row r="76" spans="1:32" ht="33.75" customHeight="1">
      <c r="A76" s="521">
        <v>1</v>
      </c>
      <c r="B76" s="522"/>
      <c r="C76" s="305" t="s">
        <v>112</v>
      </c>
      <c r="D76" s="305"/>
      <c r="E76" s="65" t="s">
        <v>117</v>
      </c>
      <c r="F76" s="523" t="s">
        <v>116</v>
      </c>
      <c r="G76" s="524"/>
      <c r="H76" s="524"/>
      <c r="I76" s="524"/>
      <c r="J76" s="525"/>
      <c r="K76" s="526" t="s">
        <v>119</v>
      </c>
      <c r="L76" s="527"/>
      <c r="M76" s="527"/>
      <c r="N76" s="527"/>
      <c r="O76" s="527"/>
      <c r="P76" s="527"/>
      <c r="Q76" s="527"/>
      <c r="R76" s="527"/>
      <c r="S76" s="528"/>
      <c r="T76" s="529">
        <v>44118</v>
      </c>
      <c r="U76" s="530"/>
      <c r="V76" s="531"/>
      <c r="W76" s="531"/>
      <c r="X76" s="532"/>
      <c r="Y76" s="532"/>
      <c r="Z76" s="532"/>
      <c r="AA76" s="532"/>
      <c r="AB76" s="532"/>
      <c r="AC76" s="532"/>
      <c r="AD76" s="533"/>
      <c r="AF76" s="50"/>
    </row>
    <row r="77" spans="1:32" ht="30" customHeight="1">
      <c r="A77" s="513">
        <f>A76+1</f>
        <v>2</v>
      </c>
      <c r="B77" s="514"/>
      <c r="C77" s="304"/>
      <c r="D77" s="304"/>
      <c r="E77" s="32"/>
      <c r="F77" s="514"/>
      <c r="G77" s="514"/>
      <c r="H77" s="514"/>
      <c r="I77" s="514"/>
      <c r="J77" s="514"/>
      <c r="K77" s="515"/>
      <c r="L77" s="516"/>
      <c r="M77" s="516"/>
      <c r="N77" s="516"/>
      <c r="O77" s="516"/>
      <c r="P77" s="516"/>
      <c r="Q77" s="516"/>
      <c r="R77" s="516"/>
      <c r="S77" s="517"/>
      <c r="T77" s="518"/>
      <c r="U77" s="518"/>
      <c r="V77" s="518"/>
      <c r="W77" s="518"/>
      <c r="X77" s="519"/>
      <c r="Y77" s="519"/>
      <c r="Z77" s="519"/>
      <c r="AA77" s="519"/>
      <c r="AB77" s="519"/>
      <c r="AC77" s="519"/>
      <c r="AD77" s="520"/>
      <c r="AF77" s="50"/>
    </row>
    <row r="78" spans="1:32" ht="30" customHeight="1">
      <c r="A78" s="513">
        <f t="shared" ref="A78:A82" si="11">A77+1</f>
        <v>3</v>
      </c>
      <c r="B78" s="514"/>
      <c r="C78" s="304"/>
      <c r="D78" s="304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si="11"/>
        <v>4</v>
      </c>
      <c r="B79" s="514"/>
      <c r="C79" s="304"/>
      <c r="D79" s="304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1"/>
        <v>5</v>
      </c>
      <c r="B80" s="514"/>
      <c r="C80" s="304"/>
      <c r="D80" s="304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1"/>
        <v>6</v>
      </c>
      <c r="B81" s="514"/>
      <c r="C81" s="304"/>
      <c r="D81" s="304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1"/>
        <v>7</v>
      </c>
      <c r="B82" s="514"/>
      <c r="C82" s="304"/>
      <c r="D82" s="304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6" thickBot="1">
      <c r="A83" s="506" t="s">
        <v>477</v>
      </c>
      <c r="B83" s="506"/>
      <c r="C83" s="506"/>
      <c r="D83" s="506"/>
      <c r="E83" s="50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7" t="s">
        <v>111</v>
      </c>
      <c r="B84" s="508"/>
      <c r="C84" s="534" t="s">
        <v>52</v>
      </c>
      <c r="D84" s="534"/>
      <c r="E84" s="534" t="s">
        <v>53</v>
      </c>
      <c r="F84" s="534"/>
      <c r="G84" s="534"/>
      <c r="H84" s="534"/>
      <c r="I84" s="534"/>
      <c r="J84" s="534"/>
      <c r="K84" s="534" t="s">
        <v>54</v>
      </c>
      <c r="L84" s="534"/>
      <c r="M84" s="534"/>
      <c r="N84" s="534"/>
      <c r="O84" s="534"/>
      <c r="P84" s="534"/>
      <c r="Q84" s="534"/>
      <c r="R84" s="534"/>
      <c r="S84" s="534"/>
      <c r="T84" s="534" t="s">
        <v>55</v>
      </c>
      <c r="U84" s="534"/>
      <c r="V84" s="534" t="s">
        <v>56</v>
      </c>
      <c r="W84" s="534"/>
      <c r="X84" s="534"/>
      <c r="Y84" s="534" t="s">
        <v>51</v>
      </c>
      <c r="Z84" s="534"/>
      <c r="AA84" s="534"/>
      <c r="AB84" s="534"/>
      <c r="AC84" s="534"/>
      <c r="AD84" s="535"/>
      <c r="AF84" s="50"/>
    </row>
    <row r="85" spans="1:32" ht="30.75" customHeight="1">
      <c r="A85" s="521">
        <v>1</v>
      </c>
      <c r="B85" s="522"/>
      <c r="C85" s="536">
        <v>9</v>
      </c>
      <c r="D85" s="536"/>
      <c r="E85" s="536" t="s">
        <v>136</v>
      </c>
      <c r="F85" s="536"/>
      <c r="G85" s="536"/>
      <c r="H85" s="536"/>
      <c r="I85" s="536"/>
      <c r="J85" s="536"/>
      <c r="K85" s="536" t="s">
        <v>161</v>
      </c>
      <c r="L85" s="536"/>
      <c r="M85" s="536"/>
      <c r="N85" s="536"/>
      <c r="O85" s="536"/>
      <c r="P85" s="536"/>
      <c r="Q85" s="536"/>
      <c r="R85" s="536"/>
      <c r="S85" s="536"/>
      <c r="T85" s="536" t="s">
        <v>137</v>
      </c>
      <c r="U85" s="536"/>
      <c r="V85" s="537" t="s">
        <v>152</v>
      </c>
      <c r="W85" s="537"/>
      <c r="X85" s="537"/>
      <c r="Y85" s="538"/>
      <c r="Z85" s="538"/>
      <c r="AA85" s="538"/>
      <c r="AB85" s="538"/>
      <c r="AC85" s="538"/>
      <c r="AD85" s="539"/>
      <c r="AF85" s="50"/>
    </row>
    <row r="86" spans="1:32" ht="30.75" customHeight="1">
      <c r="A86" s="513">
        <v>2</v>
      </c>
      <c r="B86" s="514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  <c r="P86" s="547"/>
      <c r="Q86" s="547"/>
      <c r="R86" s="547"/>
      <c r="S86" s="547"/>
      <c r="T86" s="548"/>
      <c r="U86" s="548"/>
      <c r="V86" s="549"/>
      <c r="W86" s="549"/>
      <c r="X86" s="549"/>
      <c r="Y86" s="540"/>
      <c r="Z86" s="540"/>
      <c r="AA86" s="540"/>
      <c r="AB86" s="540"/>
      <c r="AC86" s="540"/>
      <c r="AD86" s="541"/>
      <c r="AF86" s="50"/>
    </row>
    <row r="87" spans="1:32" ht="30.75" customHeight="1" thickBot="1">
      <c r="A87" s="542">
        <v>3</v>
      </c>
      <c r="B87" s="543"/>
      <c r="C87" s="544"/>
      <c r="D87" s="544"/>
      <c r="E87" s="544"/>
      <c r="F87" s="544"/>
      <c r="G87" s="544"/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5"/>
      <c r="Z87" s="545"/>
      <c r="AA87" s="545"/>
      <c r="AB87" s="545"/>
      <c r="AC87" s="545"/>
      <c r="AD87" s="546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A7F5-47DC-45FA-ABAD-2BE6B8DDDB6B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478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317" t="s">
        <v>17</v>
      </c>
      <c r="L5" s="317" t="s">
        <v>18</v>
      </c>
      <c r="M5" s="317" t="s">
        <v>19</v>
      </c>
      <c r="N5" s="31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269</v>
      </c>
      <c r="E6" s="53" t="s">
        <v>270</v>
      </c>
      <c r="F6" s="30" t="s">
        <v>249</v>
      </c>
      <c r="G6" s="12">
        <v>1</v>
      </c>
      <c r="H6" s="13">
        <v>24</v>
      </c>
      <c r="I6" s="31">
        <v>500</v>
      </c>
      <c r="J6" s="14">
        <v>1585</v>
      </c>
      <c r="K6" s="15">
        <f>L6</f>
        <v>1585</v>
      </c>
      <c r="L6" s="15">
        <v>1585</v>
      </c>
      <c r="M6" s="15">
        <f t="shared" ref="M6:M21" si="0">L6-N6</f>
        <v>1585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9</v>
      </c>
      <c r="Q6" s="40">
        <f t="shared" ref="Q6:Q21" si="3">SUM(R6:AA6)</f>
        <v>15</v>
      </c>
      <c r="R6" s="7"/>
      <c r="S6" s="6"/>
      <c r="T6" s="16"/>
      <c r="U6" s="16"/>
      <c r="V6" s="17"/>
      <c r="W6" s="5">
        <v>15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0.375</v>
      </c>
      <c r="AD6" s="10">
        <f t="shared" ref="AD6:AD21" si="6">AC6*AB6*(1-O6)</f>
        <v>0.375</v>
      </c>
      <c r="AE6" s="36">
        <f t="shared" ref="AE6:AE21" si="7">$AD$22</f>
        <v>0.51302083333333326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208</v>
      </c>
      <c r="E7" s="53" t="s">
        <v>246</v>
      </c>
      <c r="F7" s="30" t="s">
        <v>247</v>
      </c>
      <c r="G7" s="12">
        <v>1</v>
      </c>
      <c r="H7" s="13">
        <v>24</v>
      </c>
      <c r="I7" s="31">
        <v>35000</v>
      </c>
      <c r="J7" s="14">
        <v>5646</v>
      </c>
      <c r="K7" s="15">
        <f>L7+5992+4796+6025</f>
        <v>22459</v>
      </c>
      <c r="L7" s="15">
        <f>2309+3337</f>
        <v>5646</v>
      </c>
      <c r="M7" s="15">
        <f t="shared" si="0"/>
        <v>5646</v>
      </c>
      <c r="N7" s="15">
        <v>0</v>
      </c>
      <c r="O7" s="58">
        <f t="shared" si="1"/>
        <v>0</v>
      </c>
      <c r="P7" s="39">
        <f t="shared" si="2"/>
        <v>21</v>
      </c>
      <c r="Q7" s="40">
        <f t="shared" si="3"/>
        <v>3</v>
      </c>
      <c r="R7" s="7"/>
      <c r="S7" s="6">
        <v>3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0.875</v>
      </c>
      <c r="AD7" s="10">
        <f t="shared" si="6"/>
        <v>0.875</v>
      </c>
      <c r="AE7" s="36">
        <f t="shared" si="7"/>
        <v>0.51302083333333326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280</v>
      </c>
      <c r="E8" s="53" t="s">
        <v>392</v>
      </c>
      <c r="F8" s="30" t="s">
        <v>404</v>
      </c>
      <c r="G8" s="12">
        <v>1</v>
      </c>
      <c r="H8" s="13">
        <v>24</v>
      </c>
      <c r="I8" s="7">
        <v>16000</v>
      </c>
      <c r="J8" s="5">
        <v>2936</v>
      </c>
      <c r="K8" s="15">
        <f>L8+3884+4187+4063+5773</f>
        <v>20843</v>
      </c>
      <c r="L8" s="15">
        <f>2354+582</f>
        <v>2936</v>
      </c>
      <c r="M8" s="15">
        <f t="shared" si="0"/>
        <v>2936</v>
      </c>
      <c r="N8" s="15">
        <v>0</v>
      </c>
      <c r="O8" s="58">
        <f t="shared" si="1"/>
        <v>0</v>
      </c>
      <c r="P8" s="39">
        <f t="shared" si="2"/>
        <v>18</v>
      </c>
      <c r="Q8" s="40">
        <f t="shared" si="3"/>
        <v>6</v>
      </c>
      <c r="R8" s="7"/>
      <c r="S8" s="6">
        <v>6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0.75</v>
      </c>
      <c r="AD8" s="10">
        <f t="shared" si="6"/>
        <v>0.75</v>
      </c>
      <c r="AE8" s="36">
        <f t="shared" si="7"/>
        <v>0.51302083333333326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115</v>
      </c>
      <c r="E9" s="53" t="s">
        <v>276</v>
      </c>
      <c r="F9" s="30" t="s">
        <v>130</v>
      </c>
      <c r="G9" s="12">
        <v>1</v>
      </c>
      <c r="H9" s="13">
        <v>24</v>
      </c>
      <c r="I9" s="7">
        <v>40000</v>
      </c>
      <c r="J9" s="14">
        <v>8758</v>
      </c>
      <c r="K9" s="15">
        <f>L9+2382+6726+7524+9466+7966</f>
        <v>42822</v>
      </c>
      <c r="L9" s="15">
        <f>2354*2+2025*2</f>
        <v>8758</v>
      </c>
      <c r="M9" s="15">
        <f t="shared" si="0"/>
        <v>8758</v>
      </c>
      <c r="N9" s="15">
        <v>0</v>
      </c>
      <c r="O9" s="58">
        <f t="shared" si="1"/>
        <v>0</v>
      </c>
      <c r="P9" s="39">
        <f t="shared" si="2"/>
        <v>22</v>
      </c>
      <c r="Q9" s="40">
        <f t="shared" si="3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0.91666666666666663</v>
      </c>
      <c r="AD9" s="10">
        <f t="shared" si="6"/>
        <v>0.91666666666666663</v>
      </c>
      <c r="AE9" s="36">
        <f t="shared" si="7"/>
        <v>0.51302083333333326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210</v>
      </c>
      <c r="D10" s="52" t="s">
        <v>423</v>
      </c>
      <c r="E10" s="53" t="s">
        <v>415</v>
      </c>
      <c r="F10" s="30" t="s">
        <v>213</v>
      </c>
      <c r="G10" s="33">
        <v>1</v>
      </c>
      <c r="H10" s="35">
        <v>24</v>
      </c>
      <c r="I10" s="7">
        <v>2000</v>
      </c>
      <c r="J10" s="14">
        <v>2514</v>
      </c>
      <c r="K10" s="15">
        <f>L10+2514</f>
        <v>2514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0.51302083333333326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210</v>
      </c>
      <c r="D11" s="52" t="s">
        <v>448</v>
      </c>
      <c r="E11" s="53" t="s">
        <v>447</v>
      </c>
      <c r="F11" s="30" t="s">
        <v>128</v>
      </c>
      <c r="G11" s="33">
        <v>1</v>
      </c>
      <c r="H11" s="35">
        <v>24</v>
      </c>
      <c r="I11" s="7">
        <v>3500</v>
      </c>
      <c r="J11" s="14">
        <v>2243</v>
      </c>
      <c r="K11" s="15">
        <f>L11+2301+2243</f>
        <v>4544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0.51302083333333326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134</v>
      </c>
      <c r="F12" s="30" t="s">
        <v>135</v>
      </c>
      <c r="G12" s="12">
        <v>1</v>
      </c>
      <c r="H12" s="13">
        <v>22</v>
      </c>
      <c r="I12" s="31">
        <v>30000</v>
      </c>
      <c r="J12" s="5">
        <v>4960</v>
      </c>
      <c r="K12" s="15">
        <f>L12+3816+5458+5462+5155+5274+4446+4479+3099+5465</f>
        <v>47614</v>
      </c>
      <c r="L12" s="15">
        <f>2345+2615</f>
        <v>4960</v>
      </c>
      <c r="M12" s="15">
        <f t="shared" si="0"/>
        <v>4960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0.51302083333333326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131</v>
      </c>
      <c r="E13" s="53" t="s">
        <v>368</v>
      </c>
      <c r="F13" s="30" t="s">
        <v>144</v>
      </c>
      <c r="G13" s="33">
        <v>1</v>
      </c>
      <c r="H13" s="35">
        <v>24</v>
      </c>
      <c r="I13" s="7">
        <v>35000</v>
      </c>
      <c r="J13" s="14">
        <v>5890</v>
      </c>
      <c r="K13" s="15">
        <f>L13+5836+5860+5835</f>
        <v>23421</v>
      </c>
      <c r="L13" s="15">
        <f>2765+3125</f>
        <v>5890</v>
      </c>
      <c r="M13" s="15">
        <f t="shared" si="0"/>
        <v>5890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0.51302083333333326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474</v>
      </c>
      <c r="F14" s="30" t="s">
        <v>286</v>
      </c>
      <c r="G14" s="33">
        <v>1</v>
      </c>
      <c r="H14" s="35">
        <v>50</v>
      </c>
      <c r="I14" s="7">
        <v>100</v>
      </c>
      <c r="J14" s="5">
        <v>153</v>
      </c>
      <c r="K14" s="15">
        <f>L14</f>
        <v>153</v>
      </c>
      <c r="L14" s="15">
        <v>153</v>
      </c>
      <c r="M14" s="15">
        <f t="shared" si="0"/>
        <v>153</v>
      </c>
      <c r="N14" s="15">
        <v>0</v>
      </c>
      <c r="O14" s="58">
        <f t="shared" si="1"/>
        <v>0</v>
      </c>
      <c r="P14" s="39">
        <f t="shared" si="2"/>
        <v>4</v>
      </c>
      <c r="Q14" s="40">
        <f t="shared" si="3"/>
        <v>20</v>
      </c>
      <c r="R14" s="7"/>
      <c r="S14" s="6"/>
      <c r="T14" s="16"/>
      <c r="U14" s="16"/>
      <c r="V14" s="17"/>
      <c r="W14" s="5">
        <v>20</v>
      </c>
      <c r="X14" s="16"/>
      <c r="Y14" s="16"/>
      <c r="Z14" s="16"/>
      <c r="AA14" s="18"/>
      <c r="AB14" s="8">
        <f t="shared" si="4"/>
        <v>1</v>
      </c>
      <c r="AC14" s="9">
        <f t="shared" si="5"/>
        <v>0.16666666666666666</v>
      </c>
      <c r="AD14" s="10">
        <f t="shared" si="6"/>
        <v>0.16666666666666666</v>
      </c>
      <c r="AE14" s="36">
        <f t="shared" si="7"/>
        <v>0.51302083333333326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0.51302083333333326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280</v>
      </c>
      <c r="E16" s="53" t="s">
        <v>369</v>
      </c>
      <c r="F16" s="30" t="s">
        <v>156</v>
      </c>
      <c r="G16" s="12">
        <v>1</v>
      </c>
      <c r="H16" s="13">
        <v>24</v>
      </c>
      <c r="I16" s="7">
        <v>40000</v>
      </c>
      <c r="J16" s="14">
        <v>6322</v>
      </c>
      <c r="K16" s="15">
        <f>L16+5663+2419+5960+11958+10860+11844</f>
        <v>55026</v>
      </c>
      <c r="L16" s="15">
        <f>2810*2+351*2</f>
        <v>6322</v>
      </c>
      <c r="M16" s="15">
        <f t="shared" si="0"/>
        <v>6322</v>
      </c>
      <c r="N16" s="15">
        <v>0</v>
      </c>
      <c r="O16" s="58">
        <f t="shared" si="1"/>
        <v>0</v>
      </c>
      <c r="P16" s="39">
        <f t="shared" si="2"/>
        <v>18</v>
      </c>
      <c r="Q16" s="40">
        <f t="shared" si="3"/>
        <v>6</v>
      </c>
      <c r="R16" s="7"/>
      <c r="S16" s="6"/>
      <c r="T16" s="16"/>
      <c r="U16" s="16"/>
      <c r="V16" s="17"/>
      <c r="W16" s="5">
        <v>6</v>
      </c>
      <c r="X16" s="16"/>
      <c r="Y16" s="16"/>
      <c r="Z16" s="16"/>
      <c r="AA16" s="18"/>
      <c r="AB16" s="8">
        <f t="shared" si="4"/>
        <v>1</v>
      </c>
      <c r="AC16" s="9">
        <f t="shared" si="5"/>
        <v>0.75</v>
      </c>
      <c r="AD16" s="10">
        <f t="shared" si="6"/>
        <v>0.75</v>
      </c>
      <c r="AE16" s="36">
        <f t="shared" si="7"/>
        <v>0.51302083333333326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210</v>
      </c>
      <c r="D17" s="52" t="s">
        <v>242</v>
      </c>
      <c r="E17" s="53" t="s">
        <v>440</v>
      </c>
      <c r="F17" s="30" t="s">
        <v>358</v>
      </c>
      <c r="G17" s="12">
        <v>2</v>
      </c>
      <c r="H17" s="13">
        <v>24</v>
      </c>
      <c r="I17" s="7">
        <v>7000</v>
      </c>
      <c r="J17" s="14">
        <v>7314</v>
      </c>
      <c r="K17" s="15">
        <f>L17+8300+7314</f>
        <v>15614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0.51302083333333326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273</v>
      </c>
      <c r="D18" s="52" t="s">
        <v>115</v>
      </c>
      <c r="E18" s="53" t="s">
        <v>272</v>
      </c>
      <c r="F18" s="30" t="s">
        <v>286</v>
      </c>
      <c r="G18" s="33">
        <v>1</v>
      </c>
      <c r="H18" s="35">
        <v>24</v>
      </c>
      <c r="I18" s="7">
        <v>11000</v>
      </c>
      <c r="J18" s="14">
        <v>6097</v>
      </c>
      <c r="K18" s="15">
        <f>L18+6503</f>
        <v>12600</v>
      </c>
      <c r="L18" s="15">
        <f>3371+2726</f>
        <v>6097</v>
      </c>
      <c r="M18" s="15">
        <f t="shared" si="0"/>
        <v>6097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0.51302083333333326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131</v>
      </c>
      <c r="E19" s="53" t="s">
        <v>416</v>
      </c>
      <c r="F19" s="30" t="s">
        <v>156</v>
      </c>
      <c r="G19" s="33">
        <v>1</v>
      </c>
      <c r="H19" s="35">
        <v>24</v>
      </c>
      <c r="I19" s="7">
        <v>16000</v>
      </c>
      <c r="J19" s="14">
        <v>5461</v>
      </c>
      <c r="K19" s="15">
        <f>L19+1568+3700+4581</f>
        <v>15310</v>
      </c>
      <c r="L19" s="15">
        <f>2514+2947</f>
        <v>5461</v>
      </c>
      <c r="M19" s="15">
        <f t="shared" si="0"/>
        <v>5461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0.51302083333333326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394</v>
      </c>
      <c r="F20" s="30" t="s">
        <v>311</v>
      </c>
      <c r="G20" s="12">
        <v>1</v>
      </c>
      <c r="H20" s="13">
        <v>24</v>
      </c>
      <c r="I20" s="7">
        <v>16000</v>
      </c>
      <c r="J20" s="14">
        <v>1607</v>
      </c>
      <c r="K20" s="15">
        <f>L20+2115+2480+2319</f>
        <v>8521</v>
      </c>
      <c r="L20" s="15">
        <f>1149+458</f>
        <v>1607</v>
      </c>
      <c r="M20" s="15">
        <f t="shared" si="0"/>
        <v>1607</v>
      </c>
      <c r="N20" s="15">
        <v>0</v>
      </c>
      <c r="O20" s="58">
        <f t="shared" si="1"/>
        <v>0</v>
      </c>
      <c r="P20" s="39">
        <f t="shared" si="2"/>
        <v>9</v>
      </c>
      <c r="Q20" s="40">
        <f t="shared" si="3"/>
        <v>15</v>
      </c>
      <c r="R20" s="7"/>
      <c r="S20" s="6">
        <v>15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0.375</v>
      </c>
      <c r="AD20" s="10">
        <f t="shared" si="6"/>
        <v>0.375</v>
      </c>
      <c r="AE20" s="36">
        <f t="shared" si="7"/>
        <v>0.51302083333333326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33372</v>
      </c>
      <c r="K21" s="15">
        <f>L21+62008+65280+66156+31132+60100+67104+64940+66996+38324+18548+31820+33244+32052+33372</f>
        <v>671076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0.51302083333333326</v>
      </c>
      <c r="AF21" s="84">
        <f t="shared" si="8"/>
        <v>16</v>
      </c>
    </row>
    <row r="22" spans="1:32" ht="31.5" customHeight="1" thickBot="1">
      <c r="A22" s="443" t="s">
        <v>34</v>
      </c>
      <c r="B22" s="444"/>
      <c r="C22" s="444"/>
      <c r="D22" s="444"/>
      <c r="E22" s="444"/>
      <c r="F22" s="444"/>
      <c r="G22" s="444"/>
      <c r="H22" s="445"/>
      <c r="I22" s="22">
        <f t="shared" ref="I22:N22" si="9">SUM(I6:I21)</f>
        <v>1264100</v>
      </c>
      <c r="J22" s="19">
        <f t="shared" si="9"/>
        <v>107214</v>
      </c>
      <c r="K22" s="20">
        <f t="shared" si="9"/>
        <v>956458</v>
      </c>
      <c r="L22" s="21">
        <f t="shared" si="9"/>
        <v>49415</v>
      </c>
      <c r="M22" s="20">
        <f t="shared" si="9"/>
        <v>49415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197</v>
      </c>
      <c r="Q22" s="43">
        <f t="shared" si="10"/>
        <v>187</v>
      </c>
      <c r="R22" s="23">
        <f t="shared" si="10"/>
        <v>0</v>
      </c>
      <c r="S22" s="24">
        <f t="shared" si="10"/>
        <v>50</v>
      </c>
      <c r="T22" s="24">
        <f t="shared" si="10"/>
        <v>0</v>
      </c>
      <c r="U22" s="24">
        <f t="shared" si="10"/>
        <v>0</v>
      </c>
      <c r="V22" s="25">
        <f t="shared" si="10"/>
        <v>24</v>
      </c>
      <c r="W22" s="26">
        <f t="shared" si="10"/>
        <v>113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0.6875</v>
      </c>
      <c r="AC22" s="4">
        <f>AVERAGE(AC6:AC21)</f>
        <v>0.51302083333333326</v>
      </c>
      <c r="AD22" s="4">
        <f>AVERAGE(AD6:AD21)</f>
        <v>0.51302083333333326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6" t="s">
        <v>45</v>
      </c>
      <c r="B49" s="446"/>
      <c r="C49" s="446"/>
      <c r="D49" s="446"/>
      <c r="E49" s="446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7" t="s">
        <v>479</v>
      </c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9"/>
      <c r="N50" s="450" t="s">
        <v>482</v>
      </c>
      <c r="O50" s="451"/>
      <c r="P50" s="451"/>
      <c r="Q50" s="451"/>
      <c r="R50" s="451"/>
      <c r="S50" s="451"/>
      <c r="T50" s="451"/>
      <c r="U50" s="451"/>
      <c r="V50" s="451"/>
      <c r="W50" s="451"/>
      <c r="X50" s="451"/>
      <c r="Y50" s="451"/>
      <c r="Z50" s="451"/>
      <c r="AA50" s="451"/>
      <c r="AB50" s="451"/>
      <c r="AC50" s="451"/>
      <c r="AD50" s="452"/>
    </row>
    <row r="51" spans="1:32" ht="27" customHeight="1">
      <c r="A51" s="453" t="s">
        <v>2</v>
      </c>
      <c r="B51" s="454"/>
      <c r="C51" s="318" t="s">
        <v>46</v>
      </c>
      <c r="D51" s="318" t="s">
        <v>47</v>
      </c>
      <c r="E51" s="318" t="s">
        <v>107</v>
      </c>
      <c r="F51" s="455" t="s">
        <v>106</v>
      </c>
      <c r="G51" s="456"/>
      <c r="H51" s="456"/>
      <c r="I51" s="456"/>
      <c r="J51" s="456"/>
      <c r="K51" s="456"/>
      <c r="L51" s="456"/>
      <c r="M51" s="457"/>
      <c r="N51" s="67" t="s">
        <v>110</v>
      </c>
      <c r="O51" s="318" t="s">
        <v>46</v>
      </c>
      <c r="P51" s="455" t="s">
        <v>47</v>
      </c>
      <c r="Q51" s="458"/>
      <c r="R51" s="455" t="s">
        <v>38</v>
      </c>
      <c r="S51" s="456"/>
      <c r="T51" s="456"/>
      <c r="U51" s="458"/>
      <c r="V51" s="455" t="s">
        <v>48</v>
      </c>
      <c r="W51" s="456"/>
      <c r="X51" s="456"/>
      <c r="Y51" s="456"/>
      <c r="Z51" s="456"/>
      <c r="AA51" s="456"/>
      <c r="AB51" s="456"/>
      <c r="AC51" s="456"/>
      <c r="AD51" s="457"/>
    </row>
    <row r="52" spans="1:32" ht="27" customHeight="1">
      <c r="A52" s="469" t="s">
        <v>112</v>
      </c>
      <c r="B52" s="470"/>
      <c r="C52" s="320" t="s">
        <v>147</v>
      </c>
      <c r="D52" s="320" t="s">
        <v>468</v>
      </c>
      <c r="E52" s="320" t="s">
        <v>270</v>
      </c>
      <c r="F52" s="471" t="s">
        <v>132</v>
      </c>
      <c r="G52" s="472"/>
      <c r="H52" s="472"/>
      <c r="I52" s="472"/>
      <c r="J52" s="472"/>
      <c r="K52" s="472"/>
      <c r="L52" s="472"/>
      <c r="M52" s="473"/>
      <c r="N52" s="319" t="s">
        <v>118</v>
      </c>
      <c r="O52" s="326" t="s">
        <v>141</v>
      </c>
      <c r="P52" s="474" t="s">
        <v>115</v>
      </c>
      <c r="Q52" s="475"/>
      <c r="R52" s="474" t="s">
        <v>394</v>
      </c>
      <c r="S52" s="476"/>
      <c r="T52" s="476"/>
      <c r="U52" s="475"/>
      <c r="V52" s="477" t="s">
        <v>124</v>
      </c>
      <c r="W52" s="477"/>
      <c r="X52" s="477"/>
      <c r="Y52" s="477"/>
      <c r="Z52" s="477"/>
      <c r="AA52" s="477"/>
      <c r="AB52" s="477"/>
      <c r="AC52" s="477"/>
      <c r="AD52" s="478"/>
    </row>
    <row r="53" spans="1:32" ht="27" customHeight="1">
      <c r="A53" s="487" t="s">
        <v>112</v>
      </c>
      <c r="B53" s="488"/>
      <c r="C53" s="323" t="s">
        <v>133</v>
      </c>
      <c r="D53" s="323" t="s">
        <v>208</v>
      </c>
      <c r="E53" s="320" t="s">
        <v>246</v>
      </c>
      <c r="F53" s="471" t="s">
        <v>387</v>
      </c>
      <c r="G53" s="472"/>
      <c r="H53" s="472"/>
      <c r="I53" s="472"/>
      <c r="J53" s="472"/>
      <c r="K53" s="472"/>
      <c r="L53" s="472"/>
      <c r="M53" s="473"/>
      <c r="N53" s="319" t="s">
        <v>210</v>
      </c>
      <c r="O53" s="326" t="s">
        <v>372</v>
      </c>
      <c r="P53" s="474" t="s">
        <v>448</v>
      </c>
      <c r="Q53" s="475"/>
      <c r="R53" s="474" t="s">
        <v>447</v>
      </c>
      <c r="S53" s="476"/>
      <c r="T53" s="476"/>
      <c r="U53" s="475"/>
      <c r="V53" s="477" t="s">
        <v>124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 t="s">
        <v>118</v>
      </c>
      <c r="B54" s="470"/>
      <c r="C54" s="320" t="s">
        <v>141</v>
      </c>
      <c r="D54" s="320" t="s">
        <v>115</v>
      </c>
      <c r="E54" s="320" t="s">
        <v>394</v>
      </c>
      <c r="F54" s="471" t="s">
        <v>480</v>
      </c>
      <c r="G54" s="472"/>
      <c r="H54" s="472"/>
      <c r="I54" s="472"/>
      <c r="J54" s="472"/>
      <c r="K54" s="472"/>
      <c r="L54" s="472"/>
      <c r="M54" s="473"/>
      <c r="N54" s="319" t="s">
        <v>118</v>
      </c>
      <c r="O54" s="326" t="s">
        <v>386</v>
      </c>
      <c r="P54" s="474" t="s">
        <v>280</v>
      </c>
      <c r="Q54" s="475"/>
      <c r="R54" s="474" t="s">
        <v>483</v>
      </c>
      <c r="S54" s="476"/>
      <c r="T54" s="476"/>
      <c r="U54" s="475"/>
      <c r="V54" s="477" t="s">
        <v>132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69" t="s">
        <v>118</v>
      </c>
      <c r="B55" s="470"/>
      <c r="C55" s="320" t="s">
        <v>292</v>
      </c>
      <c r="D55" s="320" t="s">
        <v>115</v>
      </c>
      <c r="E55" s="320" t="s">
        <v>276</v>
      </c>
      <c r="F55" s="471" t="s">
        <v>481</v>
      </c>
      <c r="G55" s="472"/>
      <c r="H55" s="472"/>
      <c r="I55" s="472"/>
      <c r="J55" s="472"/>
      <c r="K55" s="472"/>
      <c r="L55" s="472"/>
      <c r="M55" s="473"/>
      <c r="N55" s="319" t="s">
        <v>210</v>
      </c>
      <c r="O55" s="326" t="s">
        <v>191</v>
      </c>
      <c r="P55" s="474" t="s">
        <v>115</v>
      </c>
      <c r="Q55" s="475"/>
      <c r="R55" s="474" t="s">
        <v>484</v>
      </c>
      <c r="S55" s="476"/>
      <c r="T55" s="476"/>
      <c r="U55" s="475"/>
      <c r="V55" s="477" t="s">
        <v>132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118</v>
      </c>
      <c r="B56" s="470"/>
      <c r="C56" s="320" t="s">
        <v>139</v>
      </c>
      <c r="D56" s="320" t="s">
        <v>280</v>
      </c>
      <c r="E56" s="320" t="s">
        <v>392</v>
      </c>
      <c r="F56" s="471" t="s">
        <v>469</v>
      </c>
      <c r="G56" s="472"/>
      <c r="H56" s="472"/>
      <c r="I56" s="472"/>
      <c r="J56" s="472"/>
      <c r="K56" s="472"/>
      <c r="L56" s="472"/>
      <c r="M56" s="473"/>
      <c r="N56" s="319" t="s">
        <v>112</v>
      </c>
      <c r="O56" s="326" t="s">
        <v>318</v>
      </c>
      <c r="P56" s="474" t="s">
        <v>115</v>
      </c>
      <c r="Q56" s="475"/>
      <c r="R56" s="474" t="s">
        <v>436</v>
      </c>
      <c r="S56" s="476"/>
      <c r="T56" s="476"/>
      <c r="U56" s="475"/>
      <c r="V56" s="477" t="s">
        <v>132</v>
      </c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 t="s">
        <v>112</v>
      </c>
      <c r="B57" s="470"/>
      <c r="C57" s="320" t="s">
        <v>257</v>
      </c>
      <c r="D57" s="320" t="s">
        <v>115</v>
      </c>
      <c r="E57" s="320" t="s">
        <v>474</v>
      </c>
      <c r="F57" s="471" t="s">
        <v>132</v>
      </c>
      <c r="G57" s="472"/>
      <c r="H57" s="472"/>
      <c r="I57" s="472"/>
      <c r="J57" s="472"/>
      <c r="K57" s="472"/>
      <c r="L57" s="472"/>
      <c r="M57" s="473"/>
      <c r="N57" s="319" t="s">
        <v>112</v>
      </c>
      <c r="O57" s="326" t="s">
        <v>318</v>
      </c>
      <c r="P57" s="474" t="s">
        <v>208</v>
      </c>
      <c r="Q57" s="475"/>
      <c r="R57" s="474" t="s">
        <v>394</v>
      </c>
      <c r="S57" s="476"/>
      <c r="T57" s="476"/>
      <c r="U57" s="475"/>
      <c r="V57" s="477" t="s">
        <v>132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/>
      <c r="B58" s="470"/>
      <c r="C58" s="320"/>
      <c r="D58" s="320"/>
      <c r="E58" s="320"/>
      <c r="F58" s="471"/>
      <c r="G58" s="472"/>
      <c r="H58" s="472"/>
      <c r="I58" s="472"/>
      <c r="J58" s="472"/>
      <c r="K58" s="472"/>
      <c r="L58" s="472"/>
      <c r="M58" s="473"/>
      <c r="N58" s="319" t="s">
        <v>112</v>
      </c>
      <c r="O58" s="326" t="s">
        <v>257</v>
      </c>
      <c r="P58" s="474" t="s">
        <v>115</v>
      </c>
      <c r="Q58" s="475"/>
      <c r="R58" s="474" t="s">
        <v>485</v>
      </c>
      <c r="S58" s="476"/>
      <c r="T58" s="476"/>
      <c r="U58" s="475"/>
      <c r="V58" s="477" t="s">
        <v>132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/>
      <c r="B59" s="488"/>
      <c r="C59" s="323"/>
      <c r="D59" s="323"/>
      <c r="E59" s="320"/>
      <c r="F59" s="471"/>
      <c r="G59" s="472"/>
      <c r="H59" s="472"/>
      <c r="I59" s="472"/>
      <c r="J59" s="472"/>
      <c r="K59" s="472"/>
      <c r="L59" s="472"/>
      <c r="M59" s="473"/>
      <c r="N59" s="319"/>
      <c r="O59" s="326"/>
      <c r="P59" s="474"/>
      <c r="Q59" s="475"/>
      <c r="R59" s="474"/>
      <c r="S59" s="476"/>
      <c r="T59" s="476"/>
      <c r="U59" s="475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/>
      <c r="B60" s="488"/>
      <c r="C60" s="323"/>
      <c r="D60" s="323"/>
      <c r="E60" s="320"/>
      <c r="F60" s="471"/>
      <c r="G60" s="472"/>
      <c r="H60" s="472"/>
      <c r="I60" s="472"/>
      <c r="J60" s="472"/>
      <c r="K60" s="472"/>
      <c r="L60" s="472"/>
      <c r="M60" s="473"/>
      <c r="N60" s="319"/>
      <c r="O60" s="326"/>
      <c r="P60" s="470"/>
      <c r="Q60" s="470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  <c r="AF60" s="84">
        <f>8*3000</f>
        <v>24000</v>
      </c>
    </row>
    <row r="61" spans="1:32" ht="27" customHeight="1" thickBot="1">
      <c r="A61" s="479"/>
      <c r="B61" s="480"/>
      <c r="C61" s="321"/>
      <c r="D61" s="322"/>
      <c r="E61" s="321"/>
      <c r="F61" s="481"/>
      <c r="G61" s="482"/>
      <c r="H61" s="482"/>
      <c r="I61" s="482"/>
      <c r="J61" s="482"/>
      <c r="K61" s="482"/>
      <c r="L61" s="482"/>
      <c r="M61" s="483"/>
      <c r="N61" s="111"/>
      <c r="O61" s="103"/>
      <c r="P61" s="484"/>
      <c r="Q61" s="484"/>
      <c r="R61" s="484"/>
      <c r="S61" s="484"/>
      <c r="T61" s="484"/>
      <c r="U61" s="484"/>
      <c r="V61" s="485"/>
      <c r="W61" s="485"/>
      <c r="X61" s="485"/>
      <c r="Y61" s="485"/>
      <c r="Z61" s="485"/>
      <c r="AA61" s="485"/>
      <c r="AB61" s="485"/>
      <c r="AC61" s="485"/>
      <c r="AD61" s="486"/>
      <c r="AF61" s="84">
        <f>16*3000</f>
        <v>48000</v>
      </c>
    </row>
    <row r="62" spans="1:32" ht="27.75" thickBot="1">
      <c r="A62" s="489" t="s">
        <v>486</v>
      </c>
      <c r="B62" s="489"/>
      <c r="C62" s="489"/>
      <c r="D62" s="489"/>
      <c r="E62" s="48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0" t="s">
        <v>111</v>
      </c>
      <c r="B63" s="491"/>
      <c r="C63" s="324" t="s">
        <v>2</v>
      </c>
      <c r="D63" s="324" t="s">
        <v>37</v>
      </c>
      <c r="E63" s="324" t="s">
        <v>3</v>
      </c>
      <c r="F63" s="491" t="s">
        <v>109</v>
      </c>
      <c r="G63" s="491"/>
      <c r="H63" s="491"/>
      <c r="I63" s="491"/>
      <c r="J63" s="491"/>
      <c r="K63" s="491" t="s">
        <v>39</v>
      </c>
      <c r="L63" s="491"/>
      <c r="M63" s="324" t="s">
        <v>40</v>
      </c>
      <c r="N63" s="491" t="s">
        <v>41</v>
      </c>
      <c r="O63" s="491"/>
      <c r="P63" s="492" t="s">
        <v>42</v>
      </c>
      <c r="Q63" s="493"/>
      <c r="R63" s="492" t="s">
        <v>43</v>
      </c>
      <c r="S63" s="494"/>
      <c r="T63" s="494"/>
      <c r="U63" s="494"/>
      <c r="V63" s="494"/>
      <c r="W63" s="494"/>
      <c r="X63" s="494"/>
      <c r="Y63" s="494"/>
      <c r="Z63" s="494"/>
      <c r="AA63" s="493"/>
      <c r="AB63" s="491" t="s">
        <v>44</v>
      </c>
      <c r="AC63" s="491"/>
      <c r="AD63" s="495"/>
      <c r="AF63" s="84">
        <f>SUM(AF60:AF62)</f>
        <v>96000</v>
      </c>
    </row>
    <row r="64" spans="1:32" ht="25.5" customHeight="1">
      <c r="A64" s="496">
        <v>1</v>
      </c>
      <c r="B64" s="497"/>
      <c r="C64" s="104"/>
      <c r="D64" s="328"/>
      <c r="E64" s="325"/>
      <c r="F64" s="498"/>
      <c r="G64" s="499"/>
      <c r="H64" s="499"/>
      <c r="I64" s="499"/>
      <c r="J64" s="500"/>
      <c r="K64" s="501"/>
      <c r="L64" s="501"/>
      <c r="M64" s="51"/>
      <c r="N64" s="502"/>
      <c r="O64" s="502"/>
      <c r="P64" s="503"/>
      <c r="Q64" s="503"/>
      <c r="R64" s="477"/>
      <c r="S64" s="477"/>
      <c r="T64" s="477"/>
      <c r="U64" s="477"/>
      <c r="V64" s="477"/>
      <c r="W64" s="477"/>
      <c r="X64" s="477"/>
      <c r="Y64" s="477"/>
      <c r="Z64" s="477"/>
      <c r="AA64" s="477"/>
      <c r="AB64" s="501"/>
      <c r="AC64" s="501"/>
      <c r="AD64" s="504"/>
      <c r="AF64" s="50"/>
    </row>
    <row r="65" spans="1:32" ht="25.5" customHeight="1">
      <c r="A65" s="496">
        <v>2</v>
      </c>
      <c r="B65" s="497"/>
      <c r="C65" s="104"/>
      <c r="D65" s="328"/>
      <c r="E65" s="325"/>
      <c r="F65" s="498"/>
      <c r="G65" s="499"/>
      <c r="H65" s="499"/>
      <c r="I65" s="499"/>
      <c r="J65" s="500"/>
      <c r="K65" s="501"/>
      <c r="L65" s="501"/>
      <c r="M65" s="51"/>
      <c r="N65" s="502"/>
      <c r="O65" s="502"/>
      <c r="P65" s="503"/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3</v>
      </c>
      <c r="B66" s="497"/>
      <c r="C66" s="104"/>
      <c r="D66" s="328"/>
      <c r="E66" s="325"/>
      <c r="F66" s="498"/>
      <c r="G66" s="499"/>
      <c r="H66" s="499"/>
      <c r="I66" s="499"/>
      <c r="J66" s="500"/>
      <c r="K66" s="501"/>
      <c r="L66" s="501"/>
      <c r="M66" s="51"/>
      <c r="N66" s="502"/>
      <c r="O66" s="502"/>
      <c r="P66" s="503"/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4</v>
      </c>
      <c r="B67" s="497"/>
      <c r="C67" s="104"/>
      <c r="D67" s="328"/>
      <c r="E67" s="325"/>
      <c r="F67" s="498"/>
      <c r="G67" s="499"/>
      <c r="H67" s="499"/>
      <c r="I67" s="499"/>
      <c r="J67" s="500"/>
      <c r="K67" s="501"/>
      <c r="L67" s="501"/>
      <c r="M67" s="51"/>
      <c r="N67" s="502"/>
      <c r="O67" s="502"/>
      <c r="P67" s="503"/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5</v>
      </c>
      <c r="B68" s="497"/>
      <c r="C68" s="104"/>
      <c r="D68" s="328"/>
      <c r="E68" s="325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6</v>
      </c>
      <c r="B69" s="497"/>
      <c r="C69" s="104"/>
      <c r="D69" s="328"/>
      <c r="E69" s="325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7</v>
      </c>
      <c r="B70" s="497"/>
      <c r="C70" s="104"/>
      <c r="D70" s="328"/>
      <c r="E70" s="325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8</v>
      </c>
      <c r="B71" s="497"/>
      <c r="C71" s="104"/>
      <c r="D71" s="328"/>
      <c r="E71" s="325"/>
      <c r="F71" s="505"/>
      <c r="G71" s="501"/>
      <c r="H71" s="501"/>
      <c r="I71" s="501"/>
      <c r="J71" s="501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9</v>
      </c>
      <c r="B72" s="497"/>
      <c r="C72" s="104"/>
      <c r="D72" s="328"/>
      <c r="E72" s="325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10</v>
      </c>
      <c r="B73" s="497"/>
      <c r="C73" s="104"/>
      <c r="D73" s="328"/>
      <c r="E73" s="325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6.25" customHeight="1" thickBot="1">
      <c r="A74" s="506" t="s">
        <v>487</v>
      </c>
      <c r="B74" s="506"/>
      <c r="C74" s="506"/>
      <c r="D74" s="506"/>
      <c r="E74" s="50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7" t="s">
        <v>126</v>
      </c>
      <c r="B75" s="508"/>
      <c r="C75" s="327" t="s">
        <v>2</v>
      </c>
      <c r="D75" s="327" t="s">
        <v>37</v>
      </c>
      <c r="E75" s="327" t="s">
        <v>125</v>
      </c>
      <c r="F75" s="508" t="s">
        <v>38</v>
      </c>
      <c r="G75" s="508"/>
      <c r="H75" s="508"/>
      <c r="I75" s="508"/>
      <c r="J75" s="508"/>
      <c r="K75" s="509" t="s">
        <v>58</v>
      </c>
      <c r="L75" s="510"/>
      <c r="M75" s="510"/>
      <c r="N75" s="510"/>
      <c r="O75" s="510"/>
      <c r="P75" s="510"/>
      <c r="Q75" s="510"/>
      <c r="R75" s="510"/>
      <c r="S75" s="511"/>
      <c r="T75" s="508" t="s">
        <v>49</v>
      </c>
      <c r="U75" s="508"/>
      <c r="V75" s="509" t="s">
        <v>50</v>
      </c>
      <c r="W75" s="511"/>
      <c r="X75" s="510" t="s">
        <v>51</v>
      </c>
      <c r="Y75" s="510"/>
      <c r="Z75" s="510"/>
      <c r="AA75" s="510"/>
      <c r="AB75" s="510"/>
      <c r="AC75" s="510"/>
      <c r="AD75" s="512"/>
      <c r="AF75" s="50"/>
    </row>
    <row r="76" spans="1:32" ht="33.75" customHeight="1">
      <c r="A76" s="521">
        <v>1</v>
      </c>
      <c r="B76" s="522"/>
      <c r="C76" s="329" t="s">
        <v>112</v>
      </c>
      <c r="D76" s="329"/>
      <c r="E76" s="65" t="s">
        <v>117</v>
      </c>
      <c r="F76" s="523" t="s">
        <v>116</v>
      </c>
      <c r="G76" s="524"/>
      <c r="H76" s="524"/>
      <c r="I76" s="524"/>
      <c r="J76" s="525"/>
      <c r="K76" s="526" t="s">
        <v>119</v>
      </c>
      <c r="L76" s="527"/>
      <c r="M76" s="527"/>
      <c r="N76" s="527"/>
      <c r="O76" s="527"/>
      <c r="P76" s="527"/>
      <c r="Q76" s="527"/>
      <c r="R76" s="527"/>
      <c r="S76" s="528"/>
      <c r="T76" s="529">
        <v>44118</v>
      </c>
      <c r="U76" s="530"/>
      <c r="V76" s="531"/>
      <c r="W76" s="531"/>
      <c r="X76" s="532"/>
      <c r="Y76" s="532"/>
      <c r="Z76" s="532"/>
      <c r="AA76" s="532"/>
      <c r="AB76" s="532"/>
      <c r="AC76" s="532"/>
      <c r="AD76" s="533"/>
      <c r="AF76" s="50"/>
    </row>
    <row r="77" spans="1:32" ht="30" customHeight="1">
      <c r="A77" s="513">
        <f>A76+1</f>
        <v>2</v>
      </c>
      <c r="B77" s="514"/>
      <c r="C77" s="328"/>
      <c r="D77" s="328"/>
      <c r="E77" s="32"/>
      <c r="F77" s="514"/>
      <c r="G77" s="514"/>
      <c r="H77" s="514"/>
      <c r="I77" s="514"/>
      <c r="J77" s="514"/>
      <c r="K77" s="515"/>
      <c r="L77" s="516"/>
      <c r="M77" s="516"/>
      <c r="N77" s="516"/>
      <c r="O77" s="516"/>
      <c r="P77" s="516"/>
      <c r="Q77" s="516"/>
      <c r="R77" s="516"/>
      <c r="S77" s="517"/>
      <c r="T77" s="518"/>
      <c r="U77" s="518"/>
      <c r="V77" s="518"/>
      <c r="W77" s="518"/>
      <c r="X77" s="519"/>
      <c r="Y77" s="519"/>
      <c r="Z77" s="519"/>
      <c r="AA77" s="519"/>
      <c r="AB77" s="519"/>
      <c r="AC77" s="519"/>
      <c r="AD77" s="520"/>
      <c r="AF77" s="50"/>
    </row>
    <row r="78" spans="1:32" ht="30" customHeight="1">
      <c r="A78" s="513">
        <f t="shared" ref="A78:A82" si="11">A77+1</f>
        <v>3</v>
      </c>
      <c r="B78" s="514"/>
      <c r="C78" s="328"/>
      <c r="D78" s="328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si="11"/>
        <v>4</v>
      </c>
      <c r="B79" s="514"/>
      <c r="C79" s="328"/>
      <c r="D79" s="328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1"/>
        <v>5</v>
      </c>
      <c r="B80" s="514"/>
      <c r="C80" s="328"/>
      <c r="D80" s="328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1"/>
        <v>6</v>
      </c>
      <c r="B81" s="514"/>
      <c r="C81" s="328"/>
      <c r="D81" s="328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1"/>
        <v>7</v>
      </c>
      <c r="B82" s="514"/>
      <c r="C82" s="328"/>
      <c r="D82" s="328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6" thickBot="1">
      <c r="A83" s="506" t="s">
        <v>488</v>
      </c>
      <c r="B83" s="506"/>
      <c r="C83" s="506"/>
      <c r="D83" s="506"/>
      <c r="E83" s="50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7" t="s">
        <v>111</v>
      </c>
      <c r="B84" s="508"/>
      <c r="C84" s="534" t="s">
        <v>52</v>
      </c>
      <c r="D84" s="534"/>
      <c r="E84" s="534" t="s">
        <v>53</v>
      </c>
      <c r="F84" s="534"/>
      <c r="G84" s="534"/>
      <c r="H84" s="534"/>
      <c r="I84" s="534"/>
      <c r="J84" s="534"/>
      <c r="K84" s="534" t="s">
        <v>54</v>
      </c>
      <c r="L84" s="534"/>
      <c r="M84" s="534"/>
      <c r="N84" s="534"/>
      <c r="O84" s="534"/>
      <c r="P84" s="534"/>
      <c r="Q84" s="534"/>
      <c r="R84" s="534"/>
      <c r="S84" s="534"/>
      <c r="T84" s="534" t="s">
        <v>55</v>
      </c>
      <c r="U84" s="534"/>
      <c r="V84" s="534" t="s">
        <v>56</v>
      </c>
      <c r="W84" s="534"/>
      <c r="X84" s="534"/>
      <c r="Y84" s="534" t="s">
        <v>51</v>
      </c>
      <c r="Z84" s="534"/>
      <c r="AA84" s="534"/>
      <c r="AB84" s="534"/>
      <c r="AC84" s="534"/>
      <c r="AD84" s="535"/>
      <c r="AF84" s="50"/>
    </row>
    <row r="85" spans="1:32" ht="30.75" customHeight="1">
      <c r="A85" s="521">
        <v>1</v>
      </c>
      <c r="B85" s="522"/>
      <c r="C85" s="536">
        <v>9</v>
      </c>
      <c r="D85" s="536"/>
      <c r="E85" s="536" t="s">
        <v>136</v>
      </c>
      <c r="F85" s="536"/>
      <c r="G85" s="536"/>
      <c r="H85" s="536"/>
      <c r="I85" s="536"/>
      <c r="J85" s="536"/>
      <c r="K85" s="536" t="s">
        <v>161</v>
      </c>
      <c r="L85" s="536"/>
      <c r="M85" s="536"/>
      <c r="N85" s="536"/>
      <c r="O85" s="536"/>
      <c r="P85" s="536"/>
      <c r="Q85" s="536"/>
      <c r="R85" s="536"/>
      <c r="S85" s="536"/>
      <c r="T85" s="536" t="s">
        <v>137</v>
      </c>
      <c r="U85" s="536"/>
      <c r="V85" s="537" t="s">
        <v>152</v>
      </c>
      <c r="W85" s="537"/>
      <c r="X85" s="537"/>
      <c r="Y85" s="538"/>
      <c r="Z85" s="538"/>
      <c r="AA85" s="538"/>
      <c r="AB85" s="538"/>
      <c r="AC85" s="538"/>
      <c r="AD85" s="539"/>
      <c r="AF85" s="50"/>
    </row>
    <row r="86" spans="1:32" ht="30.75" customHeight="1">
      <c r="A86" s="513">
        <v>2</v>
      </c>
      <c r="B86" s="514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  <c r="P86" s="547"/>
      <c r="Q86" s="547"/>
      <c r="R86" s="547"/>
      <c r="S86" s="547"/>
      <c r="T86" s="548"/>
      <c r="U86" s="548"/>
      <c r="V86" s="549"/>
      <c r="W86" s="549"/>
      <c r="X86" s="549"/>
      <c r="Y86" s="540"/>
      <c r="Z86" s="540"/>
      <c r="AA86" s="540"/>
      <c r="AB86" s="540"/>
      <c r="AC86" s="540"/>
      <c r="AD86" s="541"/>
      <c r="AF86" s="50"/>
    </row>
    <row r="87" spans="1:32" ht="30.75" customHeight="1" thickBot="1">
      <c r="A87" s="542">
        <v>3</v>
      </c>
      <c r="B87" s="543"/>
      <c r="C87" s="544"/>
      <c r="D87" s="544"/>
      <c r="E87" s="544"/>
      <c r="F87" s="544"/>
      <c r="G87" s="544"/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5"/>
      <c r="Z87" s="545"/>
      <c r="AA87" s="545"/>
      <c r="AB87" s="545"/>
      <c r="AC87" s="545"/>
      <c r="AD87" s="546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9C6E-0CBC-4F95-9519-207F1BAB1242}">
  <dimension ref="A1:AF88"/>
  <sheetViews>
    <sheetView view="pageBreakPreview" topLeftCell="A64" zoomScale="70" zoomScaleNormal="72" zoomScaleSheetLayoutView="70" workbookViewId="0">
      <selection activeCell="F80" sqref="F80:J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489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342" t="s">
        <v>17</v>
      </c>
      <c r="L5" s="342" t="s">
        <v>18</v>
      </c>
      <c r="M5" s="342" t="s">
        <v>19</v>
      </c>
      <c r="N5" s="34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269</v>
      </c>
      <c r="E6" s="53" t="s">
        <v>270</v>
      </c>
      <c r="F6" s="30" t="s">
        <v>249</v>
      </c>
      <c r="G6" s="12">
        <v>1</v>
      </c>
      <c r="H6" s="13">
        <v>24</v>
      </c>
      <c r="I6" s="31">
        <v>500</v>
      </c>
      <c r="J6" s="14">
        <v>1585</v>
      </c>
      <c r="K6" s="15">
        <f>L6+1585</f>
        <v>1585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0.40441176470588241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208</v>
      </c>
      <c r="E7" s="53" t="s">
        <v>246</v>
      </c>
      <c r="F7" s="30" t="s">
        <v>247</v>
      </c>
      <c r="G7" s="12">
        <v>1</v>
      </c>
      <c r="H7" s="13">
        <v>24</v>
      </c>
      <c r="I7" s="31">
        <v>35000</v>
      </c>
      <c r="J7" s="14">
        <v>5542</v>
      </c>
      <c r="K7" s="15">
        <f>L7+5992+4796+6025+5646</f>
        <v>28001</v>
      </c>
      <c r="L7" s="15">
        <f>2509+3033</f>
        <v>5542</v>
      </c>
      <c r="M7" s="15">
        <f t="shared" si="0"/>
        <v>5542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0.40441176470588241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280</v>
      </c>
      <c r="E8" s="53" t="s">
        <v>392</v>
      </c>
      <c r="F8" s="30" t="s">
        <v>404</v>
      </c>
      <c r="G8" s="12">
        <v>1</v>
      </c>
      <c r="H8" s="13">
        <v>24</v>
      </c>
      <c r="I8" s="7">
        <v>16000</v>
      </c>
      <c r="J8" s="5">
        <v>2232</v>
      </c>
      <c r="K8" s="15">
        <f>L8+3884+4187+4063+5773+2936</f>
        <v>23075</v>
      </c>
      <c r="L8" s="15">
        <v>2232</v>
      </c>
      <c r="M8" s="15">
        <f t="shared" si="0"/>
        <v>2232</v>
      </c>
      <c r="N8" s="15">
        <v>0</v>
      </c>
      <c r="O8" s="58">
        <f t="shared" si="1"/>
        <v>0</v>
      </c>
      <c r="P8" s="39">
        <f t="shared" si="2"/>
        <v>9</v>
      </c>
      <c r="Q8" s="40">
        <f t="shared" si="3"/>
        <v>15</v>
      </c>
      <c r="R8" s="7"/>
      <c r="S8" s="6">
        <v>15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0.375</v>
      </c>
      <c r="AD8" s="10">
        <f t="shared" si="6"/>
        <v>0.375</v>
      </c>
      <c r="AE8" s="36">
        <f t="shared" si="7"/>
        <v>0.40441176470588241</v>
      </c>
      <c r="AF8" s="84">
        <f t="shared" si="8"/>
        <v>3</v>
      </c>
    </row>
    <row r="9" spans="1:32" ht="27" customHeight="1">
      <c r="A9" s="96">
        <v>3</v>
      </c>
      <c r="B9" s="11" t="s">
        <v>57</v>
      </c>
      <c r="C9" s="34" t="s">
        <v>120</v>
      </c>
      <c r="D9" s="52"/>
      <c r="E9" s="53" t="s">
        <v>371</v>
      </c>
      <c r="F9" s="30" t="s">
        <v>213</v>
      </c>
      <c r="G9" s="12">
        <v>2</v>
      </c>
      <c r="H9" s="13">
        <v>24</v>
      </c>
      <c r="I9" s="7">
        <v>10000</v>
      </c>
      <c r="J9" s="5">
        <v>5408</v>
      </c>
      <c r="K9" s="15">
        <f>L9</f>
        <v>5408</v>
      </c>
      <c r="L9" s="15">
        <f>2704*2</f>
        <v>5408</v>
      </c>
      <c r="M9" s="15">
        <f t="shared" ref="M9" si="9">L9-N9</f>
        <v>5408</v>
      </c>
      <c r="N9" s="15">
        <v>0</v>
      </c>
      <c r="O9" s="58">
        <f t="shared" ref="O9" si="10">IF(L9=0,"0",N9/L9)</f>
        <v>0</v>
      </c>
      <c r="P9" s="39">
        <f t="shared" ref="P9" si="11">IF(L9=0,"0",(24-Q9))</f>
        <v>14</v>
      </c>
      <c r="Q9" s="40">
        <f t="shared" ref="Q9" si="12">SUM(R9:AA9)</f>
        <v>10</v>
      </c>
      <c r="R9" s="7"/>
      <c r="S9" s="6"/>
      <c r="T9" s="16">
        <v>10</v>
      </c>
      <c r="U9" s="16"/>
      <c r="V9" s="17"/>
      <c r="W9" s="5"/>
      <c r="X9" s="16"/>
      <c r="Y9" s="16"/>
      <c r="Z9" s="16"/>
      <c r="AA9" s="18"/>
      <c r="AB9" s="8">
        <f t="shared" ref="AB9" si="13">IF(J9=0,"0",(L9/J9))</f>
        <v>1</v>
      </c>
      <c r="AC9" s="9">
        <f t="shared" ref="AC9" si="14">IF(P9=0,"0",(P9/24))</f>
        <v>0.58333333333333337</v>
      </c>
      <c r="AD9" s="10">
        <f t="shared" ref="AD9" si="15">AC9*AB9*(1-O9)</f>
        <v>0.58333333333333337</v>
      </c>
      <c r="AE9" s="36">
        <f t="shared" si="7"/>
        <v>0.40441176470588241</v>
      </c>
      <c r="AF9" s="84">
        <f t="shared" ref="AF9" si="16">A9</f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391</v>
      </c>
      <c r="E10" s="53" t="s">
        <v>390</v>
      </c>
      <c r="F10" s="30" t="s">
        <v>145</v>
      </c>
      <c r="G10" s="12">
        <v>1</v>
      </c>
      <c r="H10" s="13">
        <v>24</v>
      </c>
      <c r="I10" s="7">
        <v>200</v>
      </c>
      <c r="J10" s="14">
        <v>1356</v>
      </c>
      <c r="K10" s="15">
        <f>L10</f>
        <v>1356</v>
      </c>
      <c r="L10" s="15">
        <v>1356</v>
      </c>
      <c r="M10" s="15">
        <f t="shared" si="0"/>
        <v>1356</v>
      </c>
      <c r="N10" s="15">
        <v>0</v>
      </c>
      <c r="O10" s="58">
        <f t="shared" si="1"/>
        <v>0</v>
      </c>
      <c r="P10" s="39">
        <f t="shared" si="2"/>
        <v>8</v>
      </c>
      <c r="Q10" s="40">
        <f t="shared" si="3"/>
        <v>16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16</v>
      </c>
      <c r="AB10" s="8">
        <f t="shared" si="4"/>
        <v>1</v>
      </c>
      <c r="AC10" s="9">
        <f t="shared" si="5"/>
        <v>0.33333333333333331</v>
      </c>
      <c r="AD10" s="10">
        <f t="shared" si="6"/>
        <v>0.33333333333333331</v>
      </c>
      <c r="AE10" s="36">
        <f t="shared" si="7"/>
        <v>0.40441176470588241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118</v>
      </c>
      <c r="D11" s="52" t="s">
        <v>131</v>
      </c>
      <c r="E11" s="53" t="s">
        <v>490</v>
      </c>
      <c r="F11" s="30" t="s">
        <v>144</v>
      </c>
      <c r="G11" s="33">
        <v>2</v>
      </c>
      <c r="H11" s="35">
        <v>24</v>
      </c>
      <c r="I11" s="7">
        <v>32000</v>
      </c>
      <c r="J11" s="14">
        <v>5096</v>
      </c>
      <c r="K11" s="15">
        <f>L11</f>
        <v>5096</v>
      </c>
      <c r="L11" s="15">
        <f>2548*2</f>
        <v>5096</v>
      </c>
      <c r="M11" s="15">
        <f t="shared" si="0"/>
        <v>5096</v>
      </c>
      <c r="N11" s="15">
        <v>0</v>
      </c>
      <c r="O11" s="58">
        <f t="shared" si="1"/>
        <v>0</v>
      </c>
      <c r="P11" s="39">
        <f t="shared" si="2"/>
        <v>14</v>
      </c>
      <c r="Q11" s="40">
        <f t="shared" si="3"/>
        <v>10</v>
      </c>
      <c r="R11" s="7"/>
      <c r="S11" s="6"/>
      <c r="T11" s="16">
        <v>10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0.58333333333333337</v>
      </c>
      <c r="AD11" s="10">
        <f t="shared" si="6"/>
        <v>0.58333333333333337</v>
      </c>
      <c r="AE11" s="36">
        <f t="shared" si="7"/>
        <v>0.40441176470588241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210</v>
      </c>
      <c r="D12" s="52" t="s">
        <v>448</v>
      </c>
      <c r="E12" s="53" t="s">
        <v>447</v>
      </c>
      <c r="F12" s="30" t="s">
        <v>128</v>
      </c>
      <c r="G12" s="33">
        <v>1</v>
      </c>
      <c r="H12" s="35">
        <v>24</v>
      </c>
      <c r="I12" s="7">
        <v>3500</v>
      </c>
      <c r="J12" s="14">
        <v>2243</v>
      </c>
      <c r="K12" s="15">
        <f>L12+2301+2243</f>
        <v>4544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0.40441176470588241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280</v>
      </c>
      <c r="E13" s="53" t="s">
        <v>483</v>
      </c>
      <c r="F13" s="30" t="s">
        <v>156</v>
      </c>
      <c r="G13" s="12">
        <v>1</v>
      </c>
      <c r="H13" s="13">
        <v>22</v>
      </c>
      <c r="I13" s="31">
        <v>500</v>
      </c>
      <c r="J13" s="5">
        <v>2115</v>
      </c>
      <c r="K13" s="15">
        <f>L13</f>
        <v>2115</v>
      </c>
      <c r="L13" s="15">
        <v>2115</v>
      </c>
      <c r="M13" s="15">
        <f t="shared" si="0"/>
        <v>2115</v>
      </c>
      <c r="N13" s="15">
        <v>0</v>
      </c>
      <c r="O13" s="58">
        <f t="shared" si="1"/>
        <v>0</v>
      </c>
      <c r="P13" s="39">
        <f t="shared" si="2"/>
        <v>10</v>
      </c>
      <c r="Q13" s="40">
        <f t="shared" si="3"/>
        <v>14</v>
      </c>
      <c r="R13" s="7"/>
      <c r="S13" s="6"/>
      <c r="T13" s="16"/>
      <c r="U13" s="16"/>
      <c r="V13" s="17"/>
      <c r="W13" s="5">
        <v>14</v>
      </c>
      <c r="X13" s="16"/>
      <c r="Y13" s="16"/>
      <c r="Z13" s="16"/>
      <c r="AA13" s="18"/>
      <c r="AB13" s="8">
        <f t="shared" si="4"/>
        <v>1</v>
      </c>
      <c r="AC13" s="9">
        <f t="shared" si="5"/>
        <v>0.41666666666666669</v>
      </c>
      <c r="AD13" s="10">
        <f t="shared" si="6"/>
        <v>0.41666666666666669</v>
      </c>
      <c r="AE13" s="36">
        <f t="shared" si="7"/>
        <v>0.40441176470588241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131</v>
      </c>
      <c r="E14" s="53" t="s">
        <v>368</v>
      </c>
      <c r="F14" s="30" t="s">
        <v>144</v>
      </c>
      <c r="G14" s="33">
        <v>1</v>
      </c>
      <c r="H14" s="35">
        <v>24</v>
      </c>
      <c r="I14" s="7">
        <v>35000</v>
      </c>
      <c r="J14" s="14">
        <v>5616</v>
      </c>
      <c r="K14" s="15">
        <f>L14+5836+5860+5835+5890</f>
        <v>29037</v>
      </c>
      <c r="L14" s="15">
        <f>2706+2910</f>
        <v>5616</v>
      </c>
      <c r="M14" s="15">
        <f t="shared" si="0"/>
        <v>5616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7"/>
        <v>0.40441176470588241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491</v>
      </c>
      <c r="F15" s="30" t="s">
        <v>286</v>
      </c>
      <c r="G15" s="33">
        <v>1</v>
      </c>
      <c r="H15" s="35">
        <v>50</v>
      </c>
      <c r="I15" s="7">
        <v>2500</v>
      </c>
      <c r="J15" s="5">
        <v>893</v>
      </c>
      <c r="K15" s="15">
        <f>L15</f>
        <v>893</v>
      </c>
      <c r="L15" s="15">
        <f>893</f>
        <v>893</v>
      </c>
      <c r="M15" s="15">
        <f t="shared" si="0"/>
        <v>893</v>
      </c>
      <c r="N15" s="15">
        <v>0</v>
      </c>
      <c r="O15" s="58">
        <f t="shared" si="1"/>
        <v>0</v>
      </c>
      <c r="P15" s="39">
        <f t="shared" si="2"/>
        <v>10</v>
      </c>
      <c r="Q15" s="40">
        <f t="shared" si="3"/>
        <v>14</v>
      </c>
      <c r="R15" s="7"/>
      <c r="S15" s="6"/>
      <c r="T15" s="16"/>
      <c r="U15" s="16"/>
      <c r="V15" s="17">
        <v>14</v>
      </c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0.41666666666666669</v>
      </c>
      <c r="AD15" s="10">
        <f t="shared" si="6"/>
        <v>0.41666666666666669</v>
      </c>
      <c r="AE15" s="36">
        <f t="shared" si="7"/>
        <v>0.40441176470588241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118</v>
      </c>
      <c r="D16" s="52" t="s">
        <v>129</v>
      </c>
      <c r="E16" s="53" t="s">
        <v>200</v>
      </c>
      <c r="F16" s="30" t="s">
        <v>157</v>
      </c>
      <c r="G16" s="12">
        <v>4</v>
      </c>
      <c r="H16" s="13">
        <v>24</v>
      </c>
      <c r="I16" s="31">
        <v>12000</v>
      </c>
      <c r="J16" s="14">
        <v>12356</v>
      </c>
      <c r="K16" s="15">
        <f>L16+12356</f>
        <v>12356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0.40441176470588241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131</v>
      </c>
      <c r="E17" s="53" t="s">
        <v>492</v>
      </c>
      <c r="F17" s="30" t="s">
        <v>156</v>
      </c>
      <c r="G17" s="12">
        <v>1</v>
      </c>
      <c r="H17" s="13">
        <v>24</v>
      </c>
      <c r="I17" s="7">
        <v>500</v>
      </c>
      <c r="J17" s="14">
        <v>2071</v>
      </c>
      <c r="K17" s="15">
        <f>L17</f>
        <v>2071</v>
      </c>
      <c r="L17" s="15">
        <f>683+1388</f>
        <v>2071</v>
      </c>
      <c r="M17" s="15">
        <f t="shared" si="0"/>
        <v>2071</v>
      </c>
      <c r="N17" s="15">
        <v>0</v>
      </c>
      <c r="O17" s="58">
        <f t="shared" si="1"/>
        <v>0</v>
      </c>
      <c r="P17" s="39">
        <f t="shared" si="2"/>
        <v>10</v>
      </c>
      <c r="Q17" s="40">
        <f t="shared" si="3"/>
        <v>14</v>
      </c>
      <c r="R17" s="7"/>
      <c r="S17" s="6"/>
      <c r="T17" s="16"/>
      <c r="U17" s="16"/>
      <c r="V17" s="17"/>
      <c r="W17" s="5">
        <v>14</v>
      </c>
      <c r="X17" s="16"/>
      <c r="Y17" s="16"/>
      <c r="Z17" s="16"/>
      <c r="AA17" s="18"/>
      <c r="AB17" s="8">
        <f t="shared" si="4"/>
        <v>1</v>
      </c>
      <c r="AC17" s="9">
        <f t="shared" si="5"/>
        <v>0.41666666666666669</v>
      </c>
      <c r="AD17" s="10">
        <f t="shared" si="6"/>
        <v>0.41666666666666669</v>
      </c>
      <c r="AE17" s="36">
        <f t="shared" si="7"/>
        <v>0.40441176470588241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210</v>
      </c>
      <c r="D18" s="52" t="s">
        <v>242</v>
      </c>
      <c r="E18" s="53" t="s">
        <v>440</v>
      </c>
      <c r="F18" s="30" t="s">
        <v>358</v>
      </c>
      <c r="G18" s="12">
        <v>2</v>
      </c>
      <c r="H18" s="13">
        <v>24</v>
      </c>
      <c r="I18" s="7">
        <v>7000</v>
      </c>
      <c r="J18" s="14">
        <v>7314</v>
      </c>
      <c r="K18" s="15">
        <f>L18+8300+7314</f>
        <v>15614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0.40441176470588241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210</v>
      </c>
      <c r="D19" s="52" t="s">
        <v>115</v>
      </c>
      <c r="E19" s="53" t="s">
        <v>484</v>
      </c>
      <c r="F19" s="30" t="s">
        <v>128</v>
      </c>
      <c r="G19" s="33">
        <v>1</v>
      </c>
      <c r="H19" s="35">
        <v>24</v>
      </c>
      <c r="I19" s="7">
        <v>9500</v>
      </c>
      <c r="J19" s="14">
        <v>3652</v>
      </c>
      <c r="K19" s="15">
        <f>L19</f>
        <v>3652</v>
      </c>
      <c r="L19" s="15">
        <f>812+2840</f>
        <v>3652</v>
      </c>
      <c r="M19" s="15">
        <f t="shared" si="0"/>
        <v>3652</v>
      </c>
      <c r="N19" s="15">
        <v>0</v>
      </c>
      <c r="O19" s="58">
        <f t="shared" si="1"/>
        <v>0</v>
      </c>
      <c r="P19" s="39">
        <f t="shared" si="2"/>
        <v>18</v>
      </c>
      <c r="Q19" s="40">
        <f t="shared" si="3"/>
        <v>6</v>
      </c>
      <c r="R19" s="7"/>
      <c r="S19" s="6">
        <v>6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0.75</v>
      </c>
      <c r="AD19" s="10">
        <f t="shared" si="6"/>
        <v>0.75</v>
      </c>
      <c r="AE19" s="36">
        <f t="shared" si="7"/>
        <v>0.40441176470588241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115</v>
      </c>
      <c r="E20" s="53" t="s">
        <v>436</v>
      </c>
      <c r="F20" s="30" t="s">
        <v>144</v>
      </c>
      <c r="G20" s="33">
        <v>1</v>
      </c>
      <c r="H20" s="35">
        <v>24</v>
      </c>
      <c r="I20" s="7">
        <v>500</v>
      </c>
      <c r="J20" s="14">
        <v>825</v>
      </c>
      <c r="K20" s="15">
        <f>L20</f>
        <v>825</v>
      </c>
      <c r="L20" s="15">
        <f>486+339</f>
        <v>825</v>
      </c>
      <c r="M20" s="15">
        <f t="shared" si="0"/>
        <v>825</v>
      </c>
      <c r="N20" s="15">
        <v>0</v>
      </c>
      <c r="O20" s="58">
        <f t="shared" si="1"/>
        <v>0</v>
      </c>
      <c r="P20" s="39">
        <f t="shared" si="2"/>
        <v>15</v>
      </c>
      <c r="Q20" s="40">
        <f t="shared" si="3"/>
        <v>9</v>
      </c>
      <c r="R20" s="7"/>
      <c r="S20" s="6">
        <v>5</v>
      </c>
      <c r="T20" s="16"/>
      <c r="U20" s="16"/>
      <c r="V20" s="17"/>
      <c r="W20" s="5">
        <v>4</v>
      </c>
      <c r="X20" s="16"/>
      <c r="Y20" s="16"/>
      <c r="Z20" s="16"/>
      <c r="AA20" s="18"/>
      <c r="AB20" s="8">
        <f t="shared" si="4"/>
        <v>1</v>
      </c>
      <c r="AC20" s="9">
        <f t="shared" si="5"/>
        <v>0.625</v>
      </c>
      <c r="AD20" s="10">
        <f t="shared" si="6"/>
        <v>0.625</v>
      </c>
      <c r="AE20" s="36">
        <f t="shared" si="7"/>
        <v>0.40441176470588241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118</v>
      </c>
      <c r="D21" s="52" t="s">
        <v>115</v>
      </c>
      <c r="E21" s="53" t="s">
        <v>394</v>
      </c>
      <c r="F21" s="30" t="s">
        <v>311</v>
      </c>
      <c r="G21" s="12">
        <v>1</v>
      </c>
      <c r="H21" s="13">
        <v>24</v>
      </c>
      <c r="I21" s="7">
        <v>16000</v>
      </c>
      <c r="J21" s="14">
        <v>1607</v>
      </c>
      <c r="K21" s="15">
        <f>L21+2115+2480+2319+1607</f>
        <v>8521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0.40441176470588241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175</v>
      </c>
      <c r="F22" s="12" t="s">
        <v>114</v>
      </c>
      <c r="G22" s="12">
        <v>3</v>
      </c>
      <c r="H22" s="35">
        <v>20</v>
      </c>
      <c r="I22" s="7">
        <v>1000000</v>
      </c>
      <c r="J22" s="14">
        <v>27132</v>
      </c>
      <c r="K22" s="15">
        <f>L22+62008+65280+66156+31132+60100+67104+64940+66996+38324+18548+31820+33244+32052+33372</f>
        <v>698208</v>
      </c>
      <c r="L22" s="15">
        <f>6783*4</f>
        <v>27132</v>
      </c>
      <c r="M22" s="15">
        <f t="shared" si="0"/>
        <v>27132</v>
      </c>
      <c r="N22" s="15">
        <v>0</v>
      </c>
      <c r="O22" s="58">
        <f t="shared" si="1"/>
        <v>0</v>
      </c>
      <c r="P22" s="39">
        <f t="shared" si="2"/>
        <v>9</v>
      </c>
      <c r="Q22" s="40">
        <f t="shared" si="3"/>
        <v>15</v>
      </c>
      <c r="R22" s="7"/>
      <c r="S22" s="6"/>
      <c r="T22" s="16"/>
      <c r="U22" s="16"/>
      <c r="V22" s="17">
        <v>15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0.375</v>
      </c>
      <c r="AD22" s="10">
        <f t="shared" si="6"/>
        <v>0.375</v>
      </c>
      <c r="AE22" s="36">
        <f t="shared" si="7"/>
        <v>0.40441176470588241</v>
      </c>
      <c r="AF22" s="84">
        <f t="shared" si="8"/>
        <v>16</v>
      </c>
    </row>
    <row r="23" spans="1:32" ht="31.5" customHeight="1" thickBot="1">
      <c r="A23" s="443" t="s">
        <v>34</v>
      </c>
      <c r="B23" s="444"/>
      <c r="C23" s="444"/>
      <c r="D23" s="444"/>
      <c r="E23" s="444"/>
      <c r="F23" s="444"/>
      <c r="G23" s="444"/>
      <c r="H23" s="445"/>
      <c r="I23" s="22">
        <f t="shared" ref="I23:N23" si="17">SUM(I6:I22)</f>
        <v>1180700</v>
      </c>
      <c r="J23" s="19">
        <f t="shared" si="17"/>
        <v>87043</v>
      </c>
      <c r="K23" s="20">
        <f t="shared" si="17"/>
        <v>842357</v>
      </c>
      <c r="L23" s="21">
        <f t="shared" si="17"/>
        <v>61938</v>
      </c>
      <c r="M23" s="20">
        <f t="shared" si="17"/>
        <v>61938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165</v>
      </c>
      <c r="Q23" s="43">
        <f t="shared" si="18"/>
        <v>243</v>
      </c>
      <c r="R23" s="23">
        <f t="shared" si="18"/>
        <v>0</v>
      </c>
      <c r="S23" s="24">
        <f t="shared" si="18"/>
        <v>74</v>
      </c>
      <c r="T23" s="24">
        <f t="shared" si="18"/>
        <v>20</v>
      </c>
      <c r="U23" s="24">
        <f t="shared" si="18"/>
        <v>0</v>
      </c>
      <c r="V23" s="25">
        <f t="shared" si="18"/>
        <v>29</v>
      </c>
      <c r="W23" s="26">
        <f t="shared" si="18"/>
        <v>80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40</v>
      </c>
      <c r="AB23" s="28">
        <f>AVERAGE(AB6:AB22)</f>
        <v>0.70588235294117652</v>
      </c>
      <c r="AC23" s="4">
        <f>AVERAGE(AC6:AC22)</f>
        <v>0.40441176470588241</v>
      </c>
      <c r="AD23" s="4">
        <f>AVERAGE(AD6:AD22)</f>
        <v>0.40441176470588241</v>
      </c>
      <c r="AE23" s="29"/>
    </row>
    <row r="24" spans="1:32">
      <c r="T24" s="50" t="s">
        <v>500</v>
      </c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6" t="s">
        <v>45</v>
      </c>
      <c r="B50" s="446"/>
      <c r="C50" s="446"/>
      <c r="D50" s="446"/>
      <c r="E50" s="446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7" t="s">
        <v>493</v>
      </c>
      <c r="B51" s="448"/>
      <c r="C51" s="448"/>
      <c r="D51" s="448"/>
      <c r="E51" s="448"/>
      <c r="F51" s="448"/>
      <c r="G51" s="448"/>
      <c r="H51" s="448"/>
      <c r="I51" s="448"/>
      <c r="J51" s="448"/>
      <c r="K51" s="448"/>
      <c r="L51" s="448"/>
      <c r="M51" s="449"/>
      <c r="N51" s="450" t="s">
        <v>497</v>
      </c>
      <c r="O51" s="451"/>
      <c r="P51" s="451"/>
      <c r="Q51" s="451"/>
      <c r="R51" s="451"/>
      <c r="S51" s="451"/>
      <c r="T51" s="451"/>
      <c r="U51" s="451"/>
      <c r="V51" s="451"/>
      <c r="W51" s="451"/>
      <c r="X51" s="451"/>
      <c r="Y51" s="451"/>
      <c r="Z51" s="451"/>
      <c r="AA51" s="451"/>
      <c r="AB51" s="451"/>
      <c r="AC51" s="451"/>
      <c r="AD51" s="452"/>
    </row>
    <row r="52" spans="1:32" ht="27" customHeight="1">
      <c r="A52" s="453" t="s">
        <v>2</v>
      </c>
      <c r="B52" s="454"/>
      <c r="C52" s="341" t="s">
        <v>46</v>
      </c>
      <c r="D52" s="341" t="s">
        <v>47</v>
      </c>
      <c r="E52" s="341" t="s">
        <v>107</v>
      </c>
      <c r="F52" s="455" t="s">
        <v>106</v>
      </c>
      <c r="G52" s="456"/>
      <c r="H52" s="456"/>
      <c r="I52" s="456"/>
      <c r="J52" s="456"/>
      <c r="K52" s="456"/>
      <c r="L52" s="456"/>
      <c r="M52" s="457"/>
      <c r="N52" s="67" t="s">
        <v>110</v>
      </c>
      <c r="O52" s="341" t="s">
        <v>46</v>
      </c>
      <c r="P52" s="455" t="s">
        <v>47</v>
      </c>
      <c r="Q52" s="458"/>
      <c r="R52" s="455" t="s">
        <v>38</v>
      </c>
      <c r="S52" s="456"/>
      <c r="T52" s="456"/>
      <c r="U52" s="458"/>
      <c r="V52" s="455" t="s">
        <v>48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69" t="s">
        <v>120</v>
      </c>
      <c r="B53" s="470"/>
      <c r="C53" s="337" t="s">
        <v>139</v>
      </c>
      <c r="D53" s="337"/>
      <c r="E53" s="337" t="s">
        <v>371</v>
      </c>
      <c r="F53" s="471" t="s">
        <v>132</v>
      </c>
      <c r="G53" s="472"/>
      <c r="H53" s="472"/>
      <c r="I53" s="472"/>
      <c r="J53" s="472"/>
      <c r="K53" s="472"/>
      <c r="L53" s="472"/>
      <c r="M53" s="473"/>
      <c r="N53" s="340" t="s">
        <v>118</v>
      </c>
      <c r="O53" s="334" t="s">
        <v>386</v>
      </c>
      <c r="P53" s="474" t="s">
        <v>115</v>
      </c>
      <c r="Q53" s="475"/>
      <c r="R53" s="474" t="s">
        <v>394</v>
      </c>
      <c r="S53" s="476"/>
      <c r="T53" s="476"/>
      <c r="U53" s="475"/>
      <c r="V53" s="477" t="s">
        <v>124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87" t="s">
        <v>118</v>
      </c>
      <c r="B54" s="488"/>
      <c r="C54" s="336" t="s">
        <v>139</v>
      </c>
      <c r="D54" s="336" t="s">
        <v>280</v>
      </c>
      <c r="E54" s="337" t="s">
        <v>392</v>
      </c>
      <c r="F54" s="471" t="s">
        <v>383</v>
      </c>
      <c r="G54" s="472"/>
      <c r="H54" s="472"/>
      <c r="I54" s="472"/>
      <c r="J54" s="472"/>
      <c r="K54" s="472"/>
      <c r="L54" s="472"/>
      <c r="M54" s="473"/>
      <c r="N54" s="340" t="s">
        <v>210</v>
      </c>
      <c r="O54" s="334" t="s">
        <v>372</v>
      </c>
      <c r="P54" s="474" t="s">
        <v>448</v>
      </c>
      <c r="Q54" s="475"/>
      <c r="R54" s="474" t="s">
        <v>447</v>
      </c>
      <c r="S54" s="476"/>
      <c r="T54" s="476"/>
      <c r="U54" s="475"/>
      <c r="V54" s="477" t="s">
        <v>124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69" t="s">
        <v>118</v>
      </c>
      <c r="B55" s="470"/>
      <c r="C55" s="337" t="s">
        <v>141</v>
      </c>
      <c r="D55" s="337" t="s">
        <v>115</v>
      </c>
      <c r="E55" s="337" t="s">
        <v>394</v>
      </c>
      <c r="F55" s="471" t="s">
        <v>494</v>
      </c>
      <c r="G55" s="472"/>
      <c r="H55" s="472"/>
      <c r="I55" s="472"/>
      <c r="J55" s="472"/>
      <c r="K55" s="472"/>
      <c r="L55" s="472"/>
      <c r="M55" s="473"/>
      <c r="N55" s="340" t="s">
        <v>118</v>
      </c>
      <c r="O55" s="334" t="s">
        <v>292</v>
      </c>
      <c r="P55" s="474" t="s">
        <v>280</v>
      </c>
      <c r="Q55" s="475"/>
      <c r="R55" s="474" t="s">
        <v>498</v>
      </c>
      <c r="S55" s="476"/>
      <c r="T55" s="476"/>
      <c r="U55" s="475"/>
      <c r="V55" s="477" t="s">
        <v>132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118</v>
      </c>
      <c r="B56" s="470"/>
      <c r="C56" s="337" t="s">
        <v>292</v>
      </c>
      <c r="D56" s="337" t="s">
        <v>391</v>
      </c>
      <c r="E56" s="337" t="s">
        <v>390</v>
      </c>
      <c r="F56" s="471" t="s">
        <v>495</v>
      </c>
      <c r="G56" s="472"/>
      <c r="H56" s="472"/>
      <c r="I56" s="472"/>
      <c r="J56" s="472"/>
      <c r="K56" s="472"/>
      <c r="L56" s="472"/>
      <c r="M56" s="473"/>
      <c r="N56" s="340" t="s">
        <v>112</v>
      </c>
      <c r="O56" s="334" t="s">
        <v>318</v>
      </c>
      <c r="P56" s="474" t="s">
        <v>208</v>
      </c>
      <c r="Q56" s="475"/>
      <c r="R56" s="474" t="s">
        <v>499</v>
      </c>
      <c r="S56" s="476"/>
      <c r="T56" s="476"/>
      <c r="U56" s="475"/>
      <c r="V56" s="477" t="s">
        <v>132</v>
      </c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 t="s">
        <v>112</v>
      </c>
      <c r="B57" s="470"/>
      <c r="C57" s="337" t="s">
        <v>257</v>
      </c>
      <c r="D57" s="337" t="s">
        <v>115</v>
      </c>
      <c r="E57" s="337" t="s">
        <v>436</v>
      </c>
      <c r="F57" s="471" t="s">
        <v>252</v>
      </c>
      <c r="G57" s="472"/>
      <c r="H57" s="472"/>
      <c r="I57" s="472"/>
      <c r="J57" s="472"/>
      <c r="K57" s="472"/>
      <c r="L57" s="472"/>
      <c r="M57" s="473"/>
      <c r="N57" s="340" t="s">
        <v>118</v>
      </c>
      <c r="O57" s="334" t="s">
        <v>147</v>
      </c>
      <c r="P57" s="474" t="s">
        <v>142</v>
      </c>
      <c r="Q57" s="475"/>
      <c r="R57" s="474" t="s">
        <v>501</v>
      </c>
      <c r="S57" s="476"/>
      <c r="T57" s="476"/>
      <c r="U57" s="475"/>
      <c r="V57" s="477" t="s">
        <v>132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 t="s">
        <v>118</v>
      </c>
      <c r="B58" s="470"/>
      <c r="C58" s="337" t="s">
        <v>393</v>
      </c>
      <c r="D58" s="337" t="s">
        <v>184</v>
      </c>
      <c r="E58" s="337" t="s">
        <v>490</v>
      </c>
      <c r="F58" s="471" t="s">
        <v>132</v>
      </c>
      <c r="G58" s="472"/>
      <c r="H58" s="472"/>
      <c r="I58" s="472"/>
      <c r="J58" s="472"/>
      <c r="K58" s="472"/>
      <c r="L58" s="472"/>
      <c r="M58" s="473"/>
      <c r="N58" s="340" t="s">
        <v>210</v>
      </c>
      <c r="O58" s="334" t="s">
        <v>140</v>
      </c>
      <c r="P58" s="474" t="s">
        <v>280</v>
      </c>
      <c r="Q58" s="475"/>
      <c r="R58" s="474" t="s">
        <v>502</v>
      </c>
      <c r="S58" s="476"/>
      <c r="T58" s="476"/>
      <c r="U58" s="475"/>
      <c r="V58" s="477" t="s">
        <v>132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69" t="s">
        <v>210</v>
      </c>
      <c r="B59" s="470"/>
      <c r="C59" s="337" t="s">
        <v>372</v>
      </c>
      <c r="D59" s="337" t="s">
        <v>448</v>
      </c>
      <c r="E59" s="337" t="s">
        <v>447</v>
      </c>
      <c r="F59" s="471" t="s">
        <v>471</v>
      </c>
      <c r="G59" s="472"/>
      <c r="H59" s="472"/>
      <c r="I59" s="472"/>
      <c r="J59" s="472"/>
      <c r="K59" s="472"/>
      <c r="L59" s="472"/>
      <c r="M59" s="473"/>
      <c r="N59" s="340"/>
      <c r="O59" s="334"/>
      <c r="P59" s="474"/>
      <c r="Q59" s="475"/>
      <c r="R59" s="474"/>
      <c r="S59" s="476"/>
      <c r="T59" s="476"/>
      <c r="U59" s="475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 t="s">
        <v>210</v>
      </c>
      <c r="B60" s="488"/>
      <c r="C60" s="336" t="s">
        <v>191</v>
      </c>
      <c r="D60" s="336" t="s">
        <v>115</v>
      </c>
      <c r="E60" s="337" t="s">
        <v>484</v>
      </c>
      <c r="F60" s="471" t="s">
        <v>496</v>
      </c>
      <c r="G60" s="472"/>
      <c r="H60" s="472"/>
      <c r="I60" s="472"/>
      <c r="J60" s="472"/>
      <c r="K60" s="472"/>
      <c r="L60" s="472"/>
      <c r="M60" s="473"/>
      <c r="N60" s="340"/>
      <c r="O60" s="334"/>
      <c r="P60" s="474"/>
      <c r="Q60" s="475"/>
      <c r="R60" s="474"/>
      <c r="S60" s="476"/>
      <c r="T60" s="476"/>
      <c r="U60" s="475"/>
      <c r="V60" s="477"/>
      <c r="W60" s="477"/>
      <c r="X60" s="477"/>
      <c r="Y60" s="477"/>
      <c r="Z60" s="477"/>
      <c r="AA60" s="477"/>
      <c r="AB60" s="477"/>
      <c r="AC60" s="477"/>
      <c r="AD60" s="478"/>
    </row>
    <row r="61" spans="1:32" ht="27" customHeight="1">
      <c r="A61" s="487"/>
      <c r="B61" s="488"/>
      <c r="C61" s="336"/>
      <c r="D61" s="336"/>
      <c r="E61" s="337"/>
      <c r="F61" s="471"/>
      <c r="G61" s="472"/>
      <c r="H61" s="472"/>
      <c r="I61" s="472"/>
      <c r="J61" s="472"/>
      <c r="K61" s="472"/>
      <c r="L61" s="472"/>
      <c r="M61" s="473"/>
      <c r="N61" s="340"/>
      <c r="O61" s="334"/>
      <c r="P61" s="470"/>
      <c r="Q61" s="470"/>
      <c r="R61" s="470"/>
      <c r="S61" s="470"/>
      <c r="T61" s="470"/>
      <c r="U61" s="470"/>
      <c r="V61" s="477"/>
      <c r="W61" s="477"/>
      <c r="X61" s="477"/>
      <c r="Y61" s="477"/>
      <c r="Z61" s="477"/>
      <c r="AA61" s="477"/>
      <c r="AB61" s="477"/>
      <c r="AC61" s="477"/>
      <c r="AD61" s="478"/>
      <c r="AF61" s="84">
        <f>8*3000</f>
        <v>24000</v>
      </c>
    </row>
    <row r="62" spans="1:32" ht="27" customHeight="1" thickBot="1">
      <c r="A62" s="479"/>
      <c r="B62" s="480"/>
      <c r="C62" s="338"/>
      <c r="D62" s="339"/>
      <c r="E62" s="338"/>
      <c r="F62" s="481"/>
      <c r="G62" s="482"/>
      <c r="H62" s="482"/>
      <c r="I62" s="482"/>
      <c r="J62" s="482"/>
      <c r="K62" s="482"/>
      <c r="L62" s="482"/>
      <c r="M62" s="483"/>
      <c r="N62" s="111"/>
      <c r="O62" s="103"/>
      <c r="P62" s="484"/>
      <c r="Q62" s="484"/>
      <c r="R62" s="484"/>
      <c r="S62" s="484"/>
      <c r="T62" s="484"/>
      <c r="U62" s="484"/>
      <c r="V62" s="485"/>
      <c r="W62" s="485"/>
      <c r="X62" s="485"/>
      <c r="Y62" s="485"/>
      <c r="Z62" s="485"/>
      <c r="AA62" s="485"/>
      <c r="AB62" s="485"/>
      <c r="AC62" s="485"/>
      <c r="AD62" s="486"/>
      <c r="AF62" s="84">
        <f>16*3000</f>
        <v>48000</v>
      </c>
    </row>
    <row r="63" spans="1:32" ht="27.75" thickBot="1">
      <c r="A63" s="489" t="s">
        <v>503</v>
      </c>
      <c r="B63" s="489"/>
      <c r="C63" s="489"/>
      <c r="D63" s="489"/>
      <c r="E63" s="48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0" t="s">
        <v>111</v>
      </c>
      <c r="B64" s="491"/>
      <c r="C64" s="335" t="s">
        <v>2</v>
      </c>
      <c r="D64" s="335" t="s">
        <v>37</v>
      </c>
      <c r="E64" s="335" t="s">
        <v>3</v>
      </c>
      <c r="F64" s="491" t="s">
        <v>109</v>
      </c>
      <c r="G64" s="491"/>
      <c r="H64" s="491"/>
      <c r="I64" s="491"/>
      <c r="J64" s="491"/>
      <c r="K64" s="491" t="s">
        <v>39</v>
      </c>
      <c r="L64" s="491"/>
      <c r="M64" s="335" t="s">
        <v>40</v>
      </c>
      <c r="N64" s="491" t="s">
        <v>41</v>
      </c>
      <c r="O64" s="491"/>
      <c r="P64" s="492" t="s">
        <v>42</v>
      </c>
      <c r="Q64" s="493"/>
      <c r="R64" s="492" t="s">
        <v>43</v>
      </c>
      <c r="S64" s="494"/>
      <c r="T64" s="494"/>
      <c r="U64" s="494"/>
      <c r="V64" s="494"/>
      <c r="W64" s="494"/>
      <c r="X64" s="494"/>
      <c r="Y64" s="494"/>
      <c r="Z64" s="494"/>
      <c r="AA64" s="493"/>
      <c r="AB64" s="491" t="s">
        <v>44</v>
      </c>
      <c r="AC64" s="491"/>
      <c r="AD64" s="495"/>
      <c r="AF64" s="84">
        <f>SUM(AF61:AF63)</f>
        <v>96000</v>
      </c>
    </row>
    <row r="65" spans="1:32" ht="25.5" customHeight="1">
      <c r="A65" s="496">
        <v>1</v>
      </c>
      <c r="B65" s="497"/>
      <c r="C65" s="104" t="s">
        <v>118</v>
      </c>
      <c r="D65" s="330"/>
      <c r="E65" s="333" t="s">
        <v>142</v>
      </c>
      <c r="F65" s="498" t="s">
        <v>301</v>
      </c>
      <c r="G65" s="499"/>
      <c r="H65" s="499"/>
      <c r="I65" s="499"/>
      <c r="J65" s="500"/>
      <c r="K65" s="501">
        <v>8301</v>
      </c>
      <c r="L65" s="501"/>
      <c r="M65" s="51" t="s">
        <v>143</v>
      </c>
      <c r="N65" s="502" t="s">
        <v>147</v>
      </c>
      <c r="O65" s="502"/>
      <c r="P65" s="503">
        <v>50</v>
      </c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2</v>
      </c>
      <c r="B66" s="497"/>
      <c r="C66" s="104" t="s">
        <v>210</v>
      </c>
      <c r="D66" s="330"/>
      <c r="E66" s="333" t="s">
        <v>242</v>
      </c>
      <c r="F66" s="498" t="s">
        <v>504</v>
      </c>
      <c r="G66" s="499"/>
      <c r="H66" s="499"/>
      <c r="I66" s="499"/>
      <c r="J66" s="500"/>
      <c r="K66" s="501" t="s">
        <v>506</v>
      </c>
      <c r="L66" s="501"/>
      <c r="M66" s="51" t="s">
        <v>143</v>
      </c>
      <c r="N66" s="502" t="s">
        <v>292</v>
      </c>
      <c r="O66" s="502"/>
      <c r="P66" s="503">
        <v>100</v>
      </c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3</v>
      </c>
      <c r="B67" s="497"/>
      <c r="C67" s="104" t="s">
        <v>112</v>
      </c>
      <c r="D67" s="330"/>
      <c r="E67" s="333" t="s">
        <v>234</v>
      </c>
      <c r="F67" s="498" t="s">
        <v>505</v>
      </c>
      <c r="G67" s="499"/>
      <c r="H67" s="499"/>
      <c r="I67" s="499"/>
      <c r="J67" s="500"/>
      <c r="K67" s="501" t="s">
        <v>217</v>
      </c>
      <c r="L67" s="501"/>
      <c r="M67" s="51" t="s">
        <v>143</v>
      </c>
      <c r="N67" s="502" t="s">
        <v>292</v>
      </c>
      <c r="O67" s="502"/>
      <c r="P67" s="503">
        <v>400</v>
      </c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4</v>
      </c>
      <c r="B68" s="497"/>
      <c r="C68" s="104" t="s">
        <v>210</v>
      </c>
      <c r="D68" s="330"/>
      <c r="E68" s="333" t="s">
        <v>253</v>
      </c>
      <c r="F68" s="498" t="s">
        <v>254</v>
      </c>
      <c r="G68" s="499"/>
      <c r="H68" s="499"/>
      <c r="I68" s="499"/>
      <c r="J68" s="500"/>
      <c r="K68" s="501">
        <v>7301</v>
      </c>
      <c r="L68" s="501"/>
      <c r="M68" s="51" t="s">
        <v>143</v>
      </c>
      <c r="N68" s="502" t="s">
        <v>222</v>
      </c>
      <c r="O68" s="502"/>
      <c r="P68" s="503">
        <v>50</v>
      </c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5</v>
      </c>
      <c r="B69" s="497"/>
      <c r="C69" s="104" t="s">
        <v>210</v>
      </c>
      <c r="D69" s="330"/>
      <c r="E69" s="333" t="s">
        <v>115</v>
      </c>
      <c r="F69" s="498" t="s">
        <v>336</v>
      </c>
      <c r="G69" s="499"/>
      <c r="H69" s="499"/>
      <c r="I69" s="499"/>
      <c r="J69" s="500"/>
      <c r="K69" s="501" t="s">
        <v>213</v>
      </c>
      <c r="L69" s="501"/>
      <c r="M69" s="51" t="s">
        <v>143</v>
      </c>
      <c r="N69" s="502" t="s">
        <v>222</v>
      </c>
      <c r="O69" s="502"/>
      <c r="P69" s="503">
        <v>100</v>
      </c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6</v>
      </c>
      <c r="B70" s="497"/>
      <c r="C70" s="104"/>
      <c r="D70" s="330"/>
      <c r="E70" s="333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7</v>
      </c>
      <c r="B71" s="497"/>
      <c r="C71" s="104"/>
      <c r="D71" s="330"/>
      <c r="E71" s="333"/>
      <c r="F71" s="498"/>
      <c r="G71" s="499"/>
      <c r="H71" s="499"/>
      <c r="I71" s="499"/>
      <c r="J71" s="500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8</v>
      </c>
      <c r="B72" s="497"/>
      <c r="C72" s="104"/>
      <c r="D72" s="330"/>
      <c r="E72" s="333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9</v>
      </c>
      <c r="B73" s="497"/>
      <c r="C73" s="104"/>
      <c r="D73" s="330"/>
      <c r="E73" s="333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5.5" customHeight="1">
      <c r="A74" s="496">
        <v>10</v>
      </c>
      <c r="B74" s="497"/>
      <c r="C74" s="104"/>
      <c r="D74" s="330"/>
      <c r="E74" s="333"/>
      <c r="F74" s="505"/>
      <c r="G74" s="501"/>
      <c r="H74" s="501"/>
      <c r="I74" s="501"/>
      <c r="J74" s="501"/>
      <c r="K74" s="501"/>
      <c r="L74" s="501"/>
      <c r="M74" s="51"/>
      <c r="N74" s="502"/>
      <c r="O74" s="502"/>
      <c r="P74" s="503"/>
      <c r="Q74" s="503"/>
      <c r="R74" s="477"/>
      <c r="S74" s="477"/>
      <c r="T74" s="477"/>
      <c r="U74" s="477"/>
      <c r="V74" s="477"/>
      <c r="W74" s="477"/>
      <c r="X74" s="477"/>
      <c r="Y74" s="477"/>
      <c r="Z74" s="477"/>
      <c r="AA74" s="477"/>
      <c r="AB74" s="501"/>
      <c r="AC74" s="501"/>
      <c r="AD74" s="504"/>
      <c r="AF74" s="50"/>
    </row>
    <row r="75" spans="1:32" ht="26.25" customHeight="1" thickBot="1">
      <c r="A75" s="506" t="s">
        <v>507</v>
      </c>
      <c r="B75" s="506"/>
      <c r="C75" s="506"/>
      <c r="D75" s="506"/>
      <c r="E75" s="506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507" t="s">
        <v>126</v>
      </c>
      <c r="B76" s="508"/>
      <c r="C76" s="332" t="s">
        <v>2</v>
      </c>
      <c r="D76" s="332" t="s">
        <v>37</v>
      </c>
      <c r="E76" s="332" t="s">
        <v>125</v>
      </c>
      <c r="F76" s="508" t="s">
        <v>38</v>
      </c>
      <c r="G76" s="508"/>
      <c r="H76" s="508"/>
      <c r="I76" s="508"/>
      <c r="J76" s="508"/>
      <c r="K76" s="509" t="s">
        <v>58</v>
      </c>
      <c r="L76" s="510"/>
      <c r="M76" s="510"/>
      <c r="N76" s="510"/>
      <c r="O76" s="510"/>
      <c r="P76" s="510"/>
      <c r="Q76" s="510"/>
      <c r="R76" s="510"/>
      <c r="S76" s="511"/>
      <c r="T76" s="508" t="s">
        <v>49</v>
      </c>
      <c r="U76" s="508"/>
      <c r="V76" s="509" t="s">
        <v>50</v>
      </c>
      <c r="W76" s="511"/>
      <c r="X76" s="510" t="s">
        <v>51</v>
      </c>
      <c r="Y76" s="510"/>
      <c r="Z76" s="510"/>
      <c r="AA76" s="510"/>
      <c r="AB76" s="510"/>
      <c r="AC76" s="510"/>
      <c r="AD76" s="512"/>
      <c r="AF76" s="50"/>
    </row>
    <row r="77" spans="1:32" ht="33.75" customHeight="1">
      <c r="A77" s="521">
        <v>1</v>
      </c>
      <c r="B77" s="522"/>
      <c r="C77" s="331" t="s">
        <v>112</v>
      </c>
      <c r="D77" s="331"/>
      <c r="E77" s="65" t="s">
        <v>117</v>
      </c>
      <c r="F77" s="523" t="s">
        <v>116</v>
      </c>
      <c r="G77" s="524"/>
      <c r="H77" s="524"/>
      <c r="I77" s="524"/>
      <c r="J77" s="525"/>
      <c r="K77" s="526" t="s">
        <v>119</v>
      </c>
      <c r="L77" s="527"/>
      <c r="M77" s="527"/>
      <c r="N77" s="527"/>
      <c r="O77" s="527"/>
      <c r="P77" s="527"/>
      <c r="Q77" s="527"/>
      <c r="R77" s="527"/>
      <c r="S77" s="528"/>
      <c r="T77" s="529">
        <v>44118</v>
      </c>
      <c r="U77" s="530"/>
      <c r="V77" s="531"/>
      <c r="W77" s="531"/>
      <c r="X77" s="532"/>
      <c r="Y77" s="532"/>
      <c r="Z77" s="532"/>
      <c r="AA77" s="532"/>
      <c r="AB77" s="532"/>
      <c r="AC77" s="532"/>
      <c r="AD77" s="533"/>
      <c r="AF77" s="50"/>
    </row>
    <row r="78" spans="1:32" ht="30" customHeight="1">
      <c r="A78" s="513">
        <f>A77+1</f>
        <v>2</v>
      </c>
      <c r="B78" s="514"/>
      <c r="C78" s="330"/>
      <c r="D78" s="330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ref="A79:A83" si="19">A78+1</f>
        <v>3</v>
      </c>
      <c r="B79" s="514"/>
      <c r="C79" s="330"/>
      <c r="D79" s="330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9"/>
        <v>4</v>
      </c>
      <c r="B80" s="514"/>
      <c r="C80" s="330"/>
      <c r="D80" s="330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9"/>
        <v>5</v>
      </c>
      <c r="B81" s="514"/>
      <c r="C81" s="330"/>
      <c r="D81" s="330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9"/>
        <v>6</v>
      </c>
      <c r="B82" s="514"/>
      <c r="C82" s="330"/>
      <c r="D82" s="330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0" customHeight="1">
      <c r="A83" s="513">
        <f t="shared" si="19"/>
        <v>7</v>
      </c>
      <c r="B83" s="514"/>
      <c r="C83" s="330"/>
      <c r="D83" s="330"/>
      <c r="E83" s="32"/>
      <c r="F83" s="514"/>
      <c r="G83" s="514"/>
      <c r="H83" s="514"/>
      <c r="I83" s="514"/>
      <c r="J83" s="514"/>
      <c r="K83" s="515"/>
      <c r="L83" s="516"/>
      <c r="M83" s="516"/>
      <c r="N83" s="516"/>
      <c r="O83" s="516"/>
      <c r="P83" s="516"/>
      <c r="Q83" s="516"/>
      <c r="R83" s="516"/>
      <c r="S83" s="517"/>
      <c r="T83" s="518"/>
      <c r="U83" s="518"/>
      <c r="V83" s="518"/>
      <c r="W83" s="518"/>
      <c r="X83" s="519"/>
      <c r="Y83" s="519"/>
      <c r="Z83" s="519"/>
      <c r="AA83" s="519"/>
      <c r="AB83" s="519"/>
      <c r="AC83" s="519"/>
      <c r="AD83" s="520"/>
      <c r="AF83" s="50"/>
    </row>
    <row r="84" spans="1:32" ht="36" thickBot="1">
      <c r="A84" s="506" t="s">
        <v>508</v>
      </c>
      <c r="B84" s="506"/>
      <c r="C84" s="506"/>
      <c r="D84" s="506"/>
      <c r="E84" s="50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507" t="s">
        <v>111</v>
      </c>
      <c r="B85" s="508"/>
      <c r="C85" s="534" t="s">
        <v>52</v>
      </c>
      <c r="D85" s="534"/>
      <c r="E85" s="534" t="s">
        <v>53</v>
      </c>
      <c r="F85" s="534"/>
      <c r="G85" s="534"/>
      <c r="H85" s="534"/>
      <c r="I85" s="534"/>
      <c r="J85" s="534"/>
      <c r="K85" s="534" t="s">
        <v>54</v>
      </c>
      <c r="L85" s="534"/>
      <c r="M85" s="534"/>
      <c r="N85" s="534"/>
      <c r="O85" s="534"/>
      <c r="P85" s="534"/>
      <c r="Q85" s="534"/>
      <c r="R85" s="534"/>
      <c r="S85" s="534"/>
      <c r="T85" s="534" t="s">
        <v>55</v>
      </c>
      <c r="U85" s="534"/>
      <c r="V85" s="534" t="s">
        <v>56</v>
      </c>
      <c r="W85" s="534"/>
      <c r="X85" s="534"/>
      <c r="Y85" s="534" t="s">
        <v>51</v>
      </c>
      <c r="Z85" s="534"/>
      <c r="AA85" s="534"/>
      <c r="AB85" s="534"/>
      <c r="AC85" s="534"/>
      <c r="AD85" s="535"/>
      <c r="AF85" s="50"/>
    </row>
    <row r="86" spans="1:32" ht="30.75" customHeight="1">
      <c r="A86" s="521">
        <v>1</v>
      </c>
      <c r="B86" s="522"/>
      <c r="C86" s="536">
        <v>9</v>
      </c>
      <c r="D86" s="536"/>
      <c r="E86" s="536" t="s">
        <v>136</v>
      </c>
      <c r="F86" s="536"/>
      <c r="G86" s="536"/>
      <c r="H86" s="536"/>
      <c r="I86" s="536"/>
      <c r="J86" s="536"/>
      <c r="K86" s="536" t="s">
        <v>161</v>
      </c>
      <c r="L86" s="536"/>
      <c r="M86" s="536"/>
      <c r="N86" s="536"/>
      <c r="O86" s="536"/>
      <c r="P86" s="536"/>
      <c r="Q86" s="536"/>
      <c r="R86" s="536"/>
      <c r="S86" s="536"/>
      <c r="T86" s="536" t="s">
        <v>137</v>
      </c>
      <c r="U86" s="536"/>
      <c r="V86" s="537" t="s">
        <v>152</v>
      </c>
      <c r="W86" s="537"/>
      <c r="X86" s="537"/>
      <c r="Y86" s="538"/>
      <c r="Z86" s="538"/>
      <c r="AA86" s="538"/>
      <c r="AB86" s="538"/>
      <c r="AC86" s="538"/>
      <c r="AD86" s="539"/>
      <c r="AF86" s="50"/>
    </row>
    <row r="87" spans="1:32" ht="30.75" customHeight="1">
      <c r="A87" s="513">
        <v>2</v>
      </c>
      <c r="B87" s="514"/>
      <c r="C87" s="547"/>
      <c r="D87" s="547"/>
      <c r="E87" s="547"/>
      <c r="F87" s="547"/>
      <c r="G87" s="547"/>
      <c r="H87" s="547"/>
      <c r="I87" s="547"/>
      <c r="J87" s="547"/>
      <c r="K87" s="547"/>
      <c r="L87" s="547"/>
      <c r="M87" s="547"/>
      <c r="N87" s="547"/>
      <c r="O87" s="547"/>
      <c r="P87" s="547"/>
      <c r="Q87" s="547"/>
      <c r="R87" s="547"/>
      <c r="S87" s="547"/>
      <c r="T87" s="548"/>
      <c r="U87" s="548"/>
      <c r="V87" s="549"/>
      <c r="W87" s="549"/>
      <c r="X87" s="549"/>
      <c r="Y87" s="540"/>
      <c r="Z87" s="540"/>
      <c r="AA87" s="540"/>
      <c r="AB87" s="540"/>
      <c r="AC87" s="540"/>
      <c r="AD87" s="541"/>
      <c r="AF87" s="50"/>
    </row>
    <row r="88" spans="1:32" ht="30.75" customHeight="1" thickBot="1">
      <c r="A88" s="542">
        <v>3</v>
      </c>
      <c r="B88" s="543"/>
      <c r="C88" s="544"/>
      <c r="D88" s="544"/>
      <c r="E88" s="544"/>
      <c r="F88" s="544"/>
      <c r="G88" s="544"/>
      <c r="H88" s="544"/>
      <c r="I88" s="544"/>
      <c r="J88" s="544"/>
      <c r="K88" s="544"/>
      <c r="L88" s="544"/>
      <c r="M88" s="544"/>
      <c r="N88" s="544"/>
      <c r="O88" s="544"/>
      <c r="P88" s="544"/>
      <c r="Q88" s="544"/>
      <c r="R88" s="544"/>
      <c r="S88" s="544"/>
      <c r="T88" s="544"/>
      <c r="U88" s="544"/>
      <c r="V88" s="544"/>
      <c r="W88" s="544"/>
      <c r="X88" s="544"/>
      <c r="Y88" s="545"/>
      <c r="Z88" s="545"/>
      <c r="AA88" s="545"/>
      <c r="AB88" s="545"/>
      <c r="AC88" s="545"/>
      <c r="AD88" s="546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BF61-4B19-4AE5-BE12-38ED1462F5E8}">
  <dimension ref="A1:AF88"/>
  <sheetViews>
    <sheetView view="pageBreakPreview" zoomScale="70" zoomScaleNormal="72" zoomScaleSheetLayoutView="70" workbookViewId="0">
      <selection activeCell="X14" sqref="X1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509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342" t="s">
        <v>17</v>
      </c>
      <c r="L5" s="342" t="s">
        <v>18</v>
      </c>
      <c r="M5" s="342" t="s">
        <v>19</v>
      </c>
      <c r="N5" s="34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118</v>
      </c>
      <c r="D6" s="52" t="s">
        <v>142</v>
      </c>
      <c r="E6" s="53" t="s">
        <v>501</v>
      </c>
      <c r="F6" s="30" t="s">
        <v>232</v>
      </c>
      <c r="G6" s="12">
        <v>2</v>
      </c>
      <c r="H6" s="13">
        <v>24</v>
      </c>
      <c r="I6" s="31">
        <v>130000</v>
      </c>
      <c r="J6" s="14">
        <v>4662</v>
      </c>
      <c r="K6" s="15">
        <f>L6</f>
        <v>4662</v>
      </c>
      <c r="L6" s="15">
        <f>2331*2</f>
        <v>4662</v>
      </c>
      <c r="M6" s="15">
        <f t="shared" ref="M6:M22" si="0">L6-N6</f>
        <v>4662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14</v>
      </c>
      <c r="Q6" s="40">
        <f t="shared" ref="Q6:Q22" si="3">SUM(R6:AA6)</f>
        <v>10</v>
      </c>
      <c r="R6" s="7"/>
      <c r="S6" s="6">
        <v>10</v>
      </c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0.58333333333333337</v>
      </c>
      <c r="AD6" s="10">
        <f t="shared" ref="AD6:AD22" si="6">AC6*AB6*(1-O6)</f>
        <v>0.58333333333333337</v>
      </c>
      <c r="AE6" s="36">
        <f t="shared" ref="AE6:AE22" si="7">$AD$23</f>
        <v>0.51715686274509798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208</v>
      </c>
      <c r="E7" s="53" t="s">
        <v>246</v>
      </c>
      <c r="F7" s="30" t="s">
        <v>247</v>
      </c>
      <c r="G7" s="12">
        <v>1</v>
      </c>
      <c r="H7" s="13">
        <v>24</v>
      </c>
      <c r="I7" s="31">
        <v>35000</v>
      </c>
      <c r="J7" s="14">
        <v>1812</v>
      </c>
      <c r="K7" s="15">
        <f>L7+5992+4796+6025+5646+5542</f>
        <v>29813</v>
      </c>
      <c r="L7" s="15">
        <v>1812</v>
      </c>
      <c r="M7" s="15">
        <f t="shared" si="0"/>
        <v>1812</v>
      </c>
      <c r="N7" s="15">
        <v>0</v>
      </c>
      <c r="O7" s="58">
        <f t="shared" si="1"/>
        <v>0</v>
      </c>
      <c r="P7" s="39">
        <f t="shared" si="2"/>
        <v>8</v>
      </c>
      <c r="Q7" s="40">
        <f t="shared" si="3"/>
        <v>16</v>
      </c>
      <c r="R7" s="7"/>
      <c r="S7" s="6"/>
      <c r="T7" s="16"/>
      <c r="U7" s="16"/>
      <c r="V7" s="17">
        <v>16</v>
      </c>
      <c r="W7" s="5"/>
      <c r="X7" s="16"/>
      <c r="Y7" s="16"/>
      <c r="Z7" s="16"/>
      <c r="AA7" s="18"/>
      <c r="AB7" s="8">
        <f t="shared" si="4"/>
        <v>1</v>
      </c>
      <c r="AC7" s="9">
        <f t="shared" si="5"/>
        <v>0.33333333333333331</v>
      </c>
      <c r="AD7" s="10">
        <f t="shared" si="6"/>
        <v>0.33333333333333331</v>
      </c>
      <c r="AE7" s="36">
        <f t="shared" si="7"/>
        <v>0.51715686274509798</v>
      </c>
      <c r="AF7" s="84">
        <f t="shared" si="8"/>
        <v>2</v>
      </c>
    </row>
    <row r="8" spans="1:32" ht="27" customHeight="1">
      <c r="A8" s="112">
        <v>2</v>
      </c>
      <c r="B8" s="11" t="s">
        <v>57</v>
      </c>
      <c r="C8" s="34" t="s">
        <v>112</v>
      </c>
      <c r="D8" s="52" t="s">
        <v>208</v>
      </c>
      <c r="E8" s="53" t="s">
        <v>510</v>
      </c>
      <c r="F8" s="30" t="s">
        <v>247</v>
      </c>
      <c r="G8" s="12">
        <v>1</v>
      </c>
      <c r="H8" s="13">
        <v>24</v>
      </c>
      <c r="I8" s="31">
        <v>3000</v>
      </c>
      <c r="J8" s="14">
        <v>1350</v>
      </c>
      <c r="K8" s="15">
        <f>L8</f>
        <v>1350</v>
      </c>
      <c r="L8" s="15">
        <v>1350</v>
      </c>
      <c r="M8" s="15">
        <f t="shared" ref="M8" si="9">L8-N8</f>
        <v>1350</v>
      </c>
      <c r="N8" s="15">
        <v>0</v>
      </c>
      <c r="O8" s="58">
        <f t="shared" ref="O8" si="10">IF(L8=0,"0",N8/L8)</f>
        <v>0</v>
      </c>
      <c r="P8" s="39">
        <f t="shared" ref="P8" si="11">IF(L8=0,"0",(24-Q8))</f>
        <v>7</v>
      </c>
      <c r="Q8" s="40">
        <f t="shared" ref="Q8" si="12">SUM(R8:AA8)</f>
        <v>17</v>
      </c>
      <c r="R8" s="7"/>
      <c r="S8" s="6">
        <v>7</v>
      </c>
      <c r="T8" s="16">
        <v>10</v>
      </c>
      <c r="U8" s="16"/>
      <c r="V8" s="17"/>
      <c r="W8" s="5"/>
      <c r="X8" s="16"/>
      <c r="Y8" s="16"/>
      <c r="Z8" s="16"/>
      <c r="AA8" s="18"/>
      <c r="AB8" s="8">
        <f t="shared" ref="AB8" si="13">IF(J8=0,"0",(L8/J8))</f>
        <v>1</v>
      </c>
      <c r="AC8" s="9">
        <f t="shared" ref="AC8" si="14">IF(P8=0,"0",(P8/24))</f>
        <v>0.29166666666666669</v>
      </c>
      <c r="AD8" s="10">
        <f t="shared" ref="AD8" si="15">AC8*AB8*(1-O8)</f>
        <v>0.29166666666666669</v>
      </c>
      <c r="AE8" s="36">
        <f t="shared" si="7"/>
        <v>0.51715686274509798</v>
      </c>
      <c r="AF8" s="84">
        <f t="shared" ref="AF8" si="16">A8</f>
        <v>2</v>
      </c>
    </row>
    <row r="9" spans="1:32" ht="27" customHeight="1">
      <c r="A9" s="96">
        <v>3</v>
      </c>
      <c r="B9" s="11" t="s">
        <v>57</v>
      </c>
      <c r="C9" s="34" t="s">
        <v>120</v>
      </c>
      <c r="D9" s="52"/>
      <c r="E9" s="53" t="s">
        <v>371</v>
      </c>
      <c r="F9" s="30" t="s">
        <v>213</v>
      </c>
      <c r="G9" s="12">
        <v>2</v>
      </c>
      <c r="H9" s="13">
        <v>24</v>
      </c>
      <c r="I9" s="7">
        <v>10000</v>
      </c>
      <c r="J9" s="5">
        <v>10002</v>
      </c>
      <c r="K9" s="15">
        <f>L9+5408</f>
        <v>15410</v>
      </c>
      <c r="L9" s="15">
        <f>2297*2+2704*2</f>
        <v>10002</v>
      </c>
      <c r="M9" s="15">
        <f t="shared" si="0"/>
        <v>10002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0.51715686274509798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280</v>
      </c>
      <c r="E10" s="53" t="s">
        <v>498</v>
      </c>
      <c r="F10" s="30" t="s">
        <v>404</v>
      </c>
      <c r="G10" s="12">
        <v>1</v>
      </c>
      <c r="H10" s="13">
        <v>24</v>
      </c>
      <c r="I10" s="7">
        <v>30000</v>
      </c>
      <c r="J10" s="14">
        <v>3787</v>
      </c>
      <c r="K10" s="15">
        <f>L10</f>
        <v>3787</v>
      </c>
      <c r="L10" s="15">
        <f>1298+2489</f>
        <v>3787</v>
      </c>
      <c r="M10" s="15">
        <f t="shared" si="0"/>
        <v>3787</v>
      </c>
      <c r="N10" s="15">
        <v>0</v>
      </c>
      <c r="O10" s="58">
        <f t="shared" si="1"/>
        <v>0</v>
      </c>
      <c r="P10" s="39">
        <f t="shared" si="2"/>
        <v>19</v>
      </c>
      <c r="Q10" s="40">
        <f t="shared" si="3"/>
        <v>5</v>
      </c>
      <c r="R10" s="7"/>
      <c r="S10" s="6"/>
      <c r="T10" s="16">
        <v>5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0.79166666666666663</v>
      </c>
      <c r="AD10" s="10">
        <f t="shared" si="6"/>
        <v>0.79166666666666663</v>
      </c>
      <c r="AE10" s="36">
        <f t="shared" si="7"/>
        <v>0.51715686274509798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118</v>
      </c>
      <c r="D11" s="52" t="s">
        <v>131</v>
      </c>
      <c r="E11" s="53" t="s">
        <v>490</v>
      </c>
      <c r="F11" s="30" t="s">
        <v>144</v>
      </c>
      <c r="G11" s="33">
        <v>2</v>
      </c>
      <c r="H11" s="35">
        <v>24</v>
      </c>
      <c r="I11" s="7">
        <v>32000</v>
      </c>
      <c r="J11" s="14">
        <v>11900</v>
      </c>
      <c r="K11" s="15">
        <f>L11+5096</f>
        <v>16996</v>
      </c>
      <c r="L11" s="15">
        <f>3012*2+2938*2</f>
        <v>11900</v>
      </c>
      <c r="M11" s="15">
        <f t="shared" si="0"/>
        <v>11900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0.51715686274509798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210</v>
      </c>
      <c r="D12" s="52" t="s">
        <v>289</v>
      </c>
      <c r="E12" s="53" t="s">
        <v>354</v>
      </c>
      <c r="F12" s="30" t="s">
        <v>213</v>
      </c>
      <c r="G12" s="33">
        <v>2</v>
      </c>
      <c r="H12" s="35">
        <v>24</v>
      </c>
      <c r="I12" s="7">
        <v>4000</v>
      </c>
      <c r="J12" s="14">
        <v>4246</v>
      </c>
      <c r="K12" s="15">
        <f>L12</f>
        <v>4246</v>
      </c>
      <c r="L12" s="15">
        <f>2123*2</f>
        <v>4246</v>
      </c>
      <c r="M12" s="15">
        <f t="shared" si="0"/>
        <v>4246</v>
      </c>
      <c r="N12" s="15">
        <v>0</v>
      </c>
      <c r="O12" s="58">
        <f t="shared" si="1"/>
        <v>0</v>
      </c>
      <c r="P12" s="39">
        <f t="shared" si="2"/>
        <v>14</v>
      </c>
      <c r="Q12" s="40">
        <f t="shared" si="3"/>
        <v>10</v>
      </c>
      <c r="R12" s="7"/>
      <c r="S12" s="6">
        <v>10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0.58333333333333337</v>
      </c>
      <c r="AD12" s="10">
        <f t="shared" si="6"/>
        <v>0.58333333333333337</v>
      </c>
      <c r="AE12" s="36">
        <f t="shared" si="7"/>
        <v>0.51715686274509798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394</v>
      </c>
      <c r="F13" s="30" t="s">
        <v>128</v>
      </c>
      <c r="G13" s="12">
        <v>1</v>
      </c>
      <c r="H13" s="13">
        <v>22</v>
      </c>
      <c r="I13" s="31">
        <v>10000</v>
      </c>
      <c r="J13" s="5">
        <v>1899</v>
      </c>
      <c r="K13" s="15">
        <f>L13</f>
        <v>1899</v>
      </c>
      <c r="L13" s="15">
        <f>1063+836</f>
        <v>1899</v>
      </c>
      <c r="M13" s="15">
        <f t="shared" si="0"/>
        <v>1899</v>
      </c>
      <c r="N13" s="15">
        <v>0</v>
      </c>
      <c r="O13" s="58">
        <f t="shared" si="1"/>
        <v>0</v>
      </c>
      <c r="P13" s="39">
        <f t="shared" si="2"/>
        <v>9</v>
      </c>
      <c r="Q13" s="40">
        <f t="shared" si="3"/>
        <v>15</v>
      </c>
      <c r="R13" s="7"/>
      <c r="S13" s="6">
        <v>15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0.375</v>
      </c>
      <c r="AD13" s="10">
        <f t="shared" si="6"/>
        <v>0.375</v>
      </c>
      <c r="AE13" s="36">
        <f t="shared" si="7"/>
        <v>0.51715686274509798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131</v>
      </c>
      <c r="E14" s="53" t="s">
        <v>368</v>
      </c>
      <c r="F14" s="30" t="s">
        <v>144</v>
      </c>
      <c r="G14" s="33">
        <v>1</v>
      </c>
      <c r="H14" s="35">
        <v>24</v>
      </c>
      <c r="I14" s="7">
        <v>35000</v>
      </c>
      <c r="J14" s="14">
        <v>5726</v>
      </c>
      <c r="K14" s="15">
        <f>L14+5836+5860+5835+5890+5616</f>
        <v>34763</v>
      </c>
      <c r="L14" s="15">
        <f>2810+2916</f>
        <v>5726</v>
      </c>
      <c r="M14" s="15">
        <f t="shared" si="0"/>
        <v>5726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7"/>
        <v>0.51715686274509798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491</v>
      </c>
      <c r="F15" s="30" t="s">
        <v>286</v>
      </c>
      <c r="G15" s="33">
        <v>1</v>
      </c>
      <c r="H15" s="35">
        <v>50</v>
      </c>
      <c r="I15" s="7">
        <v>2500</v>
      </c>
      <c r="J15" s="5">
        <v>982</v>
      </c>
      <c r="K15" s="15">
        <f>L15+893</f>
        <v>1875</v>
      </c>
      <c r="L15" s="15">
        <f>982</f>
        <v>982</v>
      </c>
      <c r="M15" s="15">
        <f t="shared" si="0"/>
        <v>982</v>
      </c>
      <c r="N15" s="15">
        <v>0</v>
      </c>
      <c r="O15" s="58">
        <f t="shared" si="1"/>
        <v>0</v>
      </c>
      <c r="P15" s="39">
        <f t="shared" si="2"/>
        <v>11</v>
      </c>
      <c r="Q15" s="40">
        <f t="shared" si="3"/>
        <v>13</v>
      </c>
      <c r="R15" s="7"/>
      <c r="S15" s="6"/>
      <c r="T15" s="16"/>
      <c r="U15" s="16"/>
      <c r="V15" s="17">
        <v>13</v>
      </c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0.45833333333333331</v>
      </c>
      <c r="AD15" s="10">
        <f t="shared" si="6"/>
        <v>0.45833333333333331</v>
      </c>
      <c r="AE15" s="36">
        <f t="shared" si="7"/>
        <v>0.51715686274509798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118</v>
      </c>
      <c r="D16" s="52" t="s">
        <v>129</v>
      </c>
      <c r="E16" s="53" t="s">
        <v>200</v>
      </c>
      <c r="F16" s="30" t="s">
        <v>157</v>
      </c>
      <c r="G16" s="12">
        <v>4</v>
      </c>
      <c r="H16" s="13">
        <v>24</v>
      </c>
      <c r="I16" s="31">
        <v>12000</v>
      </c>
      <c r="J16" s="14">
        <v>12356</v>
      </c>
      <c r="K16" s="15">
        <f>L16+12356</f>
        <v>12356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0.51715686274509798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120</v>
      </c>
      <c r="D17" s="52"/>
      <c r="E17" s="53" t="s">
        <v>261</v>
      </c>
      <c r="F17" s="30" t="s">
        <v>262</v>
      </c>
      <c r="G17" s="12">
        <v>1</v>
      </c>
      <c r="H17" s="13">
        <v>24</v>
      </c>
      <c r="I17" s="7">
        <v>10000</v>
      </c>
      <c r="J17" s="14">
        <v>1864</v>
      </c>
      <c r="K17" s="15">
        <f>L17</f>
        <v>1864</v>
      </c>
      <c r="L17" s="15">
        <f>200*2+732*2</f>
        <v>1864</v>
      </c>
      <c r="M17" s="15">
        <f t="shared" si="0"/>
        <v>1864</v>
      </c>
      <c r="N17" s="15">
        <v>0</v>
      </c>
      <c r="O17" s="58">
        <f t="shared" si="1"/>
        <v>0</v>
      </c>
      <c r="P17" s="39">
        <f t="shared" si="2"/>
        <v>5</v>
      </c>
      <c r="Q17" s="40">
        <f t="shared" si="3"/>
        <v>19</v>
      </c>
      <c r="R17" s="7"/>
      <c r="S17" s="6">
        <v>19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0.20833333333333334</v>
      </c>
      <c r="AD17" s="10">
        <f t="shared" si="6"/>
        <v>0.20833333333333334</v>
      </c>
      <c r="AE17" s="36">
        <f t="shared" si="7"/>
        <v>0.51715686274509798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210</v>
      </c>
      <c r="D18" s="52" t="s">
        <v>242</v>
      </c>
      <c r="E18" s="53" t="s">
        <v>440</v>
      </c>
      <c r="F18" s="30" t="s">
        <v>358</v>
      </c>
      <c r="G18" s="12">
        <v>2</v>
      </c>
      <c r="H18" s="13">
        <v>24</v>
      </c>
      <c r="I18" s="7">
        <v>7000</v>
      </c>
      <c r="J18" s="14">
        <v>7314</v>
      </c>
      <c r="K18" s="15">
        <f>L18+8300+7314</f>
        <v>15614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0.51715686274509798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210</v>
      </c>
      <c r="D19" s="52" t="s">
        <v>115</v>
      </c>
      <c r="E19" s="53" t="s">
        <v>484</v>
      </c>
      <c r="F19" s="30" t="s">
        <v>128</v>
      </c>
      <c r="G19" s="33">
        <v>1</v>
      </c>
      <c r="H19" s="35">
        <v>24</v>
      </c>
      <c r="I19" s="7">
        <v>9500</v>
      </c>
      <c r="J19" s="14">
        <v>5399</v>
      </c>
      <c r="K19" s="15">
        <f>L19+3652</f>
        <v>9051</v>
      </c>
      <c r="L19" s="15">
        <f>2532+2867</f>
        <v>5399</v>
      </c>
      <c r="M19" s="15">
        <f t="shared" si="0"/>
        <v>5399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0.51715686274509798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208</v>
      </c>
      <c r="E20" s="53" t="s">
        <v>512</v>
      </c>
      <c r="F20" s="30" t="s">
        <v>156</v>
      </c>
      <c r="G20" s="33">
        <v>1</v>
      </c>
      <c r="H20" s="35">
        <v>24</v>
      </c>
      <c r="I20" s="7">
        <v>39000</v>
      </c>
      <c r="J20" s="14">
        <v>2260</v>
      </c>
      <c r="K20" s="15">
        <f>L20</f>
        <v>2260</v>
      </c>
      <c r="L20" s="15">
        <f>569+1691</f>
        <v>2260</v>
      </c>
      <c r="M20" s="15">
        <f t="shared" si="0"/>
        <v>2260</v>
      </c>
      <c r="N20" s="15">
        <v>0</v>
      </c>
      <c r="O20" s="58">
        <f t="shared" si="1"/>
        <v>0</v>
      </c>
      <c r="P20" s="39">
        <f t="shared" si="2"/>
        <v>15</v>
      </c>
      <c r="Q20" s="40">
        <f t="shared" si="3"/>
        <v>9</v>
      </c>
      <c r="R20" s="7"/>
      <c r="S20" s="6">
        <v>9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0.625</v>
      </c>
      <c r="AD20" s="10">
        <f t="shared" si="6"/>
        <v>0.625</v>
      </c>
      <c r="AE20" s="36">
        <f t="shared" si="7"/>
        <v>0.51715686274509798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118</v>
      </c>
      <c r="D21" s="52" t="s">
        <v>115</v>
      </c>
      <c r="E21" s="53" t="s">
        <v>394</v>
      </c>
      <c r="F21" s="30" t="s">
        <v>311</v>
      </c>
      <c r="G21" s="12">
        <v>1</v>
      </c>
      <c r="H21" s="13">
        <v>24</v>
      </c>
      <c r="I21" s="7">
        <v>16000</v>
      </c>
      <c r="J21" s="14">
        <v>1607</v>
      </c>
      <c r="K21" s="15">
        <f>L21+2115+2480+2319+1607</f>
        <v>8521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>
        <v>24</v>
      </c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0.51715686274509798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175</v>
      </c>
      <c r="F22" s="12" t="s">
        <v>114</v>
      </c>
      <c r="G22" s="12">
        <v>3</v>
      </c>
      <c r="H22" s="35">
        <v>20</v>
      </c>
      <c r="I22" s="7">
        <v>1000000</v>
      </c>
      <c r="J22" s="14">
        <v>34220</v>
      </c>
      <c r="K22" s="15">
        <f>L22+62008+65280+66156+31132+60100+67104+64940+66996+38324+18548+31820+33244+32052+33372+27132</f>
        <v>732428</v>
      </c>
      <c r="L22" s="15">
        <f>8555*4</f>
        <v>34220</v>
      </c>
      <c r="M22" s="15">
        <f t="shared" si="0"/>
        <v>34220</v>
      </c>
      <c r="N22" s="15">
        <v>0</v>
      </c>
      <c r="O22" s="58">
        <f t="shared" si="1"/>
        <v>0</v>
      </c>
      <c r="P22" s="39">
        <f t="shared" si="2"/>
        <v>13</v>
      </c>
      <c r="Q22" s="40">
        <f t="shared" si="3"/>
        <v>11</v>
      </c>
      <c r="R22" s="7"/>
      <c r="S22" s="6"/>
      <c r="T22" s="16"/>
      <c r="U22" s="16"/>
      <c r="V22" s="17">
        <v>11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0.54166666666666663</v>
      </c>
      <c r="AD22" s="10">
        <f t="shared" si="6"/>
        <v>0.54166666666666663</v>
      </c>
      <c r="AE22" s="36">
        <f t="shared" si="7"/>
        <v>0.51715686274509798</v>
      </c>
      <c r="AF22" s="84">
        <f t="shared" si="8"/>
        <v>16</v>
      </c>
    </row>
    <row r="23" spans="1:32" ht="31.5" customHeight="1" thickBot="1">
      <c r="A23" s="443" t="s">
        <v>34</v>
      </c>
      <c r="B23" s="444"/>
      <c r="C23" s="444"/>
      <c r="D23" s="444"/>
      <c r="E23" s="444"/>
      <c r="F23" s="444"/>
      <c r="G23" s="444"/>
      <c r="H23" s="445"/>
      <c r="I23" s="22">
        <f t="shared" ref="I23:N23" si="17">SUM(I6:I22)</f>
        <v>1385000</v>
      </c>
      <c r="J23" s="19">
        <f t="shared" si="17"/>
        <v>111386</v>
      </c>
      <c r="K23" s="20">
        <f t="shared" si="17"/>
        <v>896895</v>
      </c>
      <c r="L23" s="21">
        <f t="shared" si="17"/>
        <v>90109</v>
      </c>
      <c r="M23" s="20">
        <f t="shared" si="17"/>
        <v>90109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211</v>
      </c>
      <c r="Q23" s="43">
        <f t="shared" si="18"/>
        <v>197</v>
      </c>
      <c r="R23" s="23">
        <f t="shared" si="18"/>
        <v>24</v>
      </c>
      <c r="S23" s="24">
        <f t="shared" si="18"/>
        <v>70</v>
      </c>
      <c r="T23" s="24">
        <f t="shared" si="18"/>
        <v>15</v>
      </c>
      <c r="U23" s="24">
        <f t="shared" si="18"/>
        <v>0</v>
      </c>
      <c r="V23" s="25">
        <f t="shared" si="18"/>
        <v>40</v>
      </c>
      <c r="W23" s="26">
        <f t="shared" si="18"/>
        <v>48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0</v>
      </c>
      <c r="AB23" s="28">
        <f>AVERAGE(AB6:AB22)</f>
        <v>0.82352941176470584</v>
      </c>
      <c r="AC23" s="4">
        <f>AVERAGE(AC6:AC22)</f>
        <v>0.51715686274509798</v>
      </c>
      <c r="AD23" s="4">
        <f>AVERAGE(AD6:AD22)</f>
        <v>0.51715686274509798</v>
      </c>
      <c r="AE23" s="29"/>
    </row>
    <row r="24" spans="1:32">
      <c r="T24" s="50" t="s">
        <v>500</v>
      </c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 t="s">
        <v>511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6" t="s">
        <v>45</v>
      </c>
      <c r="B50" s="446"/>
      <c r="C50" s="446"/>
      <c r="D50" s="446"/>
      <c r="E50" s="446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7" t="s">
        <v>513</v>
      </c>
      <c r="B51" s="448"/>
      <c r="C51" s="448"/>
      <c r="D51" s="448"/>
      <c r="E51" s="448"/>
      <c r="F51" s="448"/>
      <c r="G51" s="448"/>
      <c r="H51" s="448"/>
      <c r="I51" s="448"/>
      <c r="J51" s="448"/>
      <c r="K51" s="448"/>
      <c r="L51" s="448"/>
      <c r="M51" s="449"/>
      <c r="N51" s="450" t="s">
        <v>527</v>
      </c>
      <c r="O51" s="451"/>
      <c r="P51" s="451"/>
      <c r="Q51" s="451"/>
      <c r="R51" s="451"/>
      <c r="S51" s="451"/>
      <c r="T51" s="451"/>
      <c r="U51" s="451"/>
      <c r="V51" s="451"/>
      <c r="W51" s="451"/>
      <c r="X51" s="451"/>
      <c r="Y51" s="451"/>
      <c r="Z51" s="451"/>
      <c r="AA51" s="451"/>
      <c r="AB51" s="451"/>
      <c r="AC51" s="451"/>
      <c r="AD51" s="452"/>
    </row>
    <row r="52" spans="1:32" ht="27" customHeight="1">
      <c r="A52" s="453" t="s">
        <v>2</v>
      </c>
      <c r="B52" s="454"/>
      <c r="C52" s="341" t="s">
        <v>46</v>
      </c>
      <c r="D52" s="341" t="s">
        <v>47</v>
      </c>
      <c r="E52" s="341" t="s">
        <v>107</v>
      </c>
      <c r="F52" s="455" t="s">
        <v>106</v>
      </c>
      <c r="G52" s="456"/>
      <c r="H52" s="456"/>
      <c r="I52" s="456"/>
      <c r="J52" s="456"/>
      <c r="K52" s="456"/>
      <c r="L52" s="456"/>
      <c r="M52" s="457"/>
      <c r="N52" s="67" t="s">
        <v>110</v>
      </c>
      <c r="O52" s="341" t="s">
        <v>46</v>
      </c>
      <c r="P52" s="455" t="s">
        <v>47</v>
      </c>
      <c r="Q52" s="458"/>
      <c r="R52" s="455" t="s">
        <v>38</v>
      </c>
      <c r="S52" s="456"/>
      <c r="T52" s="456"/>
      <c r="U52" s="458"/>
      <c r="V52" s="455" t="s">
        <v>48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69" t="s">
        <v>118</v>
      </c>
      <c r="B53" s="470"/>
      <c r="C53" s="337" t="s">
        <v>147</v>
      </c>
      <c r="D53" s="337" t="s">
        <v>514</v>
      </c>
      <c r="E53" s="337" t="s">
        <v>501</v>
      </c>
      <c r="F53" s="471" t="s">
        <v>132</v>
      </c>
      <c r="G53" s="472"/>
      <c r="H53" s="472"/>
      <c r="I53" s="472"/>
      <c r="J53" s="472"/>
      <c r="K53" s="472"/>
      <c r="L53" s="472"/>
      <c r="M53" s="473"/>
      <c r="N53" s="340" t="s">
        <v>118</v>
      </c>
      <c r="O53" s="334" t="s">
        <v>386</v>
      </c>
      <c r="P53" s="474" t="s">
        <v>115</v>
      </c>
      <c r="Q53" s="475"/>
      <c r="R53" s="474" t="s">
        <v>394</v>
      </c>
      <c r="S53" s="476"/>
      <c r="T53" s="476"/>
      <c r="U53" s="475"/>
      <c r="V53" s="477" t="s">
        <v>124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87" t="s">
        <v>118</v>
      </c>
      <c r="B54" s="488"/>
      <c r="C54" s="336" t="s">
        <v>292</v>
      </c>
      <c r="D54" s="336" t="s">
        <v>280</v>
      </c>
      <c r="E54" s="337" t="s">
        <v>498</v>
      </c>
      <c r="F54" s="471" t="s">
        <v>132</v>
      </c>
      <c r="G54" s="472"/>
      <c r="H54" s="472"/>
      <c r="I54" s="472"/>
      <c r="J54" s="472"/>
      <c r="K54" s="472"/>
      <c r="L54" s="472"/>
      <c r="M54" s="473"/>
      <c r="N54" s="340" t="s">
        <v>210</v>
      </c>
      <c r="O54" s="334" t="s">
        <v>372</v>
      </c>
      <c r="P54" s="474" t="s">
        <v>448</v>
      </c>
      <c r="Q54" s="475"/>
      <c r="R54" s="474" t="s">
        <v>447</v>
      </c>
      <c r="S54" s="476"/>
      <c r="T54" s="476"/>
      <c r="U54" s="475"/>
      <c r="V54" s="477" t="s">
        <v>124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69" t="s">
        <v>118</v>
      </c>
      <c r="B55" s="470"/>
      <c r="C55" s="337" t="s">
        <v>386</v>
      </c>
      <c r="D55" s="337" t="s">
        <v>115</v>
      </c>
      <c r="E55" s="337" t="s">
        <v>394</v>
      </c>
      <c r="F55" s="471" t="s">
        <v>515</v>
      </c>
      <c r="G55" s="472"/>
      <c r="H55" s="472"/>
      <c r="I55" s="472"/>
      <c r="J55" s="472"/>
      <c r="K55" s="472"/>
      <c r="L55" s="472"/>
      <c r="M55" s="473"/>
      <c r="N55" s="340" t="s">
        <v>529</v>
      </c>
      <c r="O55" s="334" t="s">
        <v>530</v>
      </c>
      <c r="P55" s="474" t="s">
        <v>531</v>
      </c>
      <c r="Q55" s="475"/>
      <c r="R55" s="474" t="s">
        <v>528</v>
      </c>
      <c r="S55" s="476"/>
      <c r="T55" s="476"/>
      <c r="U55" s="475"/>
      <c r="V55" s="477" t="s">
        <v>124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112</v>
      </c>
      <c r="B56" s="470"/>
      <c r="C56" s="337" t="s">
        <v>133</v>
      </c>
      <c r="D56" s="337" t="s">
        <v>208</v>
      </c>
      <c r="E56" s="337" t="s">
        <v>510</v>
      </c>
      <c r="F56" s="471" t="s">
        <v>516</v>
      </c>
      <c r="G56" s="472"/>
      <c r="H56" s="472"/>
      <c r="I56" s="472"/>
      <c r="J56" s="472"/>
      <c r="K56" s="472"/>
      <c r="L56" s="472"/>
      <c r="M56" s="473"/>
      <c r="N56" s="340" t="s">
        <v>210</v>
      </c>
      <c r="O56" s="334" t="s">
        <v>533</v>
      </c>
      <c r="P56" s="474" t="s">
        <v>115</v>
      </c>
      <c r="Q56" s="475"/>
      <c r="R56" s="474" t="s">
        <v>532</v>
      </c>
      <c r="S56" s="476"/>
      <c r="T56" s="476"/>
      <c r="U56" s="475"/>
      <c r="V56" s="477" t="s">
        <v>132</v>
      </c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87" t="s">
        <v>210</v>
      </c>
      <c r="B57" s="488"/>
      <c r="C57" s="345" t="s">
        <v>191</v>
      </c>
      <c r="D57" s="345" t="s">
        <v>115</v>
      </c>
      <c r="E57" s="344" t="s">
        <v>484</v>
      </c>
      <c r="F57" s="471" t="s">
        <v>382</v>
      </c>
      <c r="G57" s="472"/>
      <c r="H57" s="472"/>
      <c r="I57" s="472"/>
      <c r="J57" s="472"/>
      <c r="K57" s="472"/>
      <c r="L57" s="472"/>
      <c r="M57" s="473"/>
      <c r="N57" s="343" t="s">
        <v>210</v>
      </c>
      <c r="O57" s="346" t="s">
        <v>140</v>
      </c>
      <c r="P57" s="474" t="s">
        <v>280</v>
      </c>
      <c r="Q57" s="475"/>
      <c r="R57" s="474" t="s">
        <v>502</v>
      </c>
      <c r="S57" s="476"/>
      <c r="T57" s="476"/>
      <c r="U57" s="475"/>
      <c r="V57" s="477" t="s">
        <v>132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 t="s">
        <v>210</v>
      </c>
      <c r="B58" s="470"/>
      <c r="C58" s="337" t="s">
        <v>517</v>
      </c>
      <c r="D58" s="337" t="s">
        <v>518</v>
      </c>
      <c r="E58" s="337" t="s">
        <v>519</v>
      </c>
      <c r="F58" s="471" t="s">
        <v>520</v>
      </c>
      <c r="G58" s="472"/>
      <c r="H58" s="472"/>
      <c r="I58" s="472"/>
      <c r="J58" s="472"/>
      <c r="K58" s="472"/>
      <c r="L58" s="472"/>
      <c r="M58" s="473"/>
      <c r="N58" s="340" t="s">
        <v>210</v>
      </c>
      <c r="O58" s="334" t="s">
        <v>535</v>
      </c>
      <c r="P58" s="474" t="s">
        <v>536</v>
      </c>
      <c r="Q58" s="475"/>
      <c r="R58" s="474" t="s">
        <v>534</v>
      </c>
      <c r="S58" s="476"/>
      <c r="T58" s="476"/>
      <c r="U58" s="475"/>
      <c r="V58" s="477" t="s">
        <v>124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69" t="s">
        <v>521</v>
      </c>
      <c r="B59" s="470"/>
      <c r="C59" s="337" t="s">
        <v>522</v>
      </c>
      <c r="D59" s="337"/>
      <c r="E59" s="337" t="s">
        <v>523</v>
      </c>
      <c r="F59" s="471" t="s">
        <v>524</v>
      </c>
      <c r="G59" s="472"/>
      <c r="H59" s="472"/>
      <c r="I59" s="472"/>
      <c r="J59" s="472"/>
      <c r="K59" s="472"/>
      <c r="L59" s="472"/>
      <c r="M59" s="473"/>
      <c r="N59" s="340" t="s">
        <v>118</v>
      </c>
      <c r="O59" s="334" t="s">
        <v>538</v>
      </c>
      <c r="P59" s="474" t="s">
        <v>115</v>
      </c>
      <c r="Q59" s="475"/>
      <c r="R59" s="474" t="s">
        <v>537</v>
      </c>
      <c r="S59" s="476"/>
      <c r="T59" s="476"/>
      <c r="U59" s="475"/>
      <c r="V59" s="477" t="s">
        <v>124</v>
      </c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 t="s">
        <v>112</v>
      </c>
      <c r="B60" s="488"/>
      <c r="C60" s="336" t="s">
        <v>526</v>
      </c>
      <c r="D60" s="336" t="s">
        <v>208</v>
      </c>
      <c r="E60" s="337" t="s">
        <v>525</v>
      </c>
      <c r="F60" s="471" t="s">
        <v>428</v>
      </c>
      <c r="G60" s="472"/>
      <c r="H60" s="472"/>
      <c r="I60" s="472"/>
      <c r="J60" s="472"/>
      <c r="K60" s="472"/>
      <c r="L60" s="472"/>
      <c r="M60" s="473"/>
      <c r="N60" s="340"/>
      <c r="O60" s="334"/>
      <c r="P60" s="474"/>
      <c r="Q60" s="475"/>
      <c r="R60" s="474"/>
      <c r="S60" s="476"/>
      <c r="T60" s="476"/>
      <c r="U60" s="475"/>
      <c r="V60" s="477"/>
      <c r="W60" s="477"/>
      <c r="X60" s="477"/>
      <c r="Y60" s="477"/>
      <c r="Z60" s="477"/>
      <c r="AA60" s="477"/>
      <c r="AB60" s="477"/>
      <c r="AC60" s="477"/>
      <c r="AD60" s="478"/>
    </row>
    <row r="61" spans="1:32" ht="27" customHeight="1">
      <c r="A61" s="487"/>
      <c r="B61" s="488"/>
      <c r="C61" s="336"/>
      <c r="D61" s="336"/>
      <c r="E61" s="337"/>
      <c r="F61" s="471"/>
      <c r="G61" s="472"/>
      <c r="H61" s="472"/>
      <c r="I61" s="472"/>
      <c r="J61" s="472"/>
      <c r="K61" s="472"/>
      <c r="L61" s="472"/>
      <c r="M61" s="473"/>
      <c r="N61" s="340"/>
      <c r="O61" s="334"/>
      <c r="P61" s="470"/>
      <c r="Q61" s="470"/>
      <c r="R61" s="470"/>
      <c r="S61" s="470"/>
      <c r="T61" s="470"/>
      <c r="U61" s="470"/>
      <c r="V61" s="477"/>
      <c r="W61" s="477"/>
      <c r="X61" s="477"/>
      <c r="Y61" s="477"/>
      <c r="Z61" s="477"/>
      <c r="AA61" s="477"/>
      <c r="AB61" s="477"/>
      <c r="AC61" s="477"/>
      <c r="AD61" s="478"/>
      <c r="AF61" s="84">
        <f>8*3000</f>
        <v>24000</v>
      </c>
    </row>
    <row r="62" spans="1:32" ht="27" customHeight="1" thickBot="1">
      <c r="A62" s="479"/>
      <c r="B62" s="480"/>
      <c r="C62" s="338"/>
      <c r="D62" s="339"/>
      <c r="E62" s="338"/>
      <c r="F62" s="481"/>
      <c r="G62" s="482"/>
      <c r="H62" s="482"/>
      <c r="I62" s="482"/>
      <c r="J62" s="482"/>
      <c r="K62" s="482"/>
      <c r="L62" s="482"/>
      <c r="M62" s="483"/>
      <c r="N62" s="111"/>
      <c r="O62" s="103"/>
      <c r="P62" s="484"/>
      <c r="Q62" s="484"/>
      <c r="R62" s="484"/>
      <c r="S62" s="484"/>
      <c r="T62" s="484"/>
      <c r="U62" s="484"/>
      <c r="V62" s="485"/>
      <c r="W62" s="485"/>
      <c r="X62" s="485"/>
      <c r="Y62" s="485"/>
      <c r="Z62" s="485"/>
      <c r="AA62" s="485"/>
      <c r="AB62" s="485"/>
      <c r="AC62" s="485"/>
      <c r="AD62" s="486"/>
      <c r="AF62" s="84">
        <f>16*3000</f>
        <v>48000</v>
      </c>
    </row>
    <row r="63" spans="1:32" ht="27.75" thickBot="1">
      <c r="A63" s="489" t="s">
        <v>539</v>
      </c>
      <c r="B63" s="489"/>
      <c r="C63" s="489"/>
      <c r="D63" s="489"/>
      <c r="E63" s="48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0" t="s">
        <v>111</v>
      </c>
      <c r="B64" s="491"/>
      <c r="C64" s="335" t="s">
        <v>2</v>
      </c>
      <c r="D64" s="335" t="s">
        <v>37</v>
      </c>
      <c r="E64" s="335" t="s">
        <v>3</v>
      </c>
      <c r="F64" s="491" t="s">
        <v>109</v>
      </c>
      <c r="G64" s="491"/>
      <c r="H64" s="491"/>
      <c r="I64" s="491"/>
      <c r="J64" s="491"/>
      <c r="K64" s="491" t="s">
        <v>39</v>
      </c>
      <c r="L64" s="491"/>
      <c r="M64" s="335" t="s">
        <v>40</v>
      </c>
      <c r="N64" s="491" t="s">
        <v>41</v>
      </c>
      <c r="O64" s="491"/>
      <c r="P64" s="492" t="s">
        <v>42</v>
      </c>
      <c r="Q64" s="493"/>
      <c r="R64" s="492" t="s">
        <v>43</v>
      </c>
      <c r="S64" s="494"/>
      <c r="T64" s="494"/>
      <c r="U64" s="494"/>
      <c r="V64" s="494"/>
      <c r="W64" s="494"/>
      <c r="X64" s="494"/>
      <c r="Y64" s="494"/>
      <c r="Z64" s="494"/>
      <c r="AA64" s="493"/>
      <c r="AB64" s="491" t="s">
        <v>44</v>
      </c>
      <c r="AC64" s="491"/>
      <c r="AD64" s="495"/>
      <c r="AF64" s="84">
        <f>SUM(AF61:AF63)</f>
        <v>96000</v>
      </c>
    </row>
    <row r="65" spans="1:32" ht="25.5" customHeight="1">
      <c r="A65" s="496">
        <v>1</v>
      </c>
      <c r="B65" s="497"/>
      <c r="C65" s="104" t="s">
        <v>120</v>
      </c>
      <c r="D65" s="330"/>
      <c r="E65" s="333"/>
      <c r="F65" s="498" t="s">
        <v>523</v>
      </c>
      <c r="G65" s="499"/>
      <c r="H65" s="499"/>
      <c r="I65" s="499"/>
      <c r="J65" s="500"/>
      <c r="K65" s="501" t="s">
        <v>540</v>
      </c>
      <c r="L65" s="501"/>
      <c r="M65" s="51" t="s">
        <v>143</v>
      </c>
      <c r="N65" s="502" t="s">
        <v>222</v>
      </c>
      <c r="O65" s="502"/>
      <c r="P65" s="503">
        <v>100</v>
      </c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2</v>
      </c>
      <c r="B66" s="497"/>
      <c r="C66" s="104" t="s">
        <v>541</v>
      </c>
      <c r="D66" s="330"/>
      <c r="E66" s="333"/>
      <c r="F66" s="498" t="s">
        <v>542</v>
      </c>
      <c r="G66" s="499"/>
      <c r="H66" s="499"/>
      <c r="I66" s="499"/>
      <c r="J66" s="500"/>
      <c r="K66" s="501" t="s">
        <v>543</v>
      </c>
      <c r="L66" s="501"/>
      <c r="M66" s="51" t="s">
        <v>230</v>
      </c>
      <c r="N66" s="502" t="s">
        <v>222</v>
      </c>
      <c r="O66" s="502"/>
      <c r="P66" s="503">
        <v>4000</v>
      </c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3</v>
      </c>
      <c r="B67" s="497"/>
      <c r="C67" s="104" t="s">
        <v>545</v>
      </c>
      <c r="D67" s="330"/>
      <c r="E67" s="333" t="s">
        <v>518</v>
      </c>
      <c r="F67" s="498" t="s">
        <v>544</v>
      </c>
      <c r="G67" s="499"/>
      <c r="H67" s="499"/>
      <c r="I67" s="499"/>
      <c r="J67" s="500"/>
      <c r="K67" s="501" t="s">
        <v>546</v>
      </c>
      <c r="L67" s="501"/>
      <c r="M67" s="51" t="s">
        <v>547</v>
      </c>
      <c r="N67" s="502" t="s">
        <v>538</v>
      </c>
      <c r="O67" s="502"/>
      <c r="P67" s="503">
        <v>100</v>
      </c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4</v>
      </c>
      <c r="B68" s="497"/>
      <c r="C68" s="104"/>
      <c r="D68" s="330"/>
      <c r="E68" s="333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5</v>
      </c>
      <c r="B69" s="497"/>
      <c r="C69" s="104"/>
      <c r="D69" s="330"/>
      <c r="E69" s="333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6</v>
      </c>
      <c r="B70" s="497"/>
      <c r="C70" s="104"/>
      <c r="D70" s="330"/>
      <c r="E70" s="333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7</v>
      </c>
      <c r="B71" s="497"/>
      <c r="C71" s="104"/>
      <c r="D71" s="330"/>
      <c r="E71" s="333"/>
      <c r="F71" s="498"/>
      <c r="G71" s="499"/>
      <c r="H71" s="499"/>
      <c r="I71" s="499"/>
      <c r="J71" s="500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8</v>
      </c>
      <c r="B72" s="497"/>
      <c r="C72" s="104"/>
      <c r="D72" s="330"/>
      <c r="E72" s="333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9</v>
      </c>
      <c r="B73" s="497"/>
      <c r="C73" s="104"/>
      <c r="D73" s="330"/>
      <c r="E73" s="333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5.5" customHeight="1">
      <c r="A74" s="496">
        <v>10</v>
      </c>
      <c r="B74" s="497"/>
      <c r="C74" s="104"/>
      <c r="D74" s="330"/>
      <c r="E74" s="333"/>
      <c r="F74" s="505"/>
      <c r="G74" s="501"/>
      <c r="H74" s="501"/>
      <c r="I74" s="501"/>
      <c r="J74" s="501"/>
      <c r="K74" s="501"/>
      <c r="L74" s="501"/>
      <c r="M74" s="51"/>
      <c r="N74" s="502"/>
      <c r="O74" s="502"/>
      <c r="P74" s="503"/>
      <c r="Q74" s="503"/>
      <c r="R74" s="477"/>
      <c r="S74" s="477"/>
      <c r="T74" s="477"/>
      <c r="U74" s="477"/>
      <c r="V74" s="477"/>
      <c r="W74" s="477"/>
      <c r="X74" s="477"/>
      <c r="Y74" s="477"/>
      <c r="Z74" s="477"/>
      <c r="AA74" s="477"/>
      <c r="AB74" s="501"/>
      <c r="AC74" s="501"/>
      <c r="AD74" s="504"/>
      <c r="AF74" s="50"/>
    </row>
    <row r="75" spans="1:32" ht="26.25" customHeight="1" thickBot="1">
      <c r="A75" s="506" t="s">
        <v>548</v>
      </c>
      <c r="B75" s="506"/>
      <c r="C75" s="506"/>
      <c r="D75" s="506"/>
      <c r="E75" s="506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507" t="s">
        <v>126</v>
      </c>
      <c r="B76" s="508"/>
      <c r="C76" s="332" t="s">
        <v>2</v>
      </c>
      <c r="D76" s="332" t="s">
        <v>37</v>
      </c>
      <c r="E76" s="332" t="s">
        <v>125</v>
      </c>
      <c r="F76" s="508" t="s">
        <v>38</v>
      </c>
      <c r="G76" s="508"/>
      <c r="H76" s="508"/>
      <c r="I76" s="508"/>
      <c r="J76" s="508"/>
      <c r="K76" s="509" t="s">
        <v>58</v>
      </c>
      <c r="L76" s="510"/>
      <c r="M76" s="510"/>
      <c r="N76" s="510"/>
      <c r="O76" s="510"/>
      <c r="P76" s="510"/>
      <c r="Q76" s="510"/>
      <c r="R76" s="510"/>
      <c r="S76" s="511"/>
      <c r="T76" s="508" t="s">
        <v>49</v>
      </c>
      <c r="U76" s="508"/>
      <c r="V76" s="509" t="s">
        <v>50</v>
      </c>
      <c r="W76" s="511"/>
      <c r="X76" s="510" t="s">
        <v>51</v>
      </c>
      <c r="Y76" s="510"/>
      <c r="Z76" s="510"/>
      <c r="AA76" s="510"/>
      <c r="AB76" s="510"/>
      <c r="AC76" s="510"/>
      <c r="AD76" s="512"/>
      <c r="AF76" s="50"/>
    </row>
    <row r="77" spans="1:32" ht="33.75" customHeight="1">
      <c r="A77" s="521">
        <v>1</v>
      </c>
      <c r="B77" s="522"/>
      <c r="C77" s="331" t="s">
        <v>112</v>
      </c>
      <c r="D77" s="331"/>
      <c r="E77" s="65" t="s">
        <v>117</v>
      </c>
      <c r="F77" s="523" t="s">
        <v>116</v>
      </c>
      <c r="G77" s="524"/>
      <c r="H77" s="524"/>
      <c r="I77" s="524"/>
      <c r="J77" s="525"/>
      <c r="K77" s="526" t="s">
        <v>119</v>
      </c>
      <c r="L77" s="527"/>
      <c r="M77" s="527"/>
      <c r="N77" s="527"/>
      <c r="O77" s="527"/>
      <c r="P77" s="527"/>
      <c r="Q77" s="527"/>
      <c r="R77" s="527"/>
      <c r="S77" s="528"/>
      <c r="T77" s="529">
        <v>44118</v>
      </c>
      <c r="U77" s="530"/>
      <c r="V77" s="531"/>
      <c r="W77" s="531"/>
      <c r="X77" s="532"/>
      <c r="Y77" s="532"/>
      <c r="Z77" s="532"/>
      <c r="AA77" s="532"/>
      <c r="AB77" s="532"/>
      <c r="AC77" s="532"/>
      <c r="AD77" s="533"/>
      <c r="AF77" s="50"/>
    </row>
    <row r="78" spans="1:32" ht="30" customHeight="1">
      <c r="A78" s="513">
        <f>A77+1</f>
        <v>2</v>
      </c>
      <c r="B78" s="514"/>
      <c r="C78" s="330"/>
      <c r="D78" s="330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ref="A79:A83" si="19">A78+1</f>
        <v>3</v>
      </c>
      <c r="B79" s="514"/>
      <c r="C79" s="330"/>
      <c r="D79" s="330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9"/>
        <v>4</v>
      </c>
      <c r="B80" s="514"/>
      <c r="C80" s="330"/>
      <c r="D80" s="330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9"/>
        <v>5</v>
      </c>
      <c r="B81" s="514"/>
      <c r="C81" s="330"/>
      <c r="D81" s="330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9"/>
        <v>6</v>
      </c>
      <c r="B82" s="514"/>
      <c r="C82" s="330"/>
      <c r="D82" s="330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0" customHeight="1">
      <c r="A83" s="513">
        <f t="shared" si="19"/>
        <v>7</v>
      </c>
      <c r="B83" s="514"/>
      <c r="C83" s="330"/>
      <c r="D83" s="330"/>
      <c r="E83" s="32"/>
      <c r="F83" s="514"/>
      <c r="G83" s="514"/>
      <c r="H83" s="514"/>
      <c r="I83" s="514"/>
      <c r="J83" s="514"/>
      <c r="K83" s="515"/>
      <c r="L83" s="516"/>
      <c r="M83" s="516"/>
      <c r="N83" s="516"/>
      <c r="O83" s="516"/>
      <c r="P83" s="516"/>
      <c r="Q83" s="516"/>
      <c r="R83" s="516"/>
      <c r="S83" s="517"/>
      <c r="T83" s="518"/>
      <c r="U83" s="518"/>
      <c r="V83" s="518"/>
      <c r="W83" s="518"/>
      <c r="X83" s="519"/>
      <c r="Y83" s="519"/>
      <c r="Z83" s="519"/>
      <c r="AA83" s="519"/>
      <c r="AB83" s="519"/>
      <c r="AC83" s="519"/>
      <c r="AD83" s="520"/>
      <c r="AF83" s="50"/>
    </row>
    <row r="84" spans="1:32" ht="36" thickBot="1">
      <c r="A84" s="506" t="s">
        <v>549</v>
      </c>
      <c r="B84" s="506"/>
      <c r="C84" s="506"/>
      <c r="D84" s="506"/>
      <c r="E84" s="50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507" t="s">
        <v>111</v>
      </c>
      <c r="B85" s="508"/>
      <c r="C85" s="534" t="s">
        <v>52</v>
      </c>
      <c r="D85" s="534"/>
      <c r="E85" s="534" t="s">
        <v>53</v>
      </c>
      <c r="F85" s="534"/>
      <c r="G85" s="534"/>
      <c r="H85" s="534"/>
      <c r="I85" s="534"/>
      <c r="J85" s="534"/>
      <c r="K85" s="534" t="s">
        <v>54</v>
      </c>
      <c r="L85" s="534"/>
      <c r="M85" s="534"/>
      <c r="N85" s="534"/>
      <c r="O85" s="534"/>
      <c r="P85" s="534"/>
      <c r="Q85" s="534"/>
      <c r="R85" s="534"/>
      <c r="S85" s="534"/>
      <c r="T85" s="534" t="s">
        <v>55</v>
      </c>
      <c r="U85" s="534"/>
      <c r="V85" s="534" t="s">
        <v>56</v>
      </c>
      <c r="W85" s="534"/>
      <c r="X85" s="534"/>
      <c r="Y85" s="534" t="s">
        <v>51</v>
      </c>
      <c r="Z85" s="534"/>
      <c r="AA85" s="534"/>
      <c r="AB85" s="534"/>
      <c r="AC85" s="534"/>
      <c r="AD85" s="535"/>
      <c r="AF85" s="50"/>
    </row>
    <row r="86" spans="1:32" ht="30.75" customHeight="1">
      <c r="A86" s="521">
        <v>1</v>
      </c>
      <c r="B86" s="522"/>
      <c r="C86" s="536">
        <v>9</v>
      </c>
      <c r="D86" s="536"/>
      <c r="E86" s="536" t="s">
        <v>136</v>
      </c>
      <c r="F86" s="536"/>
      <c r="G86" s="536"/>
      <c r="H86" s="536"/>
      <c r="I86" s="536"/>
      <c r="J86" s="536"/>
      <c r="K86" s="536" t="s">
        <v>161</v>
      </c>
      <c r="L86" s="536"/>
      <c r="M86" s="536"/>
      <c r="N86" s="536"/>
      <c r="O86" s="536"/>
      <c r="P86" s="536"/>
      <c r="Q86" s="536"/>
      <c r="R86" s="536"/>
      <c r="S86" s="536"/>
      <c r="T86" s="536" t="s">
        <v>137</v>
      </c>
      <c r="U86" s="536"/>
      <c r="V86" s="537" t="s">
        <v>152</v>
      </c>
      <c r="W86" s="537"/>
      <c r="X86" s="537"/>
      <c r="Y86" s="538"/>
      <c r="Z86" s="538"/>
      <c r="AA86" s="538"/>
      <c r="AB86" s="538"/>
      <c r="AC86" s="538"/>
      <c r="AD86" s="539"/>
      <c r="AF86" s="50"/>
    </row>
    <row r="87" spans="1:32" ht="30.75" customHeight="1">
      <c r="A87" s="513">
        <v>2</v>
      </c>
      <c r="B87" s="514"/>
      <c r="C87" s="547"/>
      <c r="D87" s="547"/>
      <c r="E87" s="547"/>
      <c r="F87" s="547"/>
      <c r="G87" s="547"/>
      <c r="H87" s="547"/>
      <c r="I87" s="547"/>
      <c r="J87" s="547"/>
      <c r="K87" s="547"/>
      <c r="L87" s="547"/>
      <c r="M87" s="547"/>
      <c r="N87" s="547"/>
      <c r="O87" s="547"/>
      <c r="P87" s="547"/>
      <c r="Q87" s="547"/>
      <c r="R87" s="547"/>
      <c r="S87" s="547"/>
      <c r="T87" s="548"/>
      <c r="U87" s="548"/>
      <c r="V87" s="549"/>
      <c r="W87" s="549"/>
      <c r="X87" s="549"/>
      <c r="Y87" s="540"/>
      <c r="Z87" s="540"/>
      <c r="AA87" s="540"/>
      <c r="AB87" s="540"/>
      <c r="AC87" s="540"/>
      <c r="AD87" s="541"/>
      <c r="AF87" s="50"/>
    </row>
    <row r="88" spans="1:32" ht="30.75" customHeight="1" thickBot="1">
      <c r="A88" s="542">
        <v>3</v>
      </c>
      <c r="B88" s="543"/>
      <c r="C88" s="544"/>
      <c r="D88" s="544"/>
      <c r="E88" s="544"/>
      <c r="F88" s="544"/>
      <c r="G88" s="544"/>
      <c r="H88" s="544"/>
      <c r="I88" s="544"/>
      <c r="J88" s="544"/>
      <c r="K88" s="544"/>
      <c r="L88" s="544"/>
      <c r="M88" s="544"/>
      <c r="N88" s="544"/>
      <c r="O88" s="544"/>
      <c r="P88" s="544"/>
      <c r="Q88" s="544"/>
      <c r="R88" s="544"/>
      <c r="S88" s="544"/>
      <c r="T88" s="544"/>
      <c r="U88" s="544"/>
      <c r="V88" s="544"/>
      <c r="W88" s="544"/>
      <c r="X88" s="544"/>
      <c r="Y88" s="545"/>
      <c r="Z88" s="545"/>
      <c r="AA88" s="545"/>
      <c r="AB88" s="545"/>
      <c r="AC88" s="545"/>
      <c r="AD88" s="546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3343-2C28-4F60-BF75-1B110A3655E0}">
  <dimension ref="A1:AF87"/>
  <sheetViews>
    <sheetView view="pageBreakPreview" zoomScale="70" zoomScaleNormal="72" zoomScaleSheetLayoutView="70" workbookViewId="0">
      <selection activeCell="L15" sqref="L1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550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359" t="s">
        <v>17</v>
      </c>
      <c r="L5" s="359" t="s">
        <v>18</v>
      </c>
      <c r="M5" s="359" t="s">
        <v>19</v>
      </c>
      <c r="N5" s="35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118</v>
      </c>
      <c r="D6" s="52" t="s">
        <v>142</v>
      </c>
      <c r="E6" s="53" t="s">
        <v>501</v>
      </c>
      <c r="F6" s="30" t="s">
        <v>232</v>
      </c>
      <c r="G6" s="12">
        <v>2</v>
      </c>
      <c r="H6" s="13">
        <v>24</v>
      </c>
      <c r="I6" s="31">
        <v>130000</v>
      </c>
      <c r="J6" s="14">
        <v>8536</v>
      </c>
      <c r="K6" s="15">
        <f>L6+4662</f>
        <v>13198</v>
      </c>
      <c r="L6" s="15">
        <f>2764*2+1504*2</f>
        <v>8536</v>
      </c>
      <c r="M6" s="15">
        <f t="shared" ref="M6:M21" si="0">L6-N6</f>
        <v>8536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19</v>
      </c>
      <c r="Q6" s="40">
        <f t="shared" ref="Q6:Q21" si="3">SUM(R6:AA6)</f>
        <v>5</v>
      </c>
      <c r="R6" s="7"/>
      <c r="S6" s="6">
        <v>5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0.79166666666666663</v>
      </c>
      <c r="AD6" s="10">
        <f t="shared" ref="AD6:AD21" si="6">AC6*AB6*(1-O6)</f>
        <v>0.79166666666666663</v>
      </c>
      <c r="AE6" s="36">
        <f t="shared" ref="AE6:AE21" si="7">$AD$22</f>
        <v>0.63802083333333326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208</v>
      </c>
      <c r="E7" s="53" t="s">
        <v>510</v>
      </c>
      <c r="F7" s="30" t="s">
        <v>247</v>
      </c>
      <c r="G7" s="12">
        <v>1</v>
      </c>
      <c r="H7" s="13">
        <v>24</v>
      </c>
      <c r="I7" s="31">
        <v>3000</v>
      </c>
      <c r="J7" s="14">
        <v>3381</v>
      </c>
      <c r="K7" s="15">
        <f>L7+1350</f>
        <v>4731</v>
      </c>
      <c r="L7" s="15">
        <f>1705+1676</f>
        <v>3381</v>
      </c>
      <c r="M7" s="15">
        <f t="shared" si="0"/>
        <v>3381</v>
      </c>
      <c r="N7" s="15">
        <v>0</v>
      </c>
      <c r="O7" s="58">
        <f t="shared" si="1"/>
        <v>0</v>
      </c>
      <c r="P7" s="39">
        <f t="shared" si="2"/>
        <v>18</v>
      </c>
      <c r="Q7" s="40">
        <f t="shared" si="3"/>
        <v>6</v>
      </c>
      <c r="R7" s="7"/>
      <c r="S7" s="6">
        <v>6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0.75</v>
      </c>
      <c r="AD7" s="10">
        <f t="shared" si="6"/>
        <v>0.75</v>
      </c>
      <c r="AE7" s="36">
        <f t="shared" si="7"/>
        <v>0.63802083333333326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210</v>
      </c>
      <c r="D8" s="52" t="s">
        <v>115</v>
      </c>
      <c r="E8" s="53" t="s">
        <v>336</v>
      </c>
      <c r="F8" s="30" t="s">
        <v>213</v>
      </c>
      <c r="G8" s="12">
        <v>2</v>
      </c>
      <c r="H8" s="13">
        <v>24</v>
      </c>
      <c r="I8" s="7">
        <v>4000</v>
      </c>
      <c r="J8" s="5">
        <v>4840</v>
      </c>
      <c r="K8" s="15">
        <f>L8</f>
        <v>4840</v>
      </c>
      <c r="L8" s="15">
        <f>1748*2+672*2</f>
        <v>4840</v>
      </c>
      <c r="M8" s="15">
        <f t="shared" si="0"/>
        <v>4840</v>
      </c>
      <c r="N8" s="15">
        <v>0</v>
      </c>
      <c r="O8" s="58">
        <f t="shared" si="1"/>
        <v>0</v>
      </c>
      <c r="P8" s="39">
        <f t="shared" si="2"/>
        <v>16</v>
      </c>
      <c r="Q8" s="40">
        <f t="shared" si="3"/>
        <v>8</v>
      </c>
      <c r="R8" s="7"/>
      <c r="S8" s="6">
        <v>4</v>
      </c>
      <c r="T8" s="16"/>
      <c r="U8" s="16"/>
      <c r="V8" s="17"/>
      <c r="W8" s="5">
        <v>4</v>
      </c>
      <c r="X8" s="16"/>
      <c r="Y8" s="16"/>
      <c r="Z8" s="16"/>
      <c r="AA8" s="18"/>
      <c r="AB8" s="8">
        <f t="shared" si="4"/>
        <v>1</v>
      </c>
      <c r="AC8" s="9">
        <f t="shared" si="5"/>
        <v>0.66666666666666663</v>
      </c>
      <c r="AD8" s="10">
        <f t="shared" si="6"/>
        <v>0.66666666666666663</v>
      </c>
      <c r="AE8" s="36">
        <f t="shared" si="7"/>
        <v>0.63802083333333326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280</v>
      </c>
      <c r="E9" s="53" t="s">
        <v>498</v>
      </c>
      <c r="F9" s="30" t="s">
        <v>404</v>
      </c>
      <c r="G9" s="12">
        <v>1</v>
      </c>
      <c r="H9" s="13">
        <v>24</v>
      </c>
      <c r="I9" s="7">
        <v>30000</v>
      </c>
      <c r="J9" s="14">
        <v>4146</v>
      </c>
      <c r="K9" s="15">
        <f>L9+3787</f>
        <v>7933</v>
      </c>
      <c r="L9" s="15">
        <f>2143+2003</f>
        <v>4146</v>
      </c>
      <c r="M9" s="15">
        <f t="shared" si="0"/>
        <v>4146</v>
      </c>
      <c r="N9" s="15">
        <v>0</v>
      </c>
      <c r="O9" s="58">
        <f t="shared" si="1"/>
        <v>0</v>
      </c>
      <c r="P9" s="39">
        <f t="shared" si="2"/>
        <v>22</v>
      </c>
      <c r="Q9" s="40">
        <f t="shared" si="3"/>
        <v>2</v>
      </c>
      <c r="R9" s="7">
        <v>2</v>
      </c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0.91666666666666663</v>
      </c>
      <c r="AD9" s="10">
        <f t="shared" si="6"/>
        <v>0.91666666666666663</v>
      </c>
      <c r="AE9" s="36">
        <f t="shared" si="7"/>
        <v>0.63802083333333326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131</v>
      </c>
      <c r="E10" s="53" t="s">
        <v>490</v>
      </c>
      <c r="F10" s="30" t="s">
        <v>144</v>
      </c>
      <c r="G10" s="33">
        <v>2</v>
      </c>
      <c r="H10" s="35">
        <v>24</v>
      </c>
      <c r="I10" s="7">
        <v>32000</v>
      </c>
      <c r="J10" s="14">
        <v>12006</v>
      </c>
      <c r="K10" s="15">
        <f>L10+5096+11900</f>
        <v>29002</v>
      </c>
      <c r="L10" s="15">
        <f>2974*2+3029*2</f>
        <v>12006</v>
      </c>
      <c r="M10" s="15">
        <f t="shared" si="0"/>
        <v>12006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0.63802083333333326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210</v>
      </c>
      <c r="D11" s="52" t="s">
        <v>448</v>
      </c>
      <c r="E11" s="53" t="s">
        <v>447</v>
      </c>
      <c r="F11" s="30" t="s">
        <v>213</v>
      </c>
      <c r="G11" s="33">
        <v>1</v>
      </c>
      <c r="H11" s="35">
        <v>24</v>
      </c>
      <c r="I11" s="7">
        <v>7000</v>
      </c>
      <c r="J11" s="14">
        <v>1004</v>
      </c>
      <c r="K11" s="15">
        <f>L11</f>
        <v>1004</v>
      </c>
      <c r="L11" s="15">
        <f>839+165</f>
        <v>1004</v>
      </c>
      <c r="M11" s="15">
        <f t="shared" si="0"/>
        <v>1004</v>
      </c>
      <c r="N11" s="15">
        <v>0</v>
      </c>
      <c r="O11" s="58">
        <f t="shared" si="1"/>
        <v>0</v>
      </c>
      <c r="P11" s="39">
        <f t="shared" si="2"/>
        <v>5</v>
      </c>
      <c r="Q11" s="40">
        <f t="shared" si="3"/>
        <v>19</v>
      </c>
      <c r="R11" s="7"/>
      <c r="S11" s="6">
        <v>19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0.20833333333333334</v>
      </c>
      <c r="AD11" s="10">
        <f t="shared" si="6"/>
        <v>0.20833333333333334</v>
      </c>
      <c r="AE11" s="36">
        <f t="shared" si="7"/>
        <v>0.63802083333333326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394</v>
      </c>
      <c r="F12" s="30" t="s">
        <v>128</v>
      </c>
      <c r="G12" s="12">
        <v>1</v>
      </c>
      <c r="H12" s="13">
        <v>22</v>
      </c>
      <c r="I12" s="31">
        <v>10000</v>
      </c>
      <c r="J12" s="5">
        <v>2447</v>
      </c>
      <c r="K12" s="15">
        <f>L12+1899</f>
        <v>4346</v>
      </c>
      <c r="L12" s="15">
        <f>1218+1229</f>
        <v>2447</v>
      </c>
      <c r="M12" s="15">
        <f t="shared" si="0"/>
        <v>2447</v>
      </c>
      <c r="N12" s="15">
        <v>0</v>
      </c>
      <c r="O12" s="58">
        <f t="shared" si="1"/>
        <v>0</v>
      </c>
      <c r="P12" s="39">
        <f t="shared" si="2"/>
        <v>14</v>
      </c>
      <c r="Q12" s="40">
        <f t="shared" si="3"/>
        <v>10</v>
      </c>
      <c r="R12" s="7"/>
      <c r="S12" s="6">
        <v>10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0.58333333333333337</v>
      </c>
      <c r="AD12" s="10">
        <f t="shared" si="6"/>
        <v>0.58333333333333337</v>
      </c>
      <c r="AE12" s="36">
        <f t="shared" si="7"/>
        <v>0.63802083333333326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131</v>
      </c>
      <c r="E13" s="53" t="s">
        <v>368</v>
      </c>
      <c r="F13" s="30" t="s">
        <v>144</v>
      </c>
      <c r="G13" s="33">
        <v>1</v>
      </c>
      <c r="H13" s="35">
        <v>24</v>
      </c>
      <c r="I13" s="7">
        <v>35000</v>
      </c>
      <c r="J13" s="14">
        <v>1384</v>
      </c>
      <c r="K13" s="15">
        <f>L13+5836+5860+5835+5890+5616+5726</f>
        <v>36147</v>
      </c>
      <c r="L13" s="15">
        <v>1384</v>
      </c>
      <c r="M13" s="15">
        <f t="shared" si="0"/>
        <v>1384</v>
      </c>
      <c r="N13" s="15">
        <v>0</v>
      </c>
      <c r="O13" s="58">
        <f t="shared" si="1"/>
        <v>0</v>
      </c>
      <c r="P13" s="39">
        <f t="shared" si="2"/>
        <v>8</v>
      </c>
      <c r="Q13" s="40">
        <f t="shared" si="3"/>
        <v>16</v>
      </c>
      <c r="R13" s="7"/>
      <c r="S13" s="6"/>
      <c r="T13" s="16"/>
      <c r="U13" s="16"/>
      <c r="V13" s="17"/>
      <c r="W13" s="5">
        <v>16</v>
      </c>
      <c r="X13" s="16"/>
      <c r="Y13" s="16"/>
      <c r="Z13" s="16"/>
      <c r="AA13" s="18"/>
      <c r="AB13" s="8">
        <f t="shared" si="4"/>
        <v>1</v>
      </c>
      <c r="AC13" s="9">
        <f t="shared" si="5"/>
        <v>0.33333333333333331</v>
      </c>
      <c r="AD13" s="10">
        <f t="shared" si="6"/>
        <v>0.33333333333333331</v>
      </c>
      <c r="AE13" s="36">
        <f t="shared" si="7"/>
        <v>0.63802083333333326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491</v>
      </c>
      <c r="F14" s="30" t="s">
        <v>286</v>
      </c>
      <c r="G14" s="33">
        <v>1</v>
      </c>
      <c r="H14" s="35">
        <v>50</v>
      </c>
      <c r="I14" s="7">
        <v>2500</v>
      </c>
      <c r="J14" s="5">
        <v>1050</v>
      </c>
      <c r="K14" s="15">
        <f>L14+893+982</f>
        <v>2925</v>
      </c>
      <c r="L14" s="15">
        <v>1050</v>
      </c>
      <c r="M14" s="15">
        <f t="shared" si="0"/>
        <v>1050</v>
      </c>
      <c r="N14" s="15">
        <v>0</v>
      </c>
      <c r="O14" s="58">
        <f t="shared" si="1"/>
        <v>0</v>
      </c>
      <c r="P14" s="39">
        <f t="shared" si="2"/>
        <v>12</v>
      </c>
      <c r="Q14" s="40">
        <f t="shared" si="3"/>
        <v>12</v>
      </c>
      <c r="R14" s="7"/>
      <c r="S14" s="6"/>
      <c r="T14" s="16"/>
      <c r="U14" s="16"/>
      <c r="V14" s="17">
        <v>12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0.5</v>
      </c>
      <c r="AD14" s="10">
        <f t="shared" si="6"/>
        <v>0.5</v>
      </c>
      <c r="AE14" s="36">
        <f t="shared" si="7"/>
        <v>0.63802083333333326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0.63802083333333326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120</v>
      </c>
      <c r="D16" s="52"/>
      <c r="E16" s="53" t="s">
        <v>261</v>
      </c>
      <c r="F16" s="30" t="s">
        <v>262</v>
      </c>
      <c r="G16" s="12">
        <v>1</v>
      </c>
      <c r="H16" s="13">
        <v>24</v>
      </c>
      <c r="I16" s="7">
        <v>10000</v>
      </c>
      <c r="J16" s="14">
        <v>5845</v>
      </c>
      <c r="K16" s="15">
        <f>L16+1864</f>
        <v>7709</v>
      </c>
      <c r="L16" s="15">
        <f>2965+1440*2</f>
        <v>5845</v>
      </c>
      <c r="M16" s="15">
        <f t="shared" si="0"/>
        <v>5845</v>
      </c>
      <c r="N16" s="15">
        <v>0</v>
      </c>
      <c r="O16" s="58">
        <f t="shared" si="1"/>
        <v>0</v>
      </c>
      <c r="P16" s="39">
        <f t="shared" si="2"/>
        <v>19</v>
      </c>
      <c r="Q16" s="40">
        <f t="shared" si="3"/>
        <v>5</v>
      </c>
      <c r="R16" s="7"/>
      <c r="S16" s="6">
        <v>5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0.79166666666666663</v>
      </c>
      <c r="AD16" s="10">
        <f t="shared" si="6"/>
        <v>0.79166666666666663</v>
      </c>
      <c r="AE16" s="36">
        <f t="shared" si="7"/>
        <v>0.63802083333333326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210</v>
      </c>
      <c r="D17" s="52" t="s">
        <v>280</v>
      </c>
      <c r="E17" s="53" t="s">
        <v>502</v>
      </c>
      <c r="F17" s="30" t="s">
        <v>358</v>
      </c>
      <c r="G17" s="12">
        <v>4</v>
      </c>
      <c r="H17" s="13">
        <v>24</v>
      </c>
      <c r="I17" s="7">
        <v>260000</v>
      </c>
      <c r="J17" s="14">
        <v>16128</v>
      </c>
      <c r="K17" s="15">
        <f>L17</f>
        <v>16128</v>
      </c>
      <c r="L17" s="15">
        <f>2252*2+2906*4</f>
        <v>16128</v>
      </c>
      <c r="M17" s="15">
        <f t="shared" si="0"/>
        <v>16128</v>
      </c>
      <c r="N17" s="15">
        <v>0</v>
      </c>
      <c r="O17" s="58">
        <f t="shared" si="1"/>
        <v>0</v>
      </c>
      <c r="P17" s="39">
        <f t="shared" si="2"/>
        <v>21</v>
      </c>
      <c r="Q17" s="40">
        <f t="shared" si="3"/>
        <v>3</v>
      </c>
      <c r="R17" s="7"/>
      <c r="S17" s="6">
        <v>3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0.875</v>
      </c>
      <c r="AD17" s="10">
        <f t="shared" si="6"/>
        <v>0.875</v>
      </c>
      <c r="AE17" s="36">
        <f t="shared" si="7"/>
        <v>0.63802083333333326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210</v>
      </c>
      <c r="D18" s="52" t="s">
        <v>115</v>
      </c>
      <c r="E18" s="53" t="s">
        <v>484</v>
      </c>
      <c r="F18" s="30" t="s">
        <v>128</v>
      </c>
      <c r="G18" s="33">
        <v>1</v>
      </c>
      <c r="H18" s="35">
        <v>24</v>
      </c>
      <c r="I18" s="7">
        <v>9500</v>
      </c>
      <c r="J18" s="14">
        <v>4552</v>
      </c>
      <c r="K18" s="15">
        <f>L18+3652+5399</f>
        <v>13603</v>
      </c>
      <c r="L18" s="15">
        <f>2846+1706</f>
        <v>4552</v>
      </c>
      <c r="M18" s="15">
        <f t="shared" si="0"/>
        <v>4552</v>
      </c>
      <c r="N18" s="15">
        <v>0</v>
      </c>
      <c r="O18" s="58">
        <f t="shared" si="1"/>
        <v>0</v>
      </c>
      <c r="P18" s="39">
        <f t="shared" si="2"/>
        <v>22</v>
      </c>
      <c r="Q18" s="40">
        <f t="shared" si="3"/>
        <v>2</v>
      </c>
      <c r="R18" s="7"/>
      <c r="S18" s="6">
        <v>2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0.91666666666666663</v>
      </c>
      <c r="AD18" s="10">
        <f t="shared" si="6"/>
        <v>0.91666666666666663</v>
      </c>
      <c r="AE18" s="36">
        <f t="shared" si="7"/>
        <v>0.63802083333333326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208</v>
      </c>
      <c r="E19" s="53" t="s">
        <v>512</v>
      </c>
      <c r="F19" s="30" t="s">
        <v>156</v>
      </c>
      <c r="G19" s="33">
        <v>1</v>
      </c>
      <c r="H19" s="35">
        <v>24</v>
      </c>
      <c r="I19" s="7">
        <v>39000</v>
      </c>
      <c r="J19" s="14">
        <v>4771</v>
      </c>
      <c r="K19" s="15">
        <f>L19+2260</f>
        <v>7031</v>
      </c>
      <c r="L19" s="15">
        <f>2354+2417</f>
        <v>4771</v>
      </c>
      <c r="M19" s="15">
        <f t="shared" si="0"/>
        <v>4771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0.63802083333333326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537</v>
      </c>
      <c r="F20" s="30" t="s">
        <v>311</v>
      </c>
      <c r="G20" s="12">
        <v>1</v>
      </c>
      <c r="H20" s="13">
        <v>24</v>
      </c>
      <c r="I20" s="7">
        <v>30000</v>
      </c>
      <c r="J20" s="14">
        <v>3822</v>
      </c>
      <c r="K20" s="15">
        <f>L20</f>
        <v>3822</v>
      </c>
      <c r="L20" s="15">
        <f>1234+2588</f>
        <v>3822</v>
      </c>
      <c r="M20" s="15">
        <f t="shared" si="0"/>
        <v>3822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>
        <v>3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 t="shared" si="7"/>
        <v>0.63802083333333326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34220</v>
      </c>
      <c r="K21" s="15">
        <f>L21+62008+65280+66156+31132+60100+67104+64940+66996+38324+18548+31820+33244+32052+33372+27132+34220</f>
        <v>732428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0.63802083333333326</v>
      </c>
      <c r="AF21" s="84">
        <f t="shared" si="8"/>
        <v>16</v>
      </c>
    </row>
    <row r="22" spans="1:32" ht="31.5" customHeight="1" thickBot="1">
      <c r="A22" s="443" t="s">
        <v>34</v>
      </c>
      <c r="B22" s="444"/>
      <c r="C22" s="444"/>
      <c r="D22" s="444"/>
      <c r="E22" s="444"/>
      <c r="F22" s="444"/>
      <c r="G22" s="444"/>
      <c r="H22" s="445"/>
      <c r="I22" s="22">
        <f t="shared" ref="I22:N22" si="9">SUM(I6:I21)</f>
        <v>1614000</v>
      </c>
      <c r="J22" s="19">
        <f t="shared" si="9"/>
        <v>120488</v>
      </c>
      <c r="K22" s="20">
        <f t="shared" si="9"/>
        <v>897203</v>
      </c>
      <c r="L22" s="21">
        <f t="shared" si="9"/>
        <v>73912</v>
      </c>
      <c r="M22" s="20">
        <f t="shared" si="9"/>
        <v>73912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245</v>
      </c>
      <c r="Q22" s="43">
        <f t="shared" si="10"/>
        <v>139</v>
      </c>
      <c r="R22" s="23">
        <f t="shared" si="10"/>
        <v>5</v>
      </c>
      <c r="S22" s="24">
        <f t="shared" si="10"/>
        <v>54</v>
      </c>
      <c r="T22" s="24">
        <f t="shared" si="10"/>
        <v>0</v>
      </c>
      <c r="U22" s="24">
        <f t="shared" si="10"/>
        <v>0</v>
      </c>
      <c r="V22" s="25">
        <f t="shared" si="10"/>
        <v>36</v>
      </c>
      <c r="W22" s="26">
        <f t="shared" si="10"/>
        <v>44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0.875</v>
      </c>
      <c r="AC22" s="4">
        <f>AVERAGE(AC6:AC21)</f>
        <v>0.63802083333333326</v>
      </c>
      <c r="AD22" s="4">
        <f>AVERAGE(AD6:AD21)</f>
        <v>0.63802083333333326</v>
      </c>
      <c r="AE22" s="29"/>
    </row>
    <row r="23" spans="1:32">
      <c r="T23" s="50" t="s">
        <v>500</v>
      </c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 t="s">
        <v>511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6" t="s">
        <v>45</v>
      </c>
      <c r="B49" s="446"/>
      <c r="C49" s="446"/>
      <c r="D49" s="446"/>
      <c r="E49" s="446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7" t="s">
        <v>551</v>
      </c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9"/>
      <c r="N50" s="450" t="s">
        <v>557</v>
      </c>
      <c r="O50" s="451"/>
      <c r="P50" s="451"/>
      <c r="Q50" s="451"/>
      <c r="R50" s="451"/>
      <c r="S50" s="451"/>
      <c r="T50" s="451"/>
      <c r="U50" s="451"/>
      <c r="V50" s="451"/>
      <c r="W50" s="451"/>
      <c r="X50" s="451"/>
      <c r="Y50" s="451"/>
      <c r="Z50" s="451"/>
      <c r="AA50" s="451"/>
      <c r="AB50" s="451"/>
      <c r="AC50" s="451"/>
      <c r="AD50" s="452"/>
    </row>
    <row r="51" spans="1:32" ht="27" customHeight="1">
      <c r="A51" s="453" t="s">
        <v>2</v>
      </c>
      <c r="B51" s="454"/>
      <c r="C51" s="358" t="s">
        <v>46</v>
      </c>
      <c r="D51" s="358" t="s">
        <v>47</v>
      </c>
      <c r="E51" s="358" t="s">
        <v>107</v>
      </c>
      <c r="F51" s="455" t="s">
        <v>106</v>
      </c>
      <c r="G51" s="456"/>
      <c r="H51" s="456"/>
      <c r="I51" s="456"/>
      <c r="J51" s="456"/>
      <c r="K51" s="456"/>
      <c r="L51" s="456"/>
      <c r="M51" s="457"/>
      <c r="N51" s="67" t="s">
        <v>110</v>
      </c>
      <c r="O51" s="358" t="s">
        <v>46</v>
      </c>
      <c r="P51" s="455" t="s">
        <v>47</v>
      </c>
      <c r="Q51" s="458"/>
      <c r="R51" s="455" t="s">
        <v>38</v>
      </c>
      <c r="S51" s="456"/>
      <c r="T51" s="456"/>
      <c r="U51" s="458"/>
      <c r="V51" s="455" t="s">
        <v>48</v>
      </c>
      <c r="W51" s="456"/>
      <c r="X51" s="456"/>
      <c r="Y51" s="456"/>
      <c r="Z51" s="456"/>
      <c r="AA51" s="456"/>
      <c r="AB51" s="456"/>
      <c r="AC51" s="456"/>
      <c r="AD51" s="457"/>
    </row>
    <row r="52" spans="1:32" ht="27" customHeight="1">
      <c r="A52" s="469" t="s">
        <v>118</v>
      </c>
      <c r="B52" s="470"/>
      <c r="C52" s="354" t="s">
        <v>147</v>
      </c>
      <c r="D52" s="354" t="s">
        <v>142</v>
      </c>
      <c r="E52" s="354" t="s">
        <v>501</v>
      </c>
      <c r="F52" s="471" t="s">
        <v>552</v>
      </c>
      <c r="G52" s="472"/>
      <c r="H52" s="472"/>
      <c r="I52" s="472"/>
      <c r="J52" s="472"/>
      <c r="K52" s="472"/>
      <c r="L52" s="472"/>
      <c r="M52" s="473"/>
      <c r="N52" s="357" t="s">
        <v>118</v>
      </c>
      <c r="O52" s="351" t="s">
        <v>386</v>
      </c>
      <c r="P52" s="474" t="s">
        <v>115</v>
      </c>
      <c r="Q52" s="475"/>
      <c r="R52" s="474" t="s">
        <v>394</v>
      </c>
      <c r="S52" s="476"/>
      <c r="T52" s="476"/>
      <c r="U52" s="475"/>
      <c r="V52" s="477" t="s">
        <v>124</v>
      </c>
      <c r="W52" s="477"/>
      <c r="X52" s="477"/>
      <c r="Y52" s="477"/>
      <c r="Z52" s="477"/>
      <c r="AA52" s="477"/>
      <c r="AB52" s="477"/>
      <c r="AC52" s="477"/>
      <c r="AD52" s="478"/>
    </row>
    <row r="53" spans="1:32" ht="27" customHeight="1">
      <c r="A53" s="487" t="s">
        <v>118</v>
      </c>
      <c r="B53" s="488"/>
      <c r="C53" s="353" t="s">
        <v>292</v>
      </c>
      <c r="D53" s="353" t="s">
        <v>280</v>
      </c>
      <c r="E53" s="354" t="s">
        <v>498</v>
      </c>
      <c r="F53" s="471" t="s">
        <v>553</v>
      </c>
      <c r="G53" s="472"/>
      <c r="H53" s="472"/>
      <c r="I53" s="472"/>
      <c r="J53" s="472"/>
      <c r="K53" s="472"/>
      <c r="L53" s="472"/>
      <c r="M53" s="473"/>
      <c r="N53" s="357" t="s">
        <v>210</v>
      </c>
      <c r="O53" s="351" t="s">
        <v>372</v>
      </c>
      <c r="P53" s="474" t="s">
        <v>448</v>
      </c>
      <c r="Q53" s="475"/>
      <c r="R53" s="474" t="s">
        <v>447</v>
      </c>
      <c r="S53" s="476"/>
      <c r="T53" s="476"/>
      <c r="U53" s="475"/>
      <c r="V53" s="477" t="s">
        <v>124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 t="s">
        <v>118</v>
      </c>
      <c r="B54" s="470"/>
      <c r="C54" s="354" t="s">
        <v>386</v>
      </c>
      <c r="D54" s="354" t="s">
        <v>115</v>
      </c>
      <c r="E54" s="354" t="s">
        <v>394</v>
      </c>
      <c r="F54" s="471" t="s">
        <v>471</v>
      </c>
      <c r="G54" s="472"/>
      <c r="H54" s="472"/>
      <c r="I54" s="472"/>
      <c r="J54" s="472"/>
      <c r="K54" s="472"/>
      <c r="L54" s="472"/>
      <c r="M54" s="473"/>
      <c r="N54" s="357" t="s">
        <v>210</v>
      </c>
      <c r="O54" s="351" t="s">
        <v>133</v>
      </c>
      <c r="P54" s="474" t="s">
        <v>280</v>
      </c>
      <c r="Q54" s="475"/>
      <c r="R54" s="474" t="s">
        <v>397</v>
      </c>
      <c r="S54" s="476"/>
      <c r="T54" s="476"/>
      <c r="U54" s="475"/>
      <c r="V54" s="477" t="s">
        <v>132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69" t="s">
        <v>112</v>
      </c>
      <c r="B55" s="470"/>
      <c r="C55" s="354" t="s">
        <v>133</v>
      </c>
      <c r="D55" s="354" t="s">
        <v>208</v>
      </c>
      <c r="E55" s="354" t="s">
        <v>510</v>
      </c>
      <c r="F55" s="471" t="s">
        <v>458</v>
      </c>
      <c r="G55" s="472"/>
      <c r="H55" s="472"/>
      <c r="I55" s="472"/>
      <c r="J55" s="472"/>
      <c r="K55" s="472"/>
      <c r="L55" s="472"/>
      <c r="M55" s="473"/>
      <c r="N55" s="357" t="s">
        <v>120</v>
      </c>
      <c r="O55" s="351" t="s">
        <v>139</v>
      </c>
      <c r="P55" s="474"/>
      <c r="Q55" s="475"/>
      <c r="R55" s="474" t="s">
        <v>558</v>
      </c>
      <c r="S55" s="476"/>
      <c r="T55" s="476"/>
      <c r="U55" s="475"/>
      <c r="V55" s="477" t="s">
        <v>132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87" t="s">
        <v>210</v>
      </c>
      <c r="B56" s="488"/>
      <c r="C56" s="353" t="s">
        <v>191</v>
      </c>
      <c r="D56" s="353" t="s">
        <v>115</v>
      </c>
      <c r="E56" s="354" t="s">
        <v>484</v>
      </c>
      <c r="F56" s="471" t="s">
        <v>124</v>
      </c>
      <c r="G56" s="472"/>
      <c r="H56" s="472"/>
      <c r="I56" s="472"/>
      <c r="J56" s="472"/>
      <c r="K56" s="472"/>
      <c r="L56" s="472"/>
      <c r="M56" s="473"/>
      <c r="N56" s="357" t="s">
        <v>118</v>
      </c>
      <c r="O56" s="351" t="s">
        <v>191</v>
      </c>
      <c r="P56" s="474" t="s">
        <v>184</v>
      </c>
      <c r="Q56" s="475"/>
      <c r="R56" s="474" t="s">
        <v>375</v>
      </c>
      <c r="S56" s="476"/>
      <c r="T56" s="476"/>
      <c r="U56" s="475"/>
      <c r="V56" s="477" t="s">
        <v>132</v>
      </c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 t="s">
        <v>210</v>
      </c>
      <c r="B57" s="470"/>
      <c r="C57" s="354" t="s">
        <v>139</v>
      </c>
      <c r="D57" s="354" t="s">
        <v>115</v>
      </c>
      <c r="E57" s="354" t="s">
        <v>336</v>
      </c>
      <c r="F57" s="471" t="s">
        <v>520</v>
      </c>
      <c r="G57" s="472"/>
      <c r="H57" s="472"/>
      <c r="I57" s="472"/>
      <c r="J57" s="472"/>
      <c r="K57" s="472"/>
      <c r="L57" s="472"/>
      <c r="M57" s="473"/>
      <c r="N57" s="357"/>
      <c r="O57" s="351"/>
      <c r="P57" s="474"/>
      <c r="Q57" s="475"/>
      <c r="R57" s="474"/>
      <c r="S57" s="476"/>
      <c r="T57" s="476"/>
      <c r="U57" s="475"/>
      <c r="V57" s="477"/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 t="s">
        <v>120</v>
      </c>
      <c r="B58" s="470"/>
      <c r="C58" s="354" t="s">
        <v>222</v>
      </c>
      <c r="D58" s="354"/>
      <c r="E58" s="354" t="s">
        <v>261</v>
      </c>
      <c r="F58" s="471" t="s">
        <v>554</v>
      </c>
      <c r="G58" s="472"/>
      <c r="H58" s="472"/>
      <c r="I58" s="472"/>
      <c r="J58" s="472"/>
      <c r="K58" s="472"/>
      <c r="L58" s="472"/>
      <c r="M58" s="473"/>
      <c r="N58" s="357"/>
      <c r="O58" s="351"/>
      <c r="P58" s="474"/>
      <c r="Q58" s="475"/>
      <c r="R58" s="474"/>
      <c r="S58" s="476"/>
      <c r="T58" s="476"/>
      <c r="U58" s="475"/>
      <c r="V58" s="477"/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 t="s">
        <v>112</v>
      </c>
      <c r="B59" s="488"/>
      <c r="C59" s="353" t="s">
        <v>318</v>
      </c>
      <c r="D59" s="353" t="s">
        <v>208</v>
      </c>
      <c r="E59" s="354" t="s">
        <v>512</v>
      </c>
      <c r="F59" s="471" t="s">
        <v>555</v>
      </c>
      <c r="G59" s="472"/>
      <c r="H59" s="472"/>
      <c r="I59" s="472"/>
      <c r="J59" s="472"/>
      <c r="K59" s="472"/>
      <c r="L59" s="472"/>
      <c r="M59" s="473"/>
      <c r="N59" s="357"/>
      <c r="O59" s="351"/>
      <c r="P59" s="474"/>
      <c r="Q59" s="475"/>
      <c r="R59" s="474"/>
      <c r="S59" s="476"/>
      <c r="T59" s="476"/>
      <c r="U59" s="475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 t="s">
        <v>210</v>
      </c>
      <c r="B60" s="488"/>
      <c r="C60" s="353" t="s">
        <v>140</v>
      </c>
      <c r="D60" s="353" t="s">
        <v>280</v>
      </c>
      <c r="E60" s="354" t="s">
        <v>556</v>
      </c>
      <c r="F60" s="471" t="s">
        <v>132</v>
      </c>
      <c r="G60" s="472"/>
      <c r="H60" s="472"/>
      <c r="I60" s="472"/>
      <c r="J60" s="472"/>
      <c r="K60" s="472"/>
      <c r="L60" s="472"/>
      <c r="M60" s="473"/>
      <c r="N60" s="357"/>
      <c r="O60" s="351"/>
      <c r="P60" s="470"/>
      <c r="Q60" s="470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  <c r="AF60" s="84">
        <f>8*3000</f>
        <v>24000</v>
      </c>
    </row>
    <row r="61" spans="1:32" ht="27" customHeight="1" thickBot="1">
      <c r="A61" s="479" t="s">
        <v>118</v>
      </c>
      <c r="B61" s="480"/>
      <c r="C61" s="355" t="s">
        <v>141</v>
      </c>
      <c r="D61" s="356" t="s">
        <v>115</v>
      </c>
      <c r="E61" s="355" t="s">
        <v>537</v>
      </c>
      <c r="F61" s="481" t="s">
        <v>132</v>
      </c>
      <c r="G61" s="482"/>
      <c r="H61" s="482"/>
      <c r="I61" s="482"/>
      <c r="J61" s="482"/>
      <c r="K61" s="482"/>
      <c r="L61" s="482"/>
      <c r="M61" s="483"/>
      <c r="N61" s="111"/>
      <c r="O61" s="103"/>
      <c r="P61" s="484"/>
      <c r="Q61" s="484"/>
      <c r="R61" s="484"/>
      <c r="S61" s="484"/>
      <c r="T61" s="484"/>
      <c r="U61" s="484"/>
      <c r="V61" s="485"/>
      <c r="W61" s="485"/>
      <c r="X61" s="485"/>
      <c r="Y61" s="485"/>
      <c r="Z61" s="485"/>
      <c r="AA61" s="485"/>
      <c r="AB61" s="485"/>
      <c r="AC61" s="485"/>
      <c r="AD61" s="486"/>
      <c r="AF61" s="84">
        <f>16*3000</f>
        <v>48000</v>
      </c>
    </row>
    <row r="62" spans="1:32" ht="27.75" thickBot="1">
      <c r="A62" s="489" t="s">
        <v>559</v>
      </c>
      <c r="B62" s="489"/>
      <c r="C62" s="489"/>
      <c r="D62" s="489"/>
      <c r="E62" s="48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0" t="s">
        <v>111</v>
      </c>
      <c r="B63" s="491"/>
      <c r="C63" s="352" t="s">
        <v>2</v>
      </c>
      <c r="D63" s="352" t="s">
        <v>37</v>
      </c>
      <c r="E63" s="352" t="s">
        <v>3</v>
      </c>
      <c r="F63" s="491" t="s">
        <v>109</v>
      </c>
      <c r="G63" s="491"/>
      <c r="H63" s="491"/>
      <c r="I63" s="491"/>
      <c r="J63" s="491"/>
      <c r="K63" s="491" t="s">
        <v>39</v>
      </c>
      <c r="L63" s="491"/>
      <c r="M63" s="352" t="s">
        <v>40</v>
      </c>
      <c r="N63" s="491" t="s">
        <v>41</v>
      </c>
      <c r="O63" s="491"/>
      <c r="P63" s="492" t="s">
        <v>42</v>
      </c>
      <c r="Q63" s="493"/>
      <c r="R63" s="492" t="s">
        <v>43</v>
      </c>
      <c r="S63" s="494"/>
      <c r="T63" s="494"/>
      <c r="U63" s="494"/>
      <c r="V63" s="494"/>
      <c r="W63" s="494"/>
      <c r="X63" s="494"/>
      <c r="Y63" s="494"/>
      <c r="Z63" s="494"/>
      <c r="AA63" s="493"/>
      <c r="AB63" s="491" t="s">
        <v>44</v>
      </c>
      <c r="AC63" s="491"/>
      <c r="AD63" s="495"/>
      <c r="AF63" s="84">
        <f>SUM(AF60:AF62)</f>
        <v>96000</v>
      </c>
    </row>
    <row r="64" spans="1:32" ht="25.5" customHeight="1">
      <c r="A64" s="496">
        <v>1</v>
      </c>
      <c r="B64" s="497"/>
      <c r="C64" s="104"/>
      <c r="D64" s="347"/>
      <c r="E64" s="350"/>
      <c r="F64" s="498"/>
      <c r="G64" s="499"/>
      <c r="H64" s="499"/>
      <c r="I64" s="499"/>
      <c r="J64" s="500"/>
      <c r="K64" s="501"/>
      <c r="L64" s="501"/>
      <c r="M64" s="51"/>
      <c r="N64" s="502"/>
      <c r="O64" s="502"/>
      <c r="P64" s="503"/>
      <c r="Q64" s="503"/>
      <c r="R64" s="477"/>
      <c r="S64" s="477"/>
      <c r="T64" s="477"/>
      <c r="U64" s="477"/>
      <c r="V64" s="477"/>
      <c r="W64" s="477"/>
      <c r="X64" s="477"/>
      <c r="Y64" s="477"/>
      <c r="Z64" s="477"/>
      <c r="AA64" s="477"/>
      <c r="AB64" s="501"/>
      <c r="AC64" s="501"/>
      <c r="AD64" s="504"/>
      <c r="AF64" s="50"/>
    </row>
    <row r="65" spans="1:32" ht="25.5" customHeight="1">
      <c r="A65" s="496">
        <v>2</v>
      </c>
      <c r="B65" s="497"/>
      <c r="C65" s="104"/>
      <c r="D65" s="347"/>
      <c r="E65" s="350"/>
      <c r="F65" s="498"/>
      <c r="G65" s="499"/>
      <c r="H65" s="499"/>
      <c r="I65" s="499"/>
      <c r="J65" s="500"/>
      <c r="K65" s="501"/>
      <c r="L65" s="501"/>
      <c r="M65" s="51"/>
      <c r="N65" s="502"/>
      <c r="O65" s="502"/>
      <c r="P65" s="503"/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3</v>
      </c>
      <c r="B66" s="497"/>
      <c r="C66" s="104"/>
      <c r="D66" s="347"/>
      <c r="E66" s="350"/>
      <c r="F66" s="498"/>
      <c r="G66" s="499"/>
      <c r="H66" s="499"/>
      <c r="I66" s="499"/>
      <c r="J66" s="500"/>
      <c r="K66" s="501"/>
      <c r="L66" s="501"/>
      <c r="M66" s="51"/>
      <c r="N66" s="502"/>
      <c r="O66" s="502"/>
      <c r="P66" s="503"/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4</v>
      </c>
      <c r="B67" s="497"/>
      <c r="C67" s="104"/>
      <c r="D67" s="347"/>
      <c r="E67" s="350"/>
      <c r="F67" s="498"/>
      <c r="G67" s="499"/>
      <c r="H67" s="499"/>
      <c r="I67" s="499"/>
      <c r="J67" s="500"/>
      <c r="K67" s="501"/>
      <c r="L67" s="501"/>
      <c r="M67" s="51"/>
      <c r="N67" s="502"/>
      <c r="O67" s="502"/>
      <c r="P67" s="503"/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5</v>
      </c>
      <c r="B68" s="497"/>
      <c r="C68" s="104"/>
      <c r="D68" s="347"/>
      <c r="E68" s="350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6</v>
      </c>
      <c r="B69" s="497"/>
      <c r="C69" s="104"/>
      <c r="D69" s="347"/>
      <c r="E69" s="350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7</v>
      </c>
      <c r="B70" s="497"/>
      <c r="C70" s="104"/>
      <c r="D70" s="347"/>
      <c r="E70" s="350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8</v>
      </c>
      <c r="B71" s="497"/>
      <c r="C71" s="104"/>
      <c r="D71" s="347"/>
      <c r="E71" s="350"/>
      <c r="F71" s="505"/>
      <c r="G71" s="501"/>
      <c r="H71" s="501"/>
      <c r="I71" s="501"/>
      <c r="J71" s="501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9</v>
      </c>
      <c r="B72" s="497"/>
      <c r="C72" s="104"/>
      <c r="D72" s="347"/>
      <c r="E72" s="350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10</v>
      </c>
      <c r="B73" s="497"/>
      <c r="C73" s="104"/>
      <c r="D73" s="347"/>
      <c r="E73" s="350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6.25" customHeight="1" thickBot="1">
      <c r="A74" s="506" t="s">
        <v>560</v>
      </c>
      <c r="B74" s="506"/>
      <c r="C74" s="506"/>
      <c r="D74" s="506"/>
      <c r="E74" s="50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7" t="s">
        <v>126</v>
      </c>
      <c r="B75" s="508"/>
      <c r="C75" s="349" t="s">
        <v>2</v>
      </c>
      <c r="D75" s="349" t="s">
        <v>37</v>
      </c>
      <c r="E75" s="349" t="s">
        <v>125</v>
      </c>
      <c r="F75" s="508" t="s">
        <v>38</v>
      </c>
      <c r="G75" s="508"/>
      <c r="H75" s="508"/>
      <c r="I75" s="508"/>
      <c r="J75" s="508"/>
      <c r="K75" s="509" t="s">
        <v>58</v>
      </c>
      <c r="L75" s="510"/>
      <c r="M75" s="510"/>
      <c r="N75" s="510"/>
      <c r="O75" s="510"/>
      <c r="P75" s="510"/>
      <c r="Q75" s="510"/>
      <c r="R75" s="510"/>
      <c r="S75" s="511"/>
      <c r="T75" s="508" t="s">
        <v>49</v>
      </c>
      <c r="U75" s="508"/>
      <c r="V75" s="509" t="s">
        <v>50</v>
      </c>
      <c r="W75" s="511"/>
      <c r="X75" s="510" t="s">
        <v>51</v>
      </c>
      <c r="Y75" s="510"/>
      <c r="Z75" s="510"/>
      <c r="AA75" s="510"/>
      <c r="AB75" s="510"/>
      <c r="AC75" s="510"/>
      <c r="AD75" s="512"/>
      <c r="AF75" s="50"/>
    </row>
    <row r="76" spans="1:32" ht="33.75" customHeight="1">
      <c r="A76" s="521">
        <v>1</v>
      </c>
      <c r="B76" s="522"/>
      <c r="C76" s="348" t="s">
        <v>112</v>
      </c>
      <c r="D76" s="348"/>
      <c r="E76" s="65" t="s">
        <v>117</v>
      </c>
      <c r="F76" s="523" t="s">
        <v>116</v>
      </c>
      <c r="G76" s="524"/>
      <c r="H76" s="524"/>
      <c r="I76" s="524"/>
      <c r="J76" s="525"/>
      <c r="K76" s="526" t="s">
        <v>119</v>
      </c>
      <c r="L76" s="527"/>
      <c r="M76" s="527"/>
      <c r="N76" s="527"/>
      <c r="O76" s="527"/>
      <c r="P76" s="527"/>
      <c r="Q76" s="527"/>
      <c r="R76" s="527"/>
      <c r="S76" s="528"/>
      <c r="T76" s="529">
        <v>44118</v>
      </c>
      <c r="U76" s="530"/>
      <c r="V76" s="531"/>
      <c r="W76" s="531"/>
      <c r="X76" s="532"/>
      <c r="Y76" s="532"/>
      <c r="Z76" s="532"/>
      <c r="AA76" s="532"/>
      <c r="AB76" s="532"/>
      <c r="AC76" s="532"/>
      <c r="AD76" s="533"/>
      <c r="AF76" s="50"/>
    </row>
    <row r="77" spans="1:32" ht="30" customHeight="1">
      <c r="A77" s="513">
        <f>A76+1</f>
        <v>2</v>
      </c>
      <c r="B77" s="514"/>
      <c r="C77" s="347"/>
      <c r="D77" s="347"/>
      <c r="E77" s="32"/>
      <c r="F77" s="514"/>
      <c r="G77" s="514"/>
      <c r="H77" s="514"/>
      <c r="I77" s="514"/>
      <c r="J77" s="514"/>
      <c r="K77" s="515"/>
      <c r="L77" s="516"/>
      <c r="M77" s="516"/>
      <c r="N77" s="516"/>
      <c r="O77" s="516"/>
      <c r="P77" s="516"/>
      <c r="Q77" s="516"/>
      <c r="R77" s="516"/>
      <c r="S77" s="517"/>
      <c r="T77" s="518"/>
      <c r="U77" s="518"/>
      <c r="V77" s="518"/>
      <c r="W77" s="518"/>
      <c r="X77" s="519"/>
      <c r="Y77" s="519"/>
      <c r="Z77" s="519"/>
      <c r="AA77" s="519"/>
      <c r="AB77" s="519"/>
      <c r="AC77" s="519"/>
      <c r="AD77" s="520"/>
      <c r="AF77" s="50"/>
    </row>
    <row r="78" spans="1:32" ht="30" customHeight="1">
      <c r="A78" s="513">
        <f t="shared" ref="A78:A82" si="11">A77+1</f>
        <v>3</v>
      </c>
      <c r="B78" s="514"/>
      <c r="C78" s="347"/>
      <c r="D78" s="347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si="11"/>
        <v>4</v>
      </c>
      <c r="B79" s="514"/>
      <c r="C79" s="347"/>
      <c r="D79" s="347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1"/>
        <v>5</v>
      </c>
      <c r="B80" s="514"/>
      <c r="C80" s="347"/>
      <c r="D80" s="347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1"/>
        <v>6</v>
      </c>
      <c r="B81" s="514"/>
      <c r="C81" s="347"/>
      <c r="D81" s="347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1"/>
        <v>7</v>
      </c>
      <c r="B82" s="514"/>
      <c r="C82" s="347"/>
      <c r="D82" s="347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6" thickBot="1">
      <c r="A83" s="506" t="s">
        <v>561</v>
      </c>
      <c r="B83" s="506"/>
      <c r="C83" s="506"/>
      <c r="D83" s="506"/>
      <c r="E83" s="50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7" t="s">
        <v>111</v>
      </c>
      <c r="B84" s="508"/>
      <c r="C84" s="534" t="s">
        <v>52</v>
      </c>
      <c r="D84" s="534"/>
      <c r="E84" s="534" t="s">
        <v>53</v>
      </c>
      <c r="F84" s="534"/>
      <c r="G84" s="534"/>
      <c r="H84" s="534"/>
      <c r="I84" s="534"/>
      <c r="J84" s="534"/>
      <c r="K84" s="534" t="s">
        <v>54</v>
      </c>
      <c r="L84" s="534"/>
      <c r="M84" s="534"/>
      <c r="N84" s="534"/>
      <c r="O84" s="534"/>
      <c r="P84" s="534"/>
      <c r="Q84" s="534"/>
      <c r="R84" s="534"/>
      <c r="S84" s="534"/>
      <c r="T84" s="534" t="s">
        <v>55</v>
      </c>
      <c r="U84" s="534"/>
      <c r="V84" s="534" t="s">
        <v>56</v>
      </c>
      <c r="W84" s="534"/>
      <c r="X84" s="534"/>
      <c r="Y84" s="534" t="s">
        <v>51</v>
      </c>
      <c r="Z84" s="534"/>
      <c r="AA84" s="534"/>
      <c r="AB84" s="534"/>
      <c r="AC84" s="534"/>
      <c r="AD84" s="535"/>
      <c r="AF84" s="50"/>
    </row>
    <row r="85" spans="1:32" ht="30.75" customHeight="1">
      <c r="A85" s="521">
        <v>1</v>
      </c>
      <c r="B85" s="522"/>
      <c r="C85" s="536">
        <v>9</v>
      </c>
      <c r="D85" s="536"/>
      <c r="E85" s="536" t="s">
        <v>136</v>
      </c>
      <c r="F85" s="536"/>
      <c r="G85" s="536"/>
      <c r="H85" s="536"/>
      <c r="I85" s="536"/>
      <c r="J85" s="536"/>
      <c r="K85" s="536" t="s">
        <v>161</v>
      </c>
      <c r="L85" s="536"/>
      <c r="M85" s="536"/>
      <c r="N85" s="536"/>
      <c r="O85" s="536"/>
      <c r="P85" s="536"/>
      <c r="Q85" s="536"/>
      <c r="R85" s="536"/>
      <c r="S85" s="536"/>
      <c r="T85" s="536" t="s">
        <v>137</v>
      </c>
      <c r="U85" s="536"/>
      <c r="V85" s="537" t="s">
        <v>152</v>
      </c>
      <c r="W85" s="537"/>
      <c r="X85" s="537"/>
      <c r="Y85" s="538"/>
      <c r="Z85" s="538"/>
      <c r="AA85" s="538"/>
      <c r="AB85" s="538"/>
      <c r="AC85" s="538"/>
      <c r="AD85" s="539"/>
      <c r="AF85" s="50"/>
    </row>
    <row r="86" spans="1:32" ht="30.75" customHeight="1">
      <c r="A86" s="513">
        <v>2</v>
      </c>
      <c r="B86" s="514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  <c r="P86" s="547"/>
      <c r="Q86" s="547"/>
      <c r="R86" s="547"/>
      <c r="S86" s="547"/>
      <c r="T86" s="548"/>
      <c r="U86" s="548"/>
      <c r="V86" s="549"/>
      <c r="W86" s="549"/>
      <c r="X86" s="549"/>
      <c r="Y86" s="540"/>
      <c r="Z86" s="540"/>
      <c r="AA86" s="540"/>
      <c r="AB86" s="540"/>
      <c r="AC86" s="540"/>
      <c r="AD86" s="541"/>
      <c r="AF86" s="50"/>
    </row>
    <row r="87" spans="1:32" ht="30.75" customHeight="1" thickBot="1">
      <c r="A87" s="542">
        <v>3</v>
      </c>
      <c r="B87" s="543"/>
      <c r="C87" s="544"/>
      <c r="D87" s="544"/>
      <c r="E87" s="544"/>
      <c r="F87" s="544"/>
      <c r="G87" s="544"/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5"/>
      <c r="Z87" s="545"/>
      <c r="AA87" s="545"/>
      <c r="AB87" s="545"/>
      <c r="AC87" s="545"/>
      <c r="AD87" s="546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3138-7A7E-40E2-89E9-A10501D16DC4}">
  <dimension ref="A1:AF87"/>
  <sheetViews>
    <sheetView view="pageBreakPreview" topLeftCell="A28" zoomScale="70" zoomScaleNormal="72" zoomScaleSheetLayoutView="70" workbookViewId="0">
      <selection activeCell="O53" sqref="O5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562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360" t="s">
        <v>17</v>
      </c>
      <c r="L5" s="360" t="s">
        <v>18</v>
      </c>
      <c r="M5" s="360" t="s">
        <v>19</v>
      </c>
      <c r="N5" s="36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118</v>
      </c>
      <c r="D6" s="52" t="s">
        <v>142</v>
      </c>
      <c r="E6" s="53" t="s">
        <v>501</v>
      </c>
      <c r="F6" s="30" t="s">
        <v>232</v>
      </c>
      <c r="G6" s="12">
        <v>2</v>
      </c>
      <c r="H6" s="13">
        <v>24</v>
      </c>
      <c r="I6" s="31">
        <v>130000</v>
      </c>
      <c r="J6" s="14">
        <v>5662</v>
      </c>
      <c r="K6" s="15">
        <f>L6+4662+8536</f>
        <v>18860</v>
      </c>
      <c r="L6" s="15">
        <f>2831*2</f>
        <v>5662</v>
      </c>
      <c r="M6" s="15">
        <f t="shared" ref="M6:M21" si="0">L6-N6</f>
        <v>5662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11</v>
      </c>
      <c r="Q6" s="40">
        <f t="shared" ref="Q6:Q21" si="3">SUM(R6:AA6)</f>
        <v>13</v>
      </c>
      <c r="R6" s="7"/>
      <c r="S6" s="6">
        <v>13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0.45833333333333331</v>
      </c>
      <c r="AD6" s="10">
        <f t="shared" ref="AD6:AD21" si="6">AC6*AB6*(1-O6)</f>
        <v>0.45833333333333331</v>
      </c>
      <c r="AE6" s="36">
        <f t="shared" ref="AE6:AE21" si="7">$AD$22</f>
        <v>0.50260416666666674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210</v>
      </c>
      <c r="D7" s="52" t="s">
        <v>280</v>
      </c>
      <c r="E7" s="53" t="s">
        <v>397</v>
      </c>
      <c r="F7" s="30" t="s">
        <v>398</v>
      </c>
      <c r="G7" s="12">
        <v>2</v>
      </c>
      <c r="H7" s="13">
        <v>24</v>
      </c>
      <c r="I7" s="31">
        <v>4000</v>
      </c>
      <c r="J7" s="14">
        <v>4438</v>
      </c>
      <c r="K7" s="15">
        <f>L7</f>
        <v>4438</v>
      </c>
      <c r="L7" s="15">
        <f>2219*2</f>
        <v>4438</v>
      </c>
      <c r="M7" s="15">
        <f t="shared" si="0"/>
        <v>4438</v>
      </c>
      <c r="N7" s="15">
        <v>0</v>
      </c>
      <c r="O7" s="58">
        <f t="shared" si="1"/>
        <v>0</v>
      </c>
      <c r="P7" s="39">
        <f t="shared" si="2"/>
        <v>10</v>
      </c>
      <c r="Q7" s="40">
        <f t="shared" si="3"/>
        <v>14</v>
      </c>
      <c r="R7" s="7"/>
      <c r="S7" s="6">
        <v>14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0.41666666666666669</v>
      </c>
      <c r="AD7" s="10">
        <f t="shared" si="6"/>
        <v>0.41666666666666669</v>
      </c>
      <c r="AE7" s="36">
        <f t="shared" si="7"/>
        <v>0.50260416666666674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120</v>
      </c>
      <c r="D8" s="52"/>
      <c r="E8" s="53" t="s">
        <v>558</v>
      </c>
      <c r="F8" s="30" t="s">
        <v>262</v>
      </c>
      <c r="G8" s="12">
        <v>2</v>
      </c>
      <c r="H8" s="13">
        <v>24</v>
      </c>
      <c r="I8" s="7">
        <v>10000</v>
      </c>
      <c r="J8" s="5">
        <v>12018</v>
      </c>
      <c r="K8" s="15">
        <f>L8</f>
        <v>12018</v>
      </c>
      <c r="L8" s="15">
        <f>3180*2+2829*2</f>
        <v>12018</v>
      </c>
      <c r="M8" s="15">
        <f t="shared" si="0"/>
        <v>12018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0.50260416666666674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280</v>
      </c>
      <c r="E9" s="53" t="s">
        <v>498</v>
      </c>
      <c r="F9" s="30" t="s">
        <v>404</v>
      </c>
      <c r="G9" s="12">
        <v>1</v>
      </c>
      <c r="H9" s="13">
        <v>24</v>
      </c>
      <c r="I9" s="7">
        <v>30000</v>
      </c>
      <c r="J9" s="14">
        <v>4858</v>
      </c>
      <c r="K9" s="15">
        <f>L9+3787+4146</f>
        <v>12791</v>
      </c>
      <c r="L9" s="15">
        <f>2399+2459</f>
        <v>4858</v>
      </c>
      <c r="M9" s="15">
        <f t="shared" si="0"/>
        <v>4858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0.50260416666666674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131</v>
      </c>
      <c r="E10" s="53" t="s">
        <v>490</v>
      </c>
      <c r="F10" s="30" t="s">
        <v>144</v>
      </c>
      <c r="G10" s="33">
        <v>2</v>
      </c>
      <c r="H10" s="35">
        <v>24</v>
      </c>
      <c r="I10" s="7">
        <v>32000</v>
      </c>
      <c r="J10" s="14">
        <v>11802</v>
      </c>
      <c r="K10" s="15">
        <f>L10+5096+11900+12006</f>
        <v>40804</v>
      </c>
      <c r="L10" s="15">
        <f>2991*2+2910*2</f>
        <v>11802</v>
      </c>
      <c r="M10" s="15">
        <f t="shared" si="0"/>
        <v>11802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0.50260416666666674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210</v>
      </c>
      <c r="D11" s="52" t="s">
        <v>448</v>
      </c>
      <c r="E11" s="53" t="s">
        <v>447</v>
      </c>
      <c r="F11" s="30" t="s">
        <v>213</v>
      </c>
      <c r="G11" s="33">
        <v>1</v>
      </c>
      <c r="H11" s="35">
        <v>24</v>
      </c>
      <c r="I11" s="7">
        <v>7000</v>
      </c>
      <c r="J11" s="14">
        <v>974</v>
      </c>
      <c r="K11" s="15">
        <f>L11+1004</f>
        <v>1978</v>
      </c>
      <c r="L11" s="15">
        <v>974</v>
      </c>
      <c r="M11" s="15">
        <f t="shared" si="0"/>
        <v>974</v>
      </c>
      <c r="N11" s="15">
        <v>0</v>
      </c>
      <c r="O11" s="58">
        <f t="shared" si="1"/>
        <v>0</v>
      </c>
      <c r="P11" s="39">
        <f t="shared" si="2"/>
        <v>4</v>
      </c>
      <c r="Q11" s="40">
        <f t="shared" si="3"/>
        <v>20</v>
      </c>
      <c r="R11" s="7"/>
      <c r="S11" s="6">
        <v>20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0.16666666666666666</v>
      </c>
      <c r="AD11" s="10">
        <f t="shared" si="6"/>
        <v>0.16666666666666666</v>
      </c>
      <c r="AE11" s="36">
        <f t="shared" si="7"/>
        <v>0.50260416666666674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394</v>
      </c>
      <c r="F12" s="30" t="s">
        <v>128</v>
      </c>
      <c r="G12" s="12">
        <v>1</v>
      </c>
      <c r="H12" s="13">
        <v>22</v>
      </c>
      <c r="I12" s="31">
        <v>10000</v>
      </c>
      <c r="J12" s="5">
        <v>3467</v>
      </c>
      <c r="K12" s="15">
        <f>L12+1899+2447</f>
        <v>7813</v>
      </c>
      <c r="L12" s="15">
        <f>985+2482</f>
        <v>3467</v>
      </c>
      <c r="M12" s="15">
        <f t="shared" si="0"/>
        <v>3467</v>
      </c>
      <c r="N12" s="15">
        <v>0</v>
      </c>
      <c r="O12" s="58">
        <f t="shared" si="1"/>
        <v>0</v>
      </c>
      <c r="P12" s="39">
        <f t="shared" si="2"/>
        <v>18</v>
      </c>
      <c r="Q12" s="40">
        <f t="shared" si="3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0.75</v>
      </c>
      <c r="AD12" s="10">
        <f t="shared" si="6"/>
        <v>0.75</v>
      </c>
      <c r="AE12" s="36">
        <f t="shared" si="7"/>
        <v>0.50260416666666674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131</v>
      </c>
      <c r="E13" s="53" t="s">
        <v>368</v>
      </c>
      <c r="F13" s="30" t="s">
        <v>144</v>
      </c>
      <c r="G13" s="33">
        <v>1</v>
      </c>
      <c r="H13" s="35">
        <v>24</v>
      </c>
      <c r="I13" s="7">
        <v>35000</v>
      </c>
      <c r="J13" s="14">
        <v>1384</v>
      </c>
      <c r="K13" s="15">
        <f>L13+5836+5860+5835+5890+5616+5726+1384</f>
        <v>36147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0.50260416666666674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491</v>
      </c>
      <c r="F14" s="30" t="s">
        <v>286</v>
      </c>
      <c r="G14" s="33">
        <v>1</v>
      </c>
      <c r="H14" s="35">
        <v>50</v>
      </c>
      <c r="I14" s="7">
        <v>2500</v>
      </c>
      <c r="J14" s="5">
        <v>1050</v>
      </c>
      <c r="K14" s="15">
        <f>L14+893+982+1050</f>
        <v>2925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>
        <v>24</v>
      </c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0.50260416666666674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0.50260416666666674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120</v>
      </c>
      <c r="D16" s="52"/>
      <c r="E16" s="53" t="s">
        <v>261</v>
      </c>
      <c r="F16" s="30" t="s">
        <v>262</v>
      </c>
      <c r="G16" s="12">
        <v>1</v>
      </c>
      <c r="H16" s="13">
        <v>24</v>
      </c>
      <c r="I16" s="7">
        <v>10000</v>
      </c>
      <c r="J16" s="14">
        <v>5889</v>
      </c>
      <c r="K16" s="15">
        <f>L16+1864+5845</f>
        <v>13598</v>
      </c>
      <c r="L16" s="15">
        <f>2992+2897</f>
        <v>5889</v>
      </c>
      <c r="M16" s="15">
        <f t="shared" si="0"/>
        <v>5889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0.50260416666666674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210</v>
      </c>
      <c r="D17" s="52" t="s">
        <v>280</v>
      </c>
      <c r="E17" s="53" t="s">
        <v>502</v>
      </c>
      <c r="F17" s="30" t="s">
        <v>358</v>
      </c>
      <c r="G17" s="12">
        <v>3</v>
      </c>
      <c r="H17" s="13">
        <v>24</v>
      </c>
      <c r="I17" s="7">
        <v>260000</v>
      </c>
      <c r="J17" s="14">
        <v>16857</v>
      </c>
      <c r="K17" s="15">
        <f>L17+16128</f>
        <v>32985</v>
      </c>
      <c r="L17" s="15">
        <f>2888*3+2731*3</f>
        <v>16857</v>
      </c>
      <c r="M17" s="15">
        <f t="shared" si="0"/>
        <v>16857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0.50260416666666674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210</v>
      </c>
      <c r="D18" s="52" t="s">
        <v>115</v>
      </c>
      <c r="E18" s="53" t="s">
        <v>484</v>
      </c>
      <c r="F18" s="30" t="s">
        <v>128</v>
      </c>
      <c r="G18" s="33">
        <v>1</v>
      </c>
      <c r="H18" s="35">
        <v>24</v>
      </c>
      <c r="I18" s="7">
        <v>9500</v>
      </c>
      <c r="J18" s="14">
        <v>746</v>
      </c>
      <c r="K18" s="15">
        <f>L18+3652+5399+4552</f>
        <v>14349</v>
      </c>
      <c r="L18" s="15">
        <v>746</v>
      </c>
      <c r="M18" s="15">
        <f t="shared" si="0"/>
        <v>746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6">
        <f t="shared" si="7"/>
        <v>0.50260416666666674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208</v>
      </c>
      <c r="E19" s="53" t="s">
        <v>512</v>
      </c>
      <c r="F19" s="30" t="s">
        <v>156</v>
      </c>
      <c r="G19" s="33">
        <v>1</v>
      </c>
      <c r="H19" s="35">
        <v>24</v>
      </c>
      <c r="I19" s="7">
        <v>39000</v>
      </c>
      <c r="J19" s="14">
        <v>194</v>
      </c>
      <c r="K19" s="15">
        <f>L19+2260+4771</f>
        <v>7225</v>
      </c>
      <c r="L19" s="15">
        <f>194</f>
        <v>194</v>
      </c>
      <c r="M19" s="15">
        <f t="shared" si="0"/>
        <v>194</v>
      </c>
      <c r="N19" s="15">
        <v>0</v>
      </c>
      <c r="O19" s="58">
        <f t="shared" si="1"/>
        <v>0</v>
      </c>
      <c r="P19" s="39">
        <f t="shared" si="2"/>
        <v>2</v>
      </c>
      <c r="Q19" s="40">
        <f t="shared" si="3"/>
        <v>22</v>
      </c>
      <c r="R19" s="7"/>
      <c r="S19" s="6">
        <v>22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8.3333333333333329E-2</v>
      </c>
      <c r="AD19" s="10">
        <f t="shared" si="6"/>
        <v>8.3333333333333329E-2</v>
      </c>
      <c r="AE19" s="36">
        <f t="shared" si="7"/>
        <v>0.50260416666666674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537</v>
      </c>
      <c r="F20" s="30" t="s">
        <v>311</v>
      </c>
      <c r="G20" s="12">
        <v>1</v>
      </c>
      <c r="H20" s="13">
        <v>24</v>
      </c>
      <c r="I20" s="7">
        <v>30000</v>
      </c>
      <c r="J20" s="14">
        <v>5159</v>
      </c>
      <c r="K20" s="15">
        <f>L20+3822</f>
        <v>8981</v>
      </c>
      <c r="L20" s="15">
        <f>2600+2559</f>
        <v>5159</v>
      </c>
      <c r="M20" s="15">
        <f t="shared" si="0"/>
        <v>5159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0.50260416666666674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34220</v>
      </c>
      <c r="K21" s="15">
        <f>L21+62008+65280+66156+31132+60100+67104+64940+66996+38324+18548+31820+33244+32052+33372+27132+34220</f>
        <v>732428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0.50260416666666674</v>
      </c>
      <c r="AF21" s="84">
        <f t="shared" si="8"/>
        <v>16</v>
      </c>
    </row>
    <row r="22" spans="1:32" ht="31.5" customHeight="1" thickBot="1">
      <c r="A22" s="443" t="s">
        <v>34</v>
      </c>
      <c r="B22" s="444"/>
      <c r="C22" s="444"/>
      <c r="D22" s="444"/>
      <c r="E22" s="444"/>
      <c r="F22" s="444"/>
      <c r="G22" s="444"/>
      <c r="H22" s="445"/>
      <c r="I22" s="22">
        <f t="shared" ref="I22:N22" si="9">SUM(I6:I21)</f>
        <v>1621000</v>
      </c>
      <c r="J22" s="19">
        <f t="shared" si="9"/>
        <v>121074</v>
      </c>
      <c r="K22" s="20">
        <f t="shared" si="9"/>
        <v>959696</v>
      </c>
      <c r="L22" s="21">
        <f t="shared" si="9"/>
        <v>72064</v>
      </c>
      <c r="M22" s="20">
        <f t="shared" si="9"/>
        <v>72064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193</v>
      </c>
      <c r="Q22" s="43">
        <f t="shared" si="10"/>
        <v>191</v>
      </c>
      <c r="R22" s="23">
        <f t="shared" si="10"/>
        <v>0</v>
      </c>
      <c r="S22" s="24">
        <f t="shared" si="10"/>
        <v>75</v>
      </c>
      <c r="T22" s="24">
        <f t="shared" si="10"/>
        <v>0</v>
      </c>
      <c r="U22" s="24">
        <f t="shared" si="10"/>
        <v>0</v>
      </c>
      <c r="V22" s="25">
        <f t="shared" si="10"/>
        <v>48</v>
      </c>
      <c r="W22" s="26">
        <f t="shared" si="10"/>
        <v>68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0.75</v>
      </c>
      <c r="AC22" s="4">
        <f>AVERAGE(AC6:AC21)</f>
        <v>0.50260416666666674</v>
      </c>
      <c r="AD22" s="4">
        <f>AVERAGE(AD6:AD21)</f>
        <v>0.50260416666666674</v>
      </c>
      <c r="AE22" s="29"/>
    </row>
    <row r="23" spans="1:32">
      <c r="T23" s="50" t="s">
        <v>500</v>
      </c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 t="s">
        <v>511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6" t="s">
        <v>45</v>
      </c>
      <c r="B49" s="446"/>
      <c r="C49" s="446"/>
      <c r="D49" s="446"/>
      <c r="E49" s="446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7" t="s">
        <v>563</v>
      </c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9"/>
      <c r="N50" s="450" t="s">
        <v>582</v>
      </c>
      <c r="O50" s="451"/>
      <c r="P50" s="451"/>
      <c r="Q50" s="451"/>
      <c r="R50" s="451"/>
      <c r="S50" s="451"/>
      <c r="T50" s="451"/>
      <c r="U50" s="451"/>
      <c r="V50" s="451"/>
      <c r="W50" s="451"/>
      <c r="X50" s="451"/>
      <c r="Y50" s="451"/>
      <c r="Z50" s="451"/>
      <c r="AA50" s="451"/>
      <c r="AB50" s="451"/>
      <c r="AC50" s="451"/>
      <c r="AD50" s="452"/>
    </row>
    <row r="51" spans="1:32" ht="27" customHeight="1">
      <c r="A51" s="453" t="s">
        <v>2</v>
      </c>
      <c r="B51" s="454"/>
      <c r="C51" s="361" t="s">
        <v>46</v>
      </c>
      <c r="D51" s="361" t="s">
        <v>47</v>
      </c>
      <c r="E51" s="361" t="s">
        <v>107</v>
      </c>
      <c r="F51" s="455" t="s">
        <v>106</v>
      </c>
      <c r="G51" s="456"/>
      <c r="H51" s="456"/>
      <c r="I51" s="456"/>
      <c r="J51" s="456"/>
      <c r="K51" s="456"/>
      <c r="L51" s="456"/>
      <c r="M51" s="457"/>
      <c r="N51" s="67" t="s">
        <v>110</v>
      </c>
      <c r="O51" s="361" t="s">
        <v>46</v>
      </c>
      <c r="P51" s="455" t="s">
        <v>47</v>
      </c>
      <c r="Q51" s="458"/>
      <c r="R51" s="455" t="s">
        <v>38</v>
      </c>
      <c r="S51" s="456"/>
      <c r="T51" s="456"/>
      <c r="U51" s="458"/>
      <c r="V51" s="455" t="s">
        <v>48</v>
      </c>
      <c r="W51" s="456"/>
      <c r="X51" s="456"/>
      <c r="Y51" s="456"/>
      <c r="Z51" s="456"/>
      <c r="AA51" s="456"/>
      <c r="AB51" s="456"/>
      <c r="AC51" s="456"/>
      <c r="AD51" s="457"/>
    </row>
    <row r="52" spans="1:32" ht="27" customHeight="1">
      <c r="A52" s="469" t="s">
        <v>118</v>
      </c>
      <c r="B52" s="470"/>
      <c r="C52" s="363" t="s">
        <v>147</v>
      </c>
      <c r="D52" s="363" t="s">
        <v>142</v>
      </c>
      <c r="E52" s="363" t="s">
        <v>501</v>
      </c>
      <c r="F52" s="471" t="s">
        <v>382</v>
      </c>
      <c r="G52" s="472"/>
      <c r="H52" s="472"/>
      <c r="I52" s="472"/>
      <c r="J52" s="472"/>
      <c r="K52" s="472"/>
      <c r="L52" s="472"/>
      <c r="M52" s="473"/>
      <c r="N52" s="362" t="s">
        <v>112</v>
      </c>
      <c r="O52" s="369" t="s">
        <v>147</v>
      </c>
      <c r="P52" s="474" t="s">
        <v>208</v>
      </c>
      <c r="Q52" s="475"/>
      <c r="R52" s="474" t="s">
        <v>577</v>
      </c>
      <c r="S52" s="476"/>
      <c r="T52" s="476"/>
      <c r="U52" s="475"/>
      <c r="V52" s="477" t="s">
        <v>132</v>
      </c>
      <c r="W52" s="477"/>
      <c r="X52" s="477"/>
      <c r="Y52" s="477"/>
      <c r="Z52" s="477"/>
      <c r="AA52" s="477"/>
      <c r="AB52" s="477"/>
      <c r="AC52" s="477"/>
      <c r="AD52" s="478"/>
    </row>
    <row r="53" spans="1:32" ht="27" customHeight="1">
      <c r="A53" s="487" t="s">
        <v>210</v>
      </c>
      <c r="B53" s="488"/>
      <c r="C53" s="366" t="s">
        <v>565</v>
      </c>
      <c r="D53" s="366" t="s">
        <v>280</v>
      </c>
      <c r="E53" s="363" t="s">
        <v>564</v>
      </c>
      <c r="F53" s="471" t="s">
        <v>252</v>
      </c>
      <c r="G53" s="472"/>
      <c r="H53" s="472"/>
      <c r="I53" s="472"/>
      <c r="J53" s="472"/>
      <c r="K53" s="472"/>
      <c r="L53" s="472"/>
      <c r="M53" s="473"/>
      <c r="N53" s="362" t="s">
        <v>210</v>
      </c>
      <c r="O53" s="369" t="s">
        <v>372</v>
      </c>
      <c r="P53" s="474" t="s">
        <v>448</v>
      </c>
      <c r="Q53" s="475"/>
      <c r="R53" s="474" t="s">
        <v>447</v>
      </c>
      <c r="S53" s="476"/>
      <c r="T53" s="476"/>
      <c r="U53" s="475"/>
      <c r="V53" s="477" t="s">
        <v>124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69" t="s">
        <v>118</v>
      </c>
      <c r="B54" s="470"/>
      <c r="C54" s="363" t="s">
        <v>386</v>
      </c>
      <c r="D54" s="363" t="s">
        <v>115</v>
      </c>
      <c r="E54" s="363" t="s">
        <v>394</v>
      </c>
      <c r="F54" s="471" t="s">
        <v>124</v>
      </c>
      <c r="G54" s="472"/>
      <c r="H54" s="472"/>
      <c r="I54" s="472"/>
      <c r="J54" s="472"/>
      <c r="K54" s="472"/>
      <c r="L54" s="472"/>
      <c r="M54" s="473"/>
      <c r="N54" s="383" t="s">
        <v>118</v>
      </c>
      <c r="O54" s="377" t="s">
        <v>191</v>
      </c>
      <c r="P54" s="474" t="s">
        <v>184</v>
      </c>
      <c r="Q54" s="475"/>
      <c r="R54" s="474" t="s">
        <v>375</v>
      </c>
      <c r="S54" s="476"/>
      <c r="T54" s="476"/>
      <c r="U54" s="475"/>
      <c r="V54" s="477" t="s">
        <v>124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69" t="s">
        <v>120</v>
      </c>
      <c r="B55" s="470"/>
      <c r="C55" s="363" t="s">
        <v>567</v>
      </c>
      <c r="D55" s="363"/>
      <c r="E55" s="363" t="s">
        <v>566</v>
      </c>
      <c r="F55" s="471" t="s">
        <v>132</v>
      </c>
      <c r="G55" s="472"/>
      <c r="H55" s="472"/>
      <c r="I55" s="472"/>
      <c r="J55" s="472"/>
      <c r="K55" s="472"/>
      <c r="L55" s="472"/>
      <c r="M55" s="473"/>
      <c r="N55" s="362" t="s">
        <v>210</v>
      </c>
      <c r="O55" s="369" t="s">
        <v>565</v>
      </c>
      <c r="P55" s="474" t="s">
        <v>584</v>
      </c>
      <c r="Q55" s="475"/>
      <c r="R55" s="474" t="s">
        <v>583</v>
      </c>
      <c r="S55" s="476"/>
      <c r="T55" s="476"/>
      <c r="U55" s="475"/>
      <c r="V55" s="477" t="s">
        <v>132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87" t="s">
        <v>210</v>
      </c>
      <c r="B56" s="488"/>
      <c r="C56" s="366" t="s">
        <v>570</v>
      </c>
      <c r="D56" s="366" t="s">
        <v>571</v>
      </c>
      <c r="E56" s="363" t="s">
        <v>568</v>
      </c>
      <c r="F56" s="471" t="s">
        <v>569</v>
      </c>
      <c r="G56" s="472"/>
      <c r="H56" s="472"/>
      <c r="I56" s="472"/>
      <c r="J56" s="472"/>
      <c r="K56" s="472"/>
      <c r="L56" s="472"/>
      <c r="M56" s="473"/>
      <c r="N56" s="362" t="s">
        <v>112</v>
      </c>
      <c r="O56" s="369" t="s">
        <v>586</v>
      </c>
      <c r="P56" s="474" t="s">
        <v>184</v>
      </c>
      <c r="Q56" s="475"/>
      <c r="R56" s="474" t="s">
        <v>585</v>
      </c>
      <c r="S56" s="476"/>
      <c r="T56" s="476"/>
      <c r="U56" s="475"/>
      <c r="V56" s="477" t="s">
        <v>132</v>
      </c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87" t="s">
        <v>210</v>
      </c>
      <c r="B57" s="488"/>
      <c r="C57" s="379" t="s">
        <v>140</v>
      </c>
      <c r="D57" s="379" t="s">
        <v>280</v>
      </c>
      <c r="E57" s="380" t="s">
        <v>556</v>
      </c>
      <c r="F57" s="471" t="s">
        <v>572</v>
      </c>
      <c r="G57" s="472"/>
      <c r="H57" s="472"/>
      <c r="I57" s="472"/>
      <c r="J57" s="472"/>
      <c r="K57" s="472"/>
      <c r="L57" s="472"/>
      <c r="M57" s="473"/>
      <c r="N57" s="362" t="s">
        <v>112</v>
      </c>
      <c r="O57" s="369" t="s">
        <v>580</v>
      </c>
      <c r="P57" s="474" t="s">
        <v>581</v>
      </c>
      <c r="Q57" s="475"/>
      <c r="R57" s="474" t="s">
        <v>577</v>
      </c>
      <c r="S57" s="476"/>
      <c r="T57" s="476"/>
      <c r="U57" s="475"/>
      <c r="V57" s="477" t="s">
        <v>124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 t="s">
        <v>210</v>
      </c>
      <c r="B58" s="470"/>
      <c r="C58" s="363" t="s">
        <v>575</v>
      </c>
      <c r="D58" s="363" t="s">
        <v>576</v>
      </c>
      <c r="E58" s="363" t="s">
        <v>573</v>
      </c>
      <c r="F58" s="471" t="s">
        <v>574</v>
      </c>
      <c r="G58" s="472"/>
      <c r="H58" s="472"/>
      <c r="I58" s="472"/>
      <c r="J58" s="472"/>
      <c r="K58" s="472"/>
      <c r="L58" s="472"/>
      <c r="M58" s="473"/>
      <c r="N58" s="362"/>
      <c r="O58" s="369"/>
      <c r="P58" s="474"/>
      <c r="Q58" s="475"/>
      <c r="R58" s="474"/>
      <c r="S58" s="476"/>
      <c r="T58" s="476"/>
      <c r="U58" s="475"/>
      <c r="V58" s="477"/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 t="s">
        <v>579</v>
      </c>
      <c r="B59" s="488"/>
      <c r="C59" s="366" t="s">
        <v>580</v>
      </c>
      <c r="D59" s="366" t="s">
        <v>581</v>
      </c>
      <c r="E59" s="363" t="s">
        <v>577</v>
      </c>
      <c r="F59" s="471" t="s">
        <v>578</v>
      </c>
      <c r="G59" s="472"/>
      <c r="H59" s="472"/>
      <c r="I59" s="472"/>
      <c r="J59" s="472"/>
      <c r="K59" s="472"/>
      <c r="L59" s="472"/>
      <c r="M59" s="473"/>
      <c r="N59" s="362"/>
      <c r="O59" s="369"/>
      <c r="P59" s="474"/>
      <c r="Q59" s="475"/>
      <c r="R59" s="474"/>
      <c r="S59" s="476"/>
      <c r="T59" s="476"/>
      <c r="U59" s="475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/>
      <c r="B60" s="488"/>
      <c r="C60" s="366"/>
      <c r="D60" s="366"/>
      <c r="E60" s="363"/>
      <c r="F60" s="471"/>
      <c r="G60" s="472"/>
      <c r="H60" s="472"/>
      <c r="I60" s="472"/>
      <c r="J60" s="472"/>
      <c r="K60" s="472"/>
      <c r="L60" s="472"/>
      <c r="M60" s="473"/>
      <c r="N60" s="362"/>
      <c r="O60" s="369"/>
      <c r="P60" s="470"/>
      <c r="Q60" s="470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  <c r="AF60" s="84">
        <f>8*3000</f>
        <v>24000</v>
      </c>
    </row>
    <row r="61" spans="1:32" ht="27" customHeight="1" thickBot="1">
      <c r="A61" s="479"/>
      <c r="B61" s="480"/>
      <c r="C61" s="364"/>
      <c r="D61" s="365"/>
      <c r="E61" s="364"/>
      <c r="F61" s="481"/>
      <c r="G61" s="482"/>
      <c r="H61" s="482"/>
      <c r="I61" s="482"/>
      <c r="J61" s="482"/>
      <c r="K61" s="482"/>
      <c r="L61" s="482"/>
      <c r="M61" s="483"/>
      <c r="N61" s="111"/>
      <c r="O61" s="103"/>
      <c r="P61" s="484"/>
      <c r="Q61" s="484"/>
      <c r="R61" s="484"/>
      <c r="S61" s="484"/>
      <c r="T61" s="484"/>
      <c r="U61" s="484"/>
      <c r="V61" s="485"/>
      <c r="W61" s="485"/>
      <c r="X61" s="485"/>
      <c r="Y61" s="485"/>
      <c r="Z61" s="485"/>
      <c r="AA61" s="485"/>
      <c r="AB61" s="485"/>
      <c r="AC61" s="485"/>
      <c r="AD61" s="486"/>
      <c r="AF61" s="84">
        <f>16*3000</f>
        <v>48000</v>
      </c>
    </row>
    <row r="62" spans="1:32" ht="27.75" thickBot="1">
      <c r="A62" s="489" t="s">
        <v>587</v>
      </c>
      <c r="B62" s="489"/>
      <c r="C62" s="489"/>
      <c r="D62" s="489"/>
      <c r="E62" s="48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0" t="s">
        <v>111</v>
      </c>
      <c r="B63" s="491"/>
      <c r="C63" s="367" t="s">
        <v>2</v>
      </c>
      <c r="D63" s="367" t="s">
        <v>37</v>
      </c>
      <c r="E63" s="367" t="s">
        <v>3</v>
      </c>
      <c r="F63" s="491" t="s">
        <v>109</v>
      </c>
      <c r="G63" s="491"/>
      <c r="H63" s="491"/>
      <c r="I63" s="491"/>
      <c r="J63" s="491"/>
      <c r="K63" s="491" t="s">
        <v>39</v>
      </c>
      <c r="L63" s="491"/>
      <c r="M63" s="367" t="s">
        <v>40</v>
      </c>
      <c r="N63" s="491" t="s">
        <v>41</v>
      </c>
      <c r="O63" s="491"/>
      <c r="P63" s="492" t="s">
        <v>42</v>
      </c>
      <c r="Q63" s="493"/>
      <c r="R63" s="492" t="s">
        <v>43</v>
      </c>
      <c r="S63" s="494"/>
      <c r="T63" s="494"/>
      <c r="U63" s="494"/>
      <c r="V63" s="494"/>
      <c r="W63" s="494"/>
      <c r="X63" s="494"/>
      <c r="Y63" s="494"/>
      <c r="Z63" s="494"/>
      <c r="AA63" s="493"/>
      <c r="AB63" s="491" t="s">
        <v>44</v>
      </c>
      <c r="AC63" s="491"/>
      <c r="AD63" s="495"/>
      <c r="AF63" s="84">
        <f>SUM(AF60:AF62)</f>
        <v>96000</v>
      </c>
    </row>
    <row r="64" spans="1:32" ht="25.5" customHeight="1">
      <c r="A64" s="496">
        <v>1</v>
      </c>
      <c r="B64" s="497"/>
      <c r="C64" s="104" t="s">
        <v>589</v>
      </c>
      <c r="D64" s="371"/>
      <c r="E64" s="368" t="s">
        <v>590</v>
      </c>
      <c r="F64" s="498" t="s">
        <v>588</v>
      </c>
      <c r="G64" s="499"/>
      <c r="H64" s="499"/>
      <c r="I64" s="499"/>
      <c r="J64" s="500"/>
      <c r="K64" s="501" t="s">
        <v>591</v>
      </c>
      <c r="L64" s="501"/>
      <c r="M64" s="51" t="s">
        <v>592</v>
      </c>
      <c r="N64" s="502" t="s">
        <v>565</v>
      </c>
      <c r="O64" s="502"/>
      <c r="P64" s="503">
        <v>200</v>
      </c>
      <c r="Q64" s="503"/>
      <c r="R64" s="477" t="s">
        <v>593</v>
      </c>
      <c r="S64" s="477"/>
      <c r="T64" s="477"/>
      <c r="U64" s="477"/>
      <c r="V64" s="477"/>
      <c r="W64" s="477"/>
      <c r="X64" s="477"/>
      <c r="Y64" s="477"/>
      <c r="Z64" s="477"/>
      <c r="AA64" s="477"/>
      <c r="AB64" s="501"/>
      <c r="AC64" s="501"/>
      <c r="AD64" s="504"/>
      <c r="AF64" s="50"/>
    </row>
    <row r="65" spans="1:32" ht="25.5" customHeight="1">
      <c r="A65" s="496">
        <v>2</v>
      </c>
      <c r="B65" s="497"/>
      <c r="C65" s="104" t="s">
        <v>589</v>
      </c>
      <c r="D65" s="371"/>
      <c r="E65" s="368" t="s">
        <v>595</v>
      </c>
      <c r="F65" s="498" t="s">
        <v>594</v>
      </c>
      <c r="G65" s="499"/>
      <c r="H65" s="499"/>
      <c r="I65" s="499"/>
      <c r="J65" s="500"/>
      <c r="K65" s="501" t="s">
        <v>596</v>
      </c>
      <c r="L65" s="501"/>
      <c r="M65" s="51" t="s">
        <v>597</v>
      </c>
      <c r="N65" s="502" t="s">
        <v>586</v>
      </c>
      <c r="O65" s="502"/>
      <c r="P65" s="503">
        <v>50</v>
      </c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3</v>
      </c>
      <c r="B66" s="497"/>
      <c r="C66" s="104"/>
      <c r="D66" s="371"/>
      <c r="E66" s="368"/>
      <c r="F66" s="498"/>
      <c r="G66" s="499"/>
      <c r="H66" s="499"/>
      <c r="I66" s="499"/>
      <c r="J66" s="500"/>
      <c r="K66" s="501"/>
      <c r="L66" s="501"/>
      <c r="M66" s="51"/>
      <c r="N66" s="502"/>
      <c r="O66" s="502"/>
      <c r="P66" s="503"/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4</v>
      </c>
      <c r="B67" s="497"/>
      <c r="C67" s="104"/>
      <c r="D67" s="371"/>
      <c r="E67" s="368"/>
      <c r="F67" s="498"/>
      <c r="G67" s="499"/>
      <c r="H67" s="499"/>
      <c r="I67" s="499"/>
      <c r="J67" s="500"/>
      <c r="K67" s="501"/>
      <c r="L67" s="501"/>
      <c r="M67" s="51"/>
      <c r="N67" s="502"/>
      <c r="O67" s="502"/>
      <c r="P67" s="503"/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5</v>
      </c>
      <c r="B68" s="497"/>
      <c r="C68" s="104"/>
      <c r="D68" s="371"/>
      <c r="E68" s="368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6</v>
      </c>
      <c r="B69" s="497"/>
      <c r="C69" s="104"/>
      <c r="D69" s="371"/>
      <c r="E69" s="368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7</v>
      </c>
      <c r="B70" s="497"/>
      <c r="C70" s="104"/>
      <c r="D70" s="371"/>
      <c r="E70" s="368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8</v>
      </c>
      <c r="B71" s="497"/>
      <c r="C71" s="104"/>
      <c r="D71" s="371"/>
      <c r="E71" s="368"/>
      <c r="F71" s="505"/>
      <c r="G71" s="501"/>
      <c r="H71" s="501"/>
      <c r="I71" s="501"/>
      <c r="J71" s="501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9</v>
      </c>
      <c r="B72" s="497"/>
      <c r="C72" s="104"/>
      <c r="D72" s="371"/>
      <c r="E72" s="368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10</v>
      </c>
      <c r="B73" s="497"/>
      <c r="C73" s="104"/>
      <c r="D73" s="371"/>
      <c r="E73" s="368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6.25" customHeight="1" thickBot="1">
      <c r="A74" s="506" t="s">
        <v>598</v>
      </c>
      <c r="B74" s="506"/>
      <c r="C74" s="506"/>
      <c r="D74" s="506"/>
      <c r="E74" s="50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50" t="s">
        <v>111</v>
      </c>
      <c r="B75" s="551"/>
      <c r="C75" s="370" t="s">
        <v>2</v>
      </c>
      <c r="D75" s="370" t="s">
        <v>37</v>
      </c>
      <c r="E75" s="370" t="s">
        <v>125</v>
      </c>
      <c r="F75" s="508" t="s">
        <v>38</v>
      </c>
      <c r="G75" s="508"/>
      <c r="H75" s="508"/>
      <c r="I75" s="508"/>
      <c r="J75" s="508"/>
      <c r="K75" s="509" t="s">
        <v>58</v>
      </c>
      <c r="L75" s="510"/>
      <c r="M75" s="510"/>
      <c r="N75" s="510"/>
      <c r="O75" s="510"/>
      <c r="P75" s="510"/>
      <c r="Q75" s="510"/>
      <c r="R75" s="510"/>
      <c r="S75" s="511"/>
      <c r="T75" s="508" t="s">
        <v>49</v>
      </c>
      <c r="U75" s="508"/>
      <c r="V75" s="509" t="s">
        <v>50</v>
      </c>
      <c r="W75" s="511"/>
      <c r="X75" s="510" t="s">
        <v>51</v>
      </c>
      <c r="Y75" s="510"/>
      <c r="Z75" s="510"/>
      <c r="AA75" s="510"/>
      <c r="AB75" s="510"/>
      <c r="AC75" s="510"/>
      <c r="AD75" s="512"/>
      <c r="AF75" s="50"/>
    </row>
    <row r="76" spans="1:32" ht="33.75" customHeight="1">
      <c r="A76" s="521">
        <v>1</v>
      </c>
      <c r="B76" s="522"/>
      <c r="C76" s="372" t="s">
        <v>112</v>
      </c>
      <c r="D76" s="372"/>
      <c r="E76" s="65" t="s">
        <v>117</v>
      </c>
      <c r="F76" s="523" t="s">
        <v>116</v>
      </c>
      <c r="G76" s="524"/>
      <c r="H76" s="524"/>
      <c r="I76" s="524"/>
      <c r="J76" s="525"/>
      <c r="K76" s="526" t="s">
        <v>119</v>
      </c>
      <c r="L76" s="527"/>
      <c r="M76" s="527"/>
      <c r="N76" s="527"/>
      <c r="O76" s="527"/>
      <c r="P76" s="527"/>
      <c r="Q76" s="527"/>
      <c r="R76" s="527"/>
      <c r="S76" s="528"/>
      <c r="T76" s="529">
        <v>44118</v>
      </c>
      <c r="U76" s="530"/>
      <c r="V76" s="531"/>
      <c r="W76" s="531"/>
      <c r="X76" s="532"/>
      <c r="Y76" s="532"/>
      <c r="Z76" s="532"/>
      <c r="AA76" s="532"/>
      <c r="AB76" s="532"/>
      <c r="AC76" s="532"/>
      <c r="AD76" s="533"/>
      <c r="AF76" s="50"/>
    </row>
    <row r="77" spans="1:32" ht="30" customHeight="1">
      <c r="A77" s="513">
        <f>A76+1</f>
        <v>2</v>
      </c>
      <c r="B77" s="514"/>
      <c r="C77" s="371"/>
      <c r="D77" s="371"/>
      <c r="E77" s="32"/>
      <c r="F77" s="514"/>
      <c r="G77" s="514"/>
      <c r="H77" s="514"/>
      <c r="I77" s="514"/>
      <c r="J77" s="514"/>
      <c r="K77" s="515"/>
      <c r="L77" s="516"/>
      <c r="M77" s="516"/>
      <c r="N77" s="516"/>
      <c r="O77" s="516"/>
      <c r="P77" s="516"/>
      <c r="Q77" s="516"/>
      <c r="R77" s="516"/>
      <c r="S77" s="517"/>
      <c r="T77" s="518"/>
      <c r="U77" s="518"/>
      <c r="V77" s="518"/>
      <c r="W77" s="518"/>
      <c r="X77" s="519"/>
      <c r="Y77" s="519"/>
      <c r="Z77" s="519"/>
      <c r="AA77" s="519"/>
      <c r="AB77" s="519"/>
      <c r="AC77" s="519"/>
      <c r="AD77" s="520"/>
      <c r="AF77" s="50"/>
    </row>
    <row r="78" spans="1:32" ht="30" customHeight="1">
      <c r="A78" s="513">
        <f t="shared" ref="A78:A82" si="11">A77+1</f>
        <v>3</v>
      </c>
      <c r="B78" s="514"/>
      <c r="C78" s="371"/>
      <c r="D78" s="371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si="11"/>
        <v>4</v>
      </c>
      <c r="B79" s="514"/>
      <c r="C79" s="371"/>
      <c r="D79" s="371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1"/>
        <v>5</v>
      </c>
      <c r="B80" s="514"/>
      <c r="C80" s="371"/>
      <c r="D80" s="371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1"/>
        <v>6</v>
      </c>
      <c r="B81" s="514"/>
      <c r="C81" s="371"/>
      <c r="D81" s="371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1"/>
        <v>7</v>
      </c>
      <c r="B82" s="514"/>
      <c r="C82" s="371"/>
      <c r="D82" s="371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6" thickBot="1">
      <c r="A83" s="506" t="s">
        <v>599</v>
      </c>
      <c r="B83" s="506"/>
      <c r="C83" s="506"/>
      <c r="D83" s="506"/>
      <c r="E83" s="50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7" t="s">
        <v>111</v>
      </c>
      <c r="B84" s="508"/>
      <c r="C84" s="534" t="s">
        <v>52</v>
      </c>
      <c r="D84" s="534"/>
      <c r="E84" s="534" t="s">
        <v>53</v>
      </c>
      <c r="F84" s="534"/>
      <c r="G84" s="534"/>
      <c r="H84" s="534"/>
      <c r="I84" s="534"/>
      <c r="J84" s="534"/>
      <c r="K84" s="534" t="s">
        <v>54</v>
      </c>
      <c r="L84" s="534"/>
      <c r="M84" s="534"/>
      <c r="N84" s="534"/>
      <c r="O84" s="534"/>
      <c r="P84" s="534"/>
      <c r="Q84" s="534"/>
      <c r="R84" s="534"/>
      <c r="S84" s="534"/>
      <c r="T84" s="534" t="s">
        <v>55</v>
      </c>
      <c r="U84" s="534"/>
      <c r="V84" s="534" t="s">
        <v>56</v>
      </c>
      <c r="W84" s="534"/>
      <c r="X84" s="534"/>
      <c r="Y84" s="534" t="s">
        <v>51</v>
      </c>
      <c r="Z84" s="534"/>
      <c r="AA84" s="534"/>
      <c r="AB84" s="534"/>
      <c r="AC84" s="534"/>
      <c r="AD84" s="535"/>
      <c r="AF84" s="50"/>
    </row>
    <row r="85" spans="1:32" ht="30.75" customHeight="1">
      <c r="A85" s="521">
        <v>1</v>
      </c>
      <c r="B85" s="522"/>
      <c r="C85" s="536">
        <v>9</v>
      </c>
      <c r="D85" s="536"/>
      <c r="E85" s="536" t="s">
        <v>136</v>
      </c>
      <c r="F85" s="536"/>
      <c r="G85" s="536"/>
      <c r="H85" s="536"/>
      <c r="I85" s="536"/>
      <c r="J85" s="536"/>
      <c r="K85" s="536" t="s">
        <v>161</v>
      </c>
      <c r="L85" s="536"/>
      <c r="M85" s="536"/>
      <c r="N85" s="536"/>
      <c r="O85" s="536"/>
      <c r="P85" s="536"/>
      <c r="Q85" s="536"/>
      <c r="R85" s="536"/>
      <c r="S85" s="536"/>
      <c r="T85" s="536" t="s">
        <v>137</v>
      </c>
      <c r="U85" s="536"/>
      <c r="V85" s="537" t="s">
        <v>152</v>
      </c>
      <c r="W85" s="537"/>
      <c r="X85" s="537"/>
      <c r="Y85" s="538"/>
      <c r="Z85" s="538"/>
      <c r="AA85" s="538"/>
      <c r="AB85" s="538"/>
      <c r="AC85" s="538"/>
      <c r="AD85" s="539"/>
      <c r="AF85" s="50"/>
    </row>
    <row r="86" spans="1:32" ht="30.75" customHeight="1">
      <c r="A86" s="513">
        <v>2</v>
      </c>
      <c r="B86" s="514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  <c r="P86" s="547"/>
      <c r="Q86" s="547"/>
      <c r="R86" s="547"/>
      <c r="S86" s="547"/>
      <c r="T86" s="548"/>
      <c r="U86" s="548"/>
      <c r="V86" s="549"/>
      <c r="W86" s="549"/>
      <c r="X86" s="549"/>
      <c r="Y86" s="540"/>
      <c r="Z86" s="540"/>
      <c r="AA86" s="540"/>
      <c r="AB86" s="540"/>
      <c r="AC86" s="540"/>
      <c r="AD86" s="541"/>
      <c r="AF86" s="50"/>
    </row>
    <row r="87" spans="1:32" ht="30.75" customHeight="1" thickBot="1">
      <c r="A87" s="542">
        <v>3</v>
      </c>
      <c r="B87" s="543"/>
      <c r="C87" s="544"/>
      <c r="D87" s="544"/>
      <c r="E87" s="544"/>
      <c r="F87" s="544"/>
      <c r="G87" s="544"/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5"/>
      <c r="Z87" s="545"/>
      <c r="AA87" s="545"/>
      <c r="AB87" s="545"/>
      <c r="AC87" s="545"/>
      <c r="AD87" s="546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A677-C777-431E-A08B-F70EFE8D4CE4}">
  <dimension ref="A1:AF89"/>
  <sheetViews>
    <sheetView view="pageBreakPreview" zoomScale="70" zoomScaleNormal="72" zoomScaleSheetLayoutView="70" workbookViewId="0">
      <selection activeCell="L16" sqref="L1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600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385" t="s">
        <v>17</v>
      </c>
      <c r="L5" s="385" t="s">
        <v>18</v>
      </c>
      <c r="M5" s="385" t="s">
        <v>19</v>
      </c>
      <c r="N5" s="38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208</v>
      </c>
      <c r="E6" s="53" t="s">
        <v>246</v>
      </c>
      <c r="F6" s="30" t="s">
        <v>247</v>
      </c>
      <c r="G6" s="12">
        <v>1</v>
      </c>
      <c r="H6" s="13">
        <v>24</v>
      </c>
      <c r="I6" s="31">
        <v>6000</v>
      </c>
      <c r="J6" s="14">
        <v>5333</v>
      </c>
      <c r="K6" s="15">
        <f>L6</f>
        <v>5333</v>
      </c>
      <c r="L6" s="15">
        <f>3018+2315</f>
        <v>5333</v>
      </c>
      <c r="M6" s="15">
        <f t="shared" ref="M6:M23" si="0">L6-N6</f>
        <v>5333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24</v>
      </c>
      <c r="Q6" s="40">
        <f t="shared" ref="Q6:Q23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1</v>
      </c>
      <c r="AD6" s="10">
        <f t="shared" ref="AD6:AD23" si="6">AC6*AB6*(1-O6)</f>
        <v>1</v>
      </c>
      <c r="AE6" s="36">
        <f t="shared" ref="AE6:AE23" si="7">$AD$24</f>
        <v>0.53935185185185175</v>
      </c>
      <c r="AF6" s="84">
        <f t="shared" ref="AF6:AF23" si="8">A6</f>
        <v>1</v>
      </c>
    </row>
    <row r="7" spans="1:32" ht="27" customHeight="1">
      <c r="A7" s="112">
        <v>2</v>
      </c>
      <c r="B7" s="11" t="s">
        <v>57</v>
      </c>
      <c r="C7" s="34" t="s">
        <v>210</v>
      </c>
      <c r="D7" s="52" t="s">
        <v>158</v>
      </c>
      <c r="E7" s="53" t="s">
        <v>455</v>
      </c>
      <c r="F7" s="30" t="s">
        <v>358</v>
      </c>
      <c r="G7" s="12">
        <v>1</v>
      </c>
      <c r="H7" s="13">
        <v>24</v>
      </c>
      <c r="I7" s="31">
        <v>1500</v>
      </c>
      <c r="J7" s="14">
        <v>3633</v>
      </c>
      <c r="K7" s="15">
        <f>L7</f>
        <v>3633</v>
      </c>
      <c r="L7" s="15">
        <f>2983+650</f>
        <v>3633</v>
      </c>
      <c r="M7" s="15">
        <f t="shared" si="0"/>
        <v>3633</v>
      </c>
      <c r="N7" s="15">
        <v>0</v>
      </c>
      <c r="O7" s="58">
        <f t="shared" si="1"/>
        <v>0</v>
      </c>
      <c r="P7" s="39">
        <f t="shared" si="2"/>
        <v>16</v>
      </c>
      <c r="Q7" s="40">
        <f t="shared" si="3"/>
        <v>8</v>
      </c>
      <c r="R7" s="7"/>
      <c r="S7" s="6">
        <v>8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0.66666666666666663</v>
      </c>
      <c r="AD7" s="10">
        <f t="shared" si="6"/>
        <v>0.66666666666666663</v>
      </c>
      <c r="AE7" s="36">
        <f t="shared" si="7"/>
        <v>0.53935185185185175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120</v>
      </c>
      <c r="D8" s="52"/>
      <c r="E8" s="53" t="s">
        <v>558</v>
      </c>
      <c r="F8" s="30" t="s">
        <v>262</v>
      </c>
      <c r="G8" s="12">
        <v>2</v>
      </c>
      <c r="H8" s="13">
        <v>24</v>
      </c>
      <c r="I8" s="7">
        <v>10000</v>
      </c>
      <c r="J8" s="5">
        <v>4058</v>
      </c>
      <c r="K8" s="15">
        <f>L8+12018</f>
        <v>16076</v>
      </c>
      <c r="L8" s="15">
        <f>2029*2</f>
        <v>4058</v>
      </c>
      <c r="M8" s="15">
        <f t="shared" si="0"/>
        <v>4058</v>
      </c>
      <c r="N8" s="15">
        <v>0</v>
      </c>
      <c r="O8" s="58">
        <f t="shared" si="1"/>
        <v>0</v>
      </c>
      <c r="P8" s="39">
        <f t="shared" si="2"/>
        <v>7</v>
      </c>
      <c r="Q8" s="40">
        <f t="shared" si="3"/>
        <v>17</v>
      </c>
      <c r="R8" s="7"/>
      <c r="S8" s="6"/>
      <c r="T8" s="16"/>
      <c r="U8" s="16"/>
      <c r="V8" s="17"/>
      <c r="W8" s="5">
        <v>17</v>
      </c>
      <c r="X8" s="16"/>
      <c r="Y8" s="16"/>
      <c r="Z8" s="16"/>
      <c r="AA8" s="18"/>
      <c r="AB8" s="8">
        <f t="shared" si="4"/>
        <v>1</v>
      </c>
      <c r="AC8" s="9">
        <f t="shared" si="5"/>
        <v>0.29166666666666669</v>
      </c>
      <c r="AD8" s="10">
        <f t="shared" si="6"/>
        <v>0.29166666666666669</v>
      </c>
      <c r="AE8" s="36">
        <f t="shared" si="7"/>
        <v>0.53935185185185175</v>
      </c>
      <c r="AF8" s="84">
        <f t="shared" si="8"/>
        <v>3</v>
      </c>
    </row>
    <row r="9" spans="1:32" ht="27" customHeight="1">
      <c r="A9" s="96">
        <v>3</v>
      </c>
      <c r="B9" s="11" t="s">
        <v>57</v>
      </c>
      <c r="C9" s="34" t="s">
        <v>112</v>
      </c>
      <c r="D9" s="52" t="s">
        <v>131</v>
      </c>
      <c r="E9" s="53" t="s">
        <v>601</v>
      </c>
      <c r="F9" s="30" t="s">
        <v>144</v>
      </c>
      <c r="G9" s="12">
        <v>3</v>
      </c>
      <c r="H9" s="13">
        <v>24</v>
      </c>
      <c r="I9" s="7">
        <v>4000</v>
      </c>
      <c r="J9" s="5">
        <v>4410</v>
      </c>
      <c r="K9" s="15">
        <f>L9</f>
        <v>4410</v>
      </c>
      <c r="L9" s="15">
        <f>1470*3</f>
        <v>4410</v>
      </c>
      <c r="M9" s="15">
        <f t="shared" ref="M9" si="9">L9-N9</f>
        <v>4410</v>
      </c>
      <c r="N9" s="15">
        <v>0</v>
      </c>
      <c r="O9" s="58">
        <f t="shared" ref="O9" si="10">IF(L9=0,"0",N9/L9)</f>
        <v>0</v>
      </c>
      <c r="P9" s="39">
        <f t="shared" ref="P9" si="11">IF(L9=0,"0",(24-Q9))</f>
        <v>9</v>
      </c>
      <c r="Q9" s="40">
        <f t="shared" ref="Q9" si="12">SUM(R9:AA9)</f>
        <v>15</v>
      </c>
      <c r="R9" s="7"/>
      <c r="S9" s="6"/>
      <c r="T9" s="16">
        <v>9</v>
      </c>
      <c r="U9" s="16"/>
      <c r="V9" s="17"/>
      <c r="W9" s="5">
        <v>6</v>
      </c>
      <c r="X9" s="16"/>
      <c r="Y9" s="16"/>
      <c r="Z9" s="16"/>
      <c r="AA9" s="18"/>
      <c r="AB9" s="8">
        <f t="shared" ref="AB9" si="13">IF(J9=0,"0",(L9/J9))</f>
        <v>1</v>
      </c>
      <c r="AC9" s="9">
        <f t="shared" ref="AC9" si="14">IF(P9=0,"0",(P9/24))</f>
        <v>0.375</v>
      </c>
      <c r="AD9" s="10">
        <f t="shared" ref="AD9" si="15">AC9*AB9*(1-O9)</f>
        <v>0.375</v>
      </c>
      <c r="AE9" s="36">
        <f t="shared" si="7"/>
        <v>0.53935185185185175</v>
      </c>
      <c r="AF9" s="84">
        <f t="shared" ref="AF9" si="16">A9</f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280</v>
      </c>
      <c r="E10" s="53" t="s">
        <v>498</v>
      </c>
      <c r="F10" s="30" t="s">
        <v>404</v>
      </c>
      <c r="G10" s="12">
        <v>1</v>
      </c>
      <c r="H10" s="13">
        <v>24</v>
      </c>
      <c r="I10" s="7">
        <v>30000</v>
      </c>
      <c r="J10" s="14">
        <v>5011</v>
      </c>
      <c r="K10" s="15">
        <f>L10+3787+4146+4858</f>
        <v>17802</v>
      </c>
      <c r="L10" s="15">
        <f>2537+2474</f>
        <v>5011</v>
      </c>
      <c r="M10" s="15">
        <f t="shared" si="0"/>
        <v>5011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0.53935185185185175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118</v>
      </c>
      <c r="D11" s="52" t="s">
        <v>131</v>
      </c>
      <c r="E11" s="53" t="s">
        <v>490</v>
      </c>
      <c r="F11" s="30" t="s">
        <v>144</v>
      </c>
      <c r="G11" s="33">
        <v>2</v>
      </c>
      <c r="H11" s="35">
        <v>24</v>
      </c>
      <c r="I11" s="7">
        <v>32000</v>
      </c>
      <c r="J11" s="14">
        <v>11896</v>
      </c>
      <c r="K11" s="15">
        <f>L11+5096+11900+12006+11802</f>
        <v>52700</v>
      </c>
      <c r="L11" s="15">
        <f>2962*2+2986*2</f>
        <v>11896</v>
      </c>
      <c r="M11" s="15">
        <f t="shared" si="0"/>
        <v>11896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0.53935185185185175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210</v>
      </c>
      <c r="D12" s="52" t="s">
        <v>448</v>
      </c>
      <c r="E12" s="53" t="s">
        <v>447</v>
      </c>
      <c r="F12" s="30" t="s">
        <v>213</v>
      </c>
      <c r="G12" s="33">
        <v>1</v>
      </c>
      <c r="H12" s="35">
        <v>24</v>
      </c>
      <c r="I12" s="7">
        <v>7000</v>
      </c>
      <c r="J12" s="14">
        <v>4619</v>
      </c>
      <c r="K12" s="15">
        <f>L12+1004+974</f>
        <v>6597</v>
      </c>
      <c r="L12" s="15">
        <f>1612+3007</f>
        <v>4619</v>
      </c>
      <c r="M12" s="15">
        <f t="shared" si="0"/>
        <v>4619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6">
        <f t="shared" si="7"/>
        <v>0.53935185185185175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394</v>
      </c>
      <c r="F13" s="30" t="s">
        <v>128</v>
      </c>
      <c r="G13" s="12">
        <v>1</v>
      </c>
      <c r="H13" s="13">
        <v>22</v>
      </c>
      <c r="I13" s="31">
        <v>10000</v>
      </c>
      <c r="J13" s="5">
        <v>2804</v>
      </c>
      <c r="K13" s="15">
        <f>L13+1899+2447+3467</f>
        <v>10617</v>
      </c>
      <c r="L13" s="15">
        <f>2490+314</f>
        <v>2804</v>
      </c>
      <c r="M13" s="15">
        <f t="shared" si="0"/>
        <v>2804</v>
      </c>
      <c r="N13" s="15">
        <v>0</v>
      </c>
      <c r="O13" s="58">
        <f t="shared" si="1"/>
        <v>0</v>
      </c>
      <c r="P13" s="39">
        <f t="shared" si="2"/>
        <v>14</v>
      </c>
      <c r="Q13" s="40">
        <f t="shared" si="3"/>
        <v>10</v>
      </c>
      <c r="R13" s="7"/>
      <c r="S13" s="6">
        <v>10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0.58333333333333337</v>
      </c>
      <c r="AD13" s="10">
        <f t="shared" si="6"/>
        <v>0.58333333333333337</v>
      </c>
      <c r="AE13" s="36">
        <f t="shared" si="7"/>
        <v>0.53935185185185175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131</v>
      </c>
      <c r="E14" s="53" t="s">
        <v>154</v>
      </c>
      <c r="F14" s="30" t="s">
        <v>144</v>
      </c>
      <c r="G14" s="33">
        <v>2</v>
      </c>
      <c r="H14" s="35">
        <v>24</v>
      </c>
      <c r="I14" s="7">
        <v>28000</v>
      </c>
      <c r="J14" s="14">
        <v>2474</v>
      </c>
      <c r="K14" s="15">
        <f>L14</f>
        <v>2474</v>
      </c>
      <c r="L14" s="15">
        <f>1237*2</f>
        <v>2474</v>
      </c>
      <c r="M14" s="15">
        <f t="shared" si="0"/>
        <v>2474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>
        <v>18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6"/>
        <v>0.25</v>
      </c>
      <c r="AE14" s="36">
        <f t="shared" si="7"/>
        <v>0.53935185185185175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491</v>
      </c>
      <c r="F15" s="30" t="s">
        <v>286</v>
      </c>
      <c r="G15" s="33">
        <v>1</v>
      </c>
      <c r="H15" s="35">
        <v>50</v>
      </c>
      <c r="I15" s="7">
        <v>2500</v>
      </c>
      <c r="J15" s="5">
        <v>1050</v>
      </c>
      <c r="K15" s="15">
        <f>L15+893+982+1050</f>
        <v>2925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0.53935185185185175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118</v>
      </c>
      <c r="D16" s="52" t="s">
        <v>129</v>
      </c>
      <c r="E16" s="53" t="s">
        <v>200</v>
      </c>
      <c r="F16" s="30" t="s">
        <v>157</v>
      </c>
      <c r="G16" s="12">
        <v>4</v>
      </c>
      <c r="H16" s="13">
        <v>24</v>
      </c>
      <c r="I16" s="31">
        <v>12000</v>
      </c>
      <c r="J16" s="14">
        <v>12356</v>
      </c>
      <c r="K16" s="15">
        <f>L16+12356</f>
        <v>12356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0.53935185185185175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120</v>
      </c>
      <c r="D17" s="52"/>
      <c r="E17" s="53" t="s">
        <v>261</v>
      </c>
      <c r="F17" s="30" t="s">
        <v>262</v>
      </c>
      <c r="G17" s="12">
        <v>1</v>
      </c>
      <c r="H17" s="13">
        <v>24</v>
      </c>
      <c r="I17" s="7">
        <v>10000</v>
      </c>
      <c r="J17" s="14">
        <v>1863</v>
      </c>
      <c r="K17" s="15">
        <f>L17+1864+5845+5889</f>
        <v>15461</v>
      </c>
      <c r="L17" s="15">
        <v>1863</v>
      </c>
      <c r="M17" s="15">
        <f t="shared" si="0"/>
        <v>1863</v>
      </c>
      <c r="N17" s="15">
        <v>0</v>
      </c>
      <c r="O17" s="58">
        <f t="shared" si="1"/>
        <v>0</v>
      </c>
      <c r="P17" s="39">
        <f t="shared" si="2"/>
        <v>6</v>
      </c>
      <c r="Q17" s="40">
        <f t="shared" si="3"/>
        <v>18</v>
      </c>
      <c r="R17" s="7"/>
      <c r="S17" s="6"/>
      <c r="T17" s="16"/>
      <c r="U17" s="16"/>
      <c r="V17" s="17"/>
      <c r="W17" s="5">
        <v>18</v>
      </c>
      <c r="X17" s="16"/>
      <c r="Y17" s="16"/>
      <c r="Z17" s="16"/>
      <c r="AA17" s="18"/>
      <c r="AB17" s="8">
        <f t="shared" si="4"/>
        <v>1</v>
      </c>
      <c r="AC17" s="9">
        <f t="shared" si="5"/>
        <v>0.25</v>
      </c>
      <c r="AD17" s="10">
        <f t="shared" si="6"/>
        <v>0.25</v>
      </c>
      <c r="AE17" s="36">
        <f t="shared" si="7"/>
        <v>0.53935185185185175</v>
      </c>
      <c r="AF17" s="84">
        <f t="shared" si="8"/>
        <v>11</v>
      </c>
    </row>
    <row r="18" spans="1:32" ht="30" customHeight="1">
      <c r="A18" s="112">
        <v>11</v>
      </c>
      <c r="B18" s="11" t="s">
        <v>57</v>
      </c>
      <c r="C18" s="34" t="s">
        <v>112</v>
      </c>
      <c r="D18" s="52" t="s">
        <v>208</v>
      </c>
      <c r="E18" s="53" t="s">
        <v>602</v>
      </c>
      <c r="F18" s="30" t="s">
        <v>156</v>
      </c>
      <c r="G18" s="12">
        <v>1</v>
      </c>
      <c r="H18" s="13">
        <v>24</v>
      </c>
      <c r="I18" s="7">
        <v>4000</v>
      </c>
      <c r="J18" s="14">
        <v>4524</v>
      </c>
      <c r="K18" s="15">
        <f>L18</f>
        <v>4524</v>
      </c>
      <c r="L18" s="15">
        <f>1131*4</f>
        <v>4524</v>
      </c>
      <c r="M18" s="15">
        <f t="shared" ref="M18" si="17">L18-N18</f>
        <v>4524</v>
      </c>
      <c r="N18" s="15">
        <v>0</v>
      </c>
      <c r="O18" s="58">
        <f t="shared" ref="O18" si="18">IF(L18=0,"0",N18/L18)</f>
        <v>0</v>
      </c>
      <c r="P18" s="39">
        <f t="shared" ref="P18" si="19">IF(L18=0,"0",(24-Q18))</f>
        <v>7</v>
      </c>
      <c r="Q18" s="40">
        <f t="shared" ref="Q18" si="20">SUM(R18:AA18)</f>
        <v>17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17</v>
      </c>
      <c r="AB18" s="8">
        <f t="shared" ref="AB18" si="21">IF(J18=0,"0",(L18/J18))</f>
        <v>1</v>
      </c>
      <c r="AC18" s="9">
        <f t="shared" ref="AC18" si="22">IF(P18=0,"0",(P18/24))</f>
        <v>0.29166666666666669</v>
      </c>
      <c r="AD18" s="10">
        <f t="shared" ref="AD18" si="23">AC18*AB18*(1-O18)</f>
        <v>0.29166666666666669</v>
      </c>
      <c r="AE18" s="36">
        <f t="shared" si="7"/>
        <v>0.53935185185185175</v>
      </c>
      <c r="AF18" s="84">
        <f t="shared" ref="AF18" si="24">A18</f>
        <v>11</v>
      </c>
    </row>
    <row r="19" spans="1:32" ht="30" customHeight="1">
      <c r="A19" s="95">
        <v>12</v>
      </c>
      <c r="B19" s="11" t="s">
        <v>57</v>
      </c>
      <c r="C19" s="34" t="s">
        <v>210</v>
      </c>
      <c r="D19" s="52" t="s">
        <v>280</v>
      </c>
      <c r="E19" s="53" t="s">
        <v>502</v>
      </c>
      <c r="F19" s="30" t="s">
        <v>358</v>
      </c>
      <c r="G19" s="12">
        <v>3</v>
      </c>
      <c r="H19" s="13">
        <v>24</v>
      </c>
      <c r="I19" s="7">
        <v>260000</v>
      </c>
      <c r="J19" s="14">
        <v>16941</v>
      </c>
      <c r="K19" s="15">
        <f>L19+16128+16857</f>
        <v>49926</v>
      </c>
      <c r="L19" s="15">
        <f>2862*3+2785*3</f>
        <v>16941</v>
      </c>
      <c r="M19" s="15">
        <f t="shared" si="0"/>
        <v>16941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0.53935185185185175</v>
      </c>
      <c r="AF19" s="84">
        <f t="shared" si="8"/>
        <v>12</v>
      </c>
    </row>
    <row r="20" spans="1:32" ht="27" customHeight="1">
      <c r="A20" s="96">
        <v>13</v>
      </c>
      <c r="B20" s="11" t="s">
        <v>57</v>
      </c>
      <c r="C20" s="11" t="s">
        <v>210</v>
      </c>
      <c r="D20" s="52" t="s">
        <v>131</v>
      </c>
      <c r="E20" s="53" t="s">
        <v>375</v>
      </c>
      <c r="F20" s="30" t="s">
        <v>213</v>
      </c>
      <c r="G20" s="33">
        <v>2</v>
      </c>
      <c r="H20" s="35">
        <v>24</v>
      </c>
      <c r="I20" s="7">
        <v>4000</v>
      </c>
      <c r="J20" s="14">
        <v>4304</v>
      </c>
      <c r="K20" s="15">
        <f>L20</f>
        <v>4304</v>
      </c>
      <c r="L20" s="15">
        <f>2254+1025*2</f>
        <v>4304</v>
      </c>
      <c r="M20" s="15">
        <f t="shared" si="0"/>
        <v>4304</v>
      </c>
      <c r="N20" s="15">
        <v>0</v>
      </c>
      <c r="O20" s="58">
        <f t="shared" si="1"/>
        <v>0</v>
      </c>
      <c r="P20" s="39">
        <f t="shared" si="2"/>
        <v>14</v>
      </c>
      <c r="Q20" s="40">
        <f t="shared" si="3"/>
        <v>10</v>
      </c>
      <c r="R20" s="7"/>
      <c r="S20" s="6">
        <v>10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0.58333333333333337</v>
      </c>
      <c r="AD20" s="10">
        <f t="shared" si="6"/>
        <v>0.58333333333333337</v>
      </c>
      <c r="AE20" s="36">
        <f t="shared" si="7"/>
        <v>0.53935185185185175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11" t="s">
        <v>112</v>
      </c>
      <c r="D21" s="52" t="s">
        <v>208</v>
      </c>
      <c r="E21" s="53" t="s">
        <v>512</v>
      </c>
      <c r="F21" s="30" t="s">
        <v>156</v>
      </c>
      <c r="G21" s="33">
        <v>1</v>
      </c>
      <c r="H21" s="35">
        <v>24</v>
      </c>
      <c r="I21" s="7">
        <v>39000</v>
      </c>
      <c r="J21" s="14">
        <v>2851</v>
      </c>
      <c r="K21" s="15">
        <f>L21+2260+4771+194</f>
        <v>10076</v>
      </c>
      <c r="L21" s="15">
        <f>1536+1315</f>
        <v>2851</v>
      </c>
      <c r="M21" s="15">
        <f t="shared" si="0"/>
        <v>2851</v>
      </c>
      <c r="N21" s="15">
        <v>0</v>
      </c>
      <c r="O21" s="58">
        <f t="shared" si="1"/>
        <v>0</v>
      </c>
      <c r="P21" s="39">
        <f t="shared" si="2"/>
        <v>16</v>
      </c>
      <c r="Q21" s="40">
        <f t="shared" si="3"/>
        <v>8</v>
      </c>
      <c r="R21" s="7"/>
      <c r="S21" s="6">
        <v>8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0.66666666666666663</v>
      </c>
      <c r="AD21" s="10">
        <f t="shared" si="6"/>
        <v>0.66666666666666663</v>
      </c>
      <c r="AE21" s="36">
        <f t="shared" si="7"/>
        <v>0.53935185185185175</v>
      </c>
      <c r="AF21" s="84">
        <f t="shared" si="8"/>
        <v>14</v>
      </c>
    </row>
    <row r="22" spans="1:32" ht="30" customHeight="1">
      <c r="A22" s="112">
        <v>15</v>
      </c>
      <c r="B22" s="11" t="s">
        <v>57</v>
      </c>
      <c r="C22" s="34" t="s">
        <v>118</v>
      </c>
      <c r="D22" s="52" t="s">
        <v>115</v>
      </c>
      <c r="E22" s="53" t="s">
        <v>537</v>
      </c>
      <c r="F22" s="30" t="s">
        <v>311</v>
      </c>
      <c r="G22" s="12">
        <v>1</v>
      </c>
      <c r="H22" s="13">
        <v>24</v>
      </c>
      <c r="I22" s="7">
        <v>30000</v>
      </c>
      <c r="J22" s="14">
        <v>4288</v>
      </c>
      <c r="K22" s="15">
        <f>L22+3822+5159</f>
        <v>13269</v>
      </c>
      <c r="L22" s="15">
        <f>2199+2089</f>
        <v>4288</v>
      </c>
      <c r="M22" s="15">
        <f t="shared" si="0"/>
        <v>4288</v>
      </c>
      <c r="N22" s="15">
        <v>0</v>
      </c>
      <c r="O22" s="58">
        <f t="shared" si="1"/>
        <v>0</v>
      </c>
      <c r="P22" s="39">
        <f t="shared" si="2"/>
        <v>21</v>
      </c>
      <c r="Q22" s="40">
        <f t="shared" si="3"/>
        <v>3</v>
      </c>
      <c r="R22" s="7"/>
      <c r="S22" s="6">
        <v>3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0.875</v>
      </c>
      <c r="AD22" s="10">
        <f t="shared" si="6"/>
        <v>0.875</v>
      </c>
      <c r="AE22" s="36">
        <f t="shared" si="7"/>
        <v>0.53935185185185175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175</v>
      </c>
      <c r="F23" s="12" t="s">
        <v>114</v>
      </c>
      <c r="G23" s="12">
        <v>3</v>
      </c>
      <c r="H23" s="35">
        <v>20</v>
      </c>
      <c r="I23" s="7">
        <v>1000000</v>
      </c>
      <c r="J23" s="14">
        <v>34220</v>
      </c>
      <c r="K23" s="15">
        <f>L23+62008+65280+66156+31132+60100+67104+64940+66996+38324+18548+31820+33244+32052+33372+27132+34220</f>
        <v>732428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0.53935185185185175</v>
      </c>
      <c r="AF23" s="84">
        <f t="shared" si="8"/>
        <v>16</v>
      </c>
    </row>
    <row r="24" spans="1:32" ht="31.5" customHeight="1" thickBot="1">
      <c r="A24" s="443" t="s">
        <v>34</v>
      </c>
      <c r="B24" s="444"/>
      <c r="C24" s="444"/>
      <c r="D24" s="444"/>
      <c r="E24" s="444"/>
      <c r="F24" s="444"/>
      <c r="G24" s="444"/>
      <c r="H24" s="445"/>
      <c r="I24" s="22">
        <f t="shared" ref="I24:N24" si="25">SUM(I6:I23)</f>
        <v>1490000</v>
      </c>
      <c r="J24" s="19">
        <f t="shared" si="25"/>
        <v>126635</v>
      </c>
      <c r="K24" s="20">
        <f t="shared" si="25"/>
        <v>964911</v>
      </c>
      <c r="L24" s="21">
        <f t="shared" si="25"/>
        <v>79009</v>
      </c>
      <c r="M24" s="20">
        <f t="shared" si="25"/>
        <v>79009</v>
      </c>
      <c r="N24" s="21">
        <f t="shared" si="25"/>
        <v>0</v>
      </c>
      <c r="O24" s="41">
        <f t="shared" si="1"/>
        <v>0</v>
      </c>
      <c r="P24" s="42">
        <f t="shared" ref="P24:AA24" si="26">SUM(P6:P23)</f>
        <v>233</v>
      </c>
      <c r="Q24" s="43">
        <f t="shared" si="26"/>
        <v>199</v>
      </c>
      <c r="R24" s="23">
        <f t="shared" si="26"/>
        <v>0</v>
      </c>
      <c r="S24" s="24">
        <f t="shared" si="26"/>
        <v>60</v>
      </c>
      <c r="T24" s="24">
        <f t="shared" si="26"/>
        <v>9</v>
      </c>
      <c r="U24" s="24">
        <f t="shared" si="26"/>
        <v>0</v>
      </c>
      <c r="V24" s="25">
        <f t="shared" si="26"/>
        <v>48</v>
      </c>
      <c r="W24" s="26">
        <f t="shared" si="26"/>
        <v>65</v>
      </c>
      <c r="X24" s="27">
        <f t="shared" si="26"/>
        <v>0</v>
      </c>
      <c r="Y24" s="27">
        <f t="shared" si="26"/>
        <v>0</v>
      </c>
      <c r="Z24" s="27">
        <f t="shared" si="26"/>
        <v>0</v>
      </c>
      <c r="AA24" s="27">
        <f t="shared" si="26"/>
        <v>17</v>
      </c>
      <c r="AB24" s="28">
        <f>AVERAGE(AB6:AB23)</f>
        <v>0.83333333333333337</v>
      </c>
      <c r="AC24" s="4">
        <f>AVERAGE(AC6:AC23)</f>
        <v>0.53935185185185175</v>
      </c>
      <c r="AD24" s="4">
        <f>AVERAGE(AD6:AD23)</f>
        <v>0.53935185185185175</v>
      </c>
      <c r="AE24" s="29"/>
    </row>
    <row r="25" spans="1:32">
      <c r="T25" s="50" t="s">
        <v>500</v>
      </c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 t="s">
        <v>511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46" t="s">
        <v>45</v>
      </c>
      <c r="B51" s="446"/>
      <c r="C51" s="446"/>
      <c r="D51" s="446"/>
      <c r="E51" s="446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47" t="s">
        <v>603</v>
      </c>
      <c r="B52" s="448"/>
      <c r="C52" s="448"/>
      <c r="D52" s="448"/>
      <c r="E52" s="448"/>
      <c r="F52" s="448"/>
      <c r="G52" s="448"/>
      <c r="H52" s="448"/>
      <c r="I52" s="448"/>
      <c r="J52" s="448"/>
      <c r="K52" s="448"/>
      <c r="L52" s="448"/>
      <c r="M52" s="449"/>
      <c r="N52" s="450" t="s">
        <v>609</v>
      </c>
      <c r="O52" s="451"/>
      <c r="P52" s="451"/>
      <c r="Q52" s="451"/>
      <c r="R52" s="451"/>
      <c r="S52" s="451"/>
      <c r="T52" s="451"/>
      <c r="U52" s="451"/>
      <c r="V52" s="451"/>
      <c r="W52" s="451"/>
      <c r="X52" s="451"/>
      <c r="Y52" s="451"/>
      <c r="Z52" s="451"/>
      <c r="AA52" s="451"/>
      <c r="AB52" s="451"/>
      <c r="AC52" s="451"/>
      <c r="AD52" s="452"/>
    </row>
    <row r="53" spans="1:32" ht="27" customHeight="1">
      <c r="A53" s="453" t="s">
        <v>2</v>
      </c>
      <c r="B53" s="454"/>
      <c r="C53" s="384" t="s">
        <v>46</v>
      </c>
      <c r="D53" s="384" t="s">
        <v>47</v>
      </c>
      <c r="E53" s="384" t="s">
        <v>107</v>
      </c>
      <c r="F53" s="455" t="s">
        <v>106</v>
      </c>
      <c r="G53" s="456"/>
      <c r="H53" s="456"/>
      <c r="I53" s="456"/>
      <c r="J53" s="456"/>
      <c r="K53" s="456"/>
      <c r="L53" s="456"/>
      <c r="M53" s="457"/>
      <c r="N53" s="67" t="s">
        <v>110</v>
      </c>
      <c r="O53" s="384" t="s">
        <v>46</v>
      </c>
      <c r="P53" s="455" t="s">
        <v>47</v>
      </c>
      <c r="Q53" s="458"/>
      <c r="R53" s="455" t="s">
        <v>38</v>
      </c>
      <c r="S53" s="456"/>
      <c r="T53" s="456"/>
      <c r="U53" s="458"/>
      <c r="V53" s="455" t="s">
        <v>48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69" t="s">
        <v>579</v>
      </c>
      <c r="B54" s="470"/>
      <c r="C54" s="380" t="s">
        <v>147</v>
      </c>
      <c r="D54" s="380" t="s">
        <v>581</v>
      </c>
      <c r="E54" s="380" t="s">
        <v>246</v>
      </c>
      <c r="F54" s="471" t="s">
        <v>132</v>
      </c>
      <c r="G54" s="472"/>
      <c r="H54" s="472"/>
      <c r="I54" s="472"/>
      <c r="J54" s="472"/>
      <c r="K54" s="472"/>
      <c r="L54" s="472"/>
      <c r="M54" s="473"/>
      <c r="N54" s="383" t="s">
        <v>112</v>
      </c>
      <c r="O54" s="377" t="s">
        <v>133</v>
      </c>
      <c r="P54" s="474" t="s">
        <v>269</v>
      </c>
      <c r="Q54" s="475"/>
      <c r="R54" s="474" t="s">
        <v>610</v>
      </c>
      <c r="S54" s="476"/>
      <c r="T54" s="476"/>
      <c r="U54" s="475"/>
      <c r="V54" s="477" t="s">
        <v>132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87" t="s">
        <v>210</v>
      </c>
      <c r="B55" s="488"/>
      <c r="C55" s="379" t="s">
        <v>565</v>
      </c>
      <c r="D55" s="379" t="s">
        <v>158</v>
      </c>
      <c r="E55" s="380" t="s">
        <v>455</v>
      </c>
      <c r="F55" s="471" t="s">
        <v>428</v>
      </c>
      <c r="G55" s="472"/>
      <c r="H55" s="472"/>
      <c r="I55" s="472"/>
      <c r="J55" s="472"/>
      <c r="K55" s="472"/>
      <c r="L55" s="472"/>
      <c r="M55" s="473"/>
      <c r="N55" s="383" t="s">
        <v>112</v>
      </c>
      <c r="O55" s="377" t="s">
        <v>139</v>
      </c>
      <c r="P55" s="474" t="s">
        <v>115</v>
      </c>
      <c r="Q55" s="475"/>
      <c r="R55" s="474" t="s">
        <v>611</v>
      </c>
      <c r="S55" s="476"/>
      <c r="T55" s="476"/>
      <c r="U55" s="475"/>
      <c r="V55" s="477" t="s">
        <v>132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69" t="s">
        <v>118</v>
      </c>
      <c r="B56" s="470"/>
      <c r="C56" s="380" t="s">
        <v>386</v>
      </c>
      <c r="D56" s="380" t="s">
        <v>115</v>
      </c>
      <c r="E56" s="380" t="s">
        <v>394</v>
      </c>
      <c r="F56" s="471" t="s">
        <v>382</v>
      </c>
      <c r="G56" s="472"/>
      <c r="H56" s="472"/>
      <c r="I56" s="472"/>
      <c r="J56" s="472"/>
      <c r="K56" s="472"/>
      <c r="L56" s="472"/>
      <c r="M56" s="473"/>
      <c r="N56" s="383" t="s">
        <v>112</v>
      </c>
      <c r="O56" s="377" t="s">
        <v>198</v>
      </c>
      <c r="P56" s="474" t="s">
        <v>184</v>
      </c>
      <c r="Q56" s="475"/>
      <c r="R56" s="474" t="s">
        <v>154</v>
      </c>
      <c r="S56" s="476"/>
      <c r="T56" s="476"/>
      <c r="U56" s="475"/>
      <c r="V56" s="477" t="s">
        <v>132</v>
      </c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69" t="s">
        <v>579</v>
      </c>
      <c r="B57" s="470"/>
      <c r="C57" s="380" t="s">
        <v>567</v>
      </c>
      <c r="D57" s="380" t="s">
        <v>576</v>
      </c>
      <c r="E57" s="380" t="s">
        <v>604</v>
      </c>
      <c r="F57" s="471" t="s">
        <v>605</v>
      </c>
      <c r="G57" s="472"/>
      <c r="H57" s="472"/>
      <c r="I57" s="472"/>
      <c r="J57" s="472"/>
      <c r="K57" s="472"/>
      <c r="L57" s="472"/>
      <c r="M57" s="473"/>
      <c r="N57" s="383" t="s">
        <v>112</v>
      </c>
      <c r="O57" s="377" t="s">
        <v>191</v>
      </c>
      <c r="P57" s="474" t="s">
        <v>115</v>
      </c>
      <c r="Q57" s="475"/>
      <c r="R57" s="474" t="s">
        <v>330</v>
      </c>
      <c r="S57" s="476"/>
      <c r="T57" s="476"/>
      <c r="U57" s="475"/>
      <c r="V57" s="477" t="s">
        <v>132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87" t="s">
        <v>210</v>
      </c>
      <c r="B58" s="488"/>
      <c r="C58" s="379" t="s">
        <v>567</v>
      </c>
      <c r="D58" s="379" t="s">
        <v>115</v>
      </c>
      <c r="E58" s="380" t="s">
        <v>606</v>
      </c>
      <c r="F58" s="471" t="s">
        <v>364</v>
      </c>
      <c r="G58" s="472"/>
      <c r="H58" s="472"/>
      <c r="I58" s="472"/>
      <c r="J58" s="472"/>
      <c r="K58" s="472"/>
      <c r="L58" s="472"/>
      <c r="M58" s="473"/>
      <c r="N58" s="383" t="s">
        <v>112</v>
      </c>
      <c r="O58" s="377" t="s">
        <v>318</v>
      </c>
      <c r="P58" s="474" t="s">
        <v>208</v>
      </c>
      <c r="Q58" s="475"/>
      <c r="R58" s="474" t="s">
        <v>512</v>
      </c>
      <c r="S58" s="476"/>
      <c r="T58" s="476"/>
      <c r="U58" s="475"/>
      <c r="V58" s="477" t="s">
        <v>124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 t="s">
        <v>579</v>
      </c>
      <c r="B59" s="488"/>
      <c r="C59" s="379" t="s">
        <v>191</v>
      </c>
      <c r="D59" s="379" t="s">
        <v>581</v>
      </c>
      <c r="E59" s="380" t="s">
        <v>209</v>
      </c>
      <c r="F59" s="471" t="s">
        <v>132</v>
      </c>
      <c r="G59" s="472"/>
      <c r="H59" s="472"/>
      <c r="I59" s="472"/>
      <c r="J59" s="472"/>
      <c r="K59" s="472"/>
      <c r="L59" s="472"/>
      <c r="M59" s="473"/>
      <c r="N59" s="383"/>
      <c r="O59" s="377"/>
      <c r="P59" s="474"/>
      <c r="Q59" s="475"/>
      <c r="R59" s="474"/>
      <c r="S59" s="476"/>
      <c r="T59" s="476"/>
      <c r="U59" s="475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69" t="s">
        <v>210</v>
      </c>
      <c r="B60" s="470"/>
      <c r="C60" s="380" t="s">
        <v>575</v>
      </c>
      <c r="D60" s="380" t="s">
        <v>576</v>
      </c>
      <c r="E60" s="380" t="s">
        <v>573</v>
      </c>
      <c r="F60" s="471" t="s">
        <v>607</v>
      </c>
      <c r="G60" s="472"/>
      <c r="H60" s="472"/>
      <c r="I60" s="472"/>
      <c r="J60" s="472"/>
      <c r="K60" s="472"/>
      <c r="L60" s="472"/>
      <c r="M60" s="473"/>
      <c r="N60" s="383"/>
      <c r="O60" s="377"/>
      <c r="P60" s="474"/>
      <c r="Q60" s="475"/>
      <c r="R60" s="474"/>
      <c r="S60" s="476"/>
      <c r="T60" s="476"/>
      <c r="U60" s="475"/>
      <c r="V60" s="477"/>
      <c r="W60" s="477"/>
      <c r="X60" s="477"/>
      <c r="Y60" s="477"/>
      <c r="Z60" s="477"/>
      <c r="AA60" s="477"/>
      <c r="AB60" s="477"/>
      <c r="AC60" s="477"/>
      <c r="AD60" s="478"/>
    </row>
    <row r="61" spans="1:32" ht="27" customHeight="1">
      <c r="A61" s="487" t="s">
        <v>579</v>
      </c>
      <c r="B61" s="488"/>
      <c r="C61" s="379" t="s">
        <v>580</v>
      </c>
      <c r="D61" s="379" t="s">
        <v>581</v>
      </c>
      <c r="E61" s="380" t="s">
        <v>577</v>
      </c>
      <c r="F61" s="471" t="s">
        <v>471</v>
      </c>
      <c r="G61" s="472"/>
      <c r="H61" s="472"/>
      <c r="I61" s="472"/>
      <c r="J61" s="472"/>
      <c r="K61" s="472"/>
      <c r="L61" s="472"/>
      <c r="M61" s="473"/>
      <c r="N61" s="383"/>
      <c r="O61" s="377"/>
      <c r="P61" s="474"/>
      <c r="Q61" s="475"/>
      <c r="R61" s="474"/>
      <c r="S61" s="476"/>
      <c r="T61" s="476"/>
      <c r="U61" s="475"/>
      <c r="V61" s="477"/>
      <c r="W61" s="477"/>
      <c r="X61" s="477"/>
      <c r="Y61" s="477"/>
      <c r="Z61" s="477"/>
      <c r="AA61" s="477"/>
      <c r="AB61" s="477"/>
      <c r="AC61" s="477"/>
      <c r="AD61" s="478"/>
    </row>
    <row r="62" spans="1:32" ht="27" customHeight="1">
      <c r="A62" s="487" t="s">
        <v>210</v>
      </c>
      <c r="B62" s="488"/>
      <c r="C62" s="379" t="s">
        <v>372</v>
      </c>
      <c r="D62" s="379" t="s">
        <v>448</v>
      </c>
      <c r="E62" s="380" t="s">
        <v>447</v>
      </c>
      <c r="F62" s="471" t="s">
        <v>124</v>
      </c>
      <c r="G62" s="472"/>
      <c r="H62" s="472"/>
      <c r="I62" s="472"/>
      <c r="J62" s="472"/>
      <c r="K62" s="472"/>
      <c r="L62" s="472"/>
      <c r="M62" s="473"/>
      <c r="N62" s="383"/>
      <c r="O62" s="377"/>
      <c r="P62" s="470"/>
      <c r="Q62" s="470"/>
      <c r="R62" s="470"/>
      <c r="S62" s="470"/>
      <c r="T62" s="470"/>
      <c r="U62" s="470"/>
      <c r="V62" s="477"/>
      <c r="W62" s="477"/>
      <c r="X62" s="477"/>
      <c r="Y62" s="477"/>
      <c r="Z62" s="477"/>
      <c r="AA62" s="477"/>
      <c r="AB62" s="477"/>
      <c r="AC62" s="477"/>
      <c r="AD62" s="478"/>
      <c r="AF62" s="84">
        <f>8*3000</f>
        <v>24000</v>
      </c>
    </row>
    <row r="63" spans="1:32" ht="27" customHeight="1" thickBot="1">
      <c r="A63" s="479" t="s">
        <v>118</v>
      </c>
      <c r="B63" s="480"/>
      <c r="C63" s="381" t="s">
        <v>141</v>
      </c>
      <c r="D63" s="382" t="s">
        <v>115</v>
      </c>
      <c r="E63" s="381" t="s">
        <v>537</v>
      </c>
      <c r="F63" s="481" t="s">
        <v>608</v>
      </c>
      <c r="G63" s="482"/>
      <c r="H63" s="482"/>
      <c r="I63" s="482"/>
      <c r="J63" s="482"/>
      <c r="K63" s="482"/>
      <c r="L63" s="482"/>
      <c r="M63" s="483"/>
      <c r="N63" s="111"/>
      <c r="O63" s="103"/>
      <c r="P63" s="484"/>
      <c r="Q63" s="484"/>
      <c r="R63" s="484"/>
      <c r="S63" s="484"/>
      <c r="T63" s="484"/>
      <c r="U63" s="484"/>
      <c r="V63" s="485"/>
      <c r="W63" s="485"/>
      <c r="X63" s="485"/>
      <c r="Y63" s="485"/>
      <c r="Z63" s="485"/>
      <c r="AA63" s="485"/>
      <c r="AB63" s="485"/>
      <c r="AC63" s="485"/>
      <c r="AD63" s="486"/>
      <c r="AF63" s="84">
        <f>16*3000</f>
        <v>48000</v>
      </c>
    </row>
    <row r="64" spans="1:32" ht="27.75" thickBot="1">
      <c r="A64" s="489" t="s">
        <v>612</v>
      </c>
      <c r="B64" s="489"/>
      <c r="C64" s="489"/>
      <c r="D64" s="489"/>
      <c r="E64" s="489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90" t="s">
        <v>111</v>
      </c>
      <c r="B65" s="491"/>
      <c r="C65" s="378" t="s">
        <v>2</v>
      </c>
      <c r="D65" s="378" t="s">
        <v>37</v>
      </c>
      <c r="E65" s="378" t="s">
        <v>3</v>
      </c>
      <c r="F65" s="491" t="s">
        <v>109</v>
      </c>
      <c r="G65" s="491"/>
      <c r="H65" s="491"/>
      <c r="I65" s="491"/>
      <c r="J65" s="491"/>
      <c r="K65" s="491" t="s">
        <v>39</v>
      </c>
      <c r="L65" s="491"/>
      <c r="M65" s="378" t="s">
        <v>40</v>
      </c>
      <c r="N65" s="491" t="s">
        <v>41</v>
      </c>
      <c r="O65" s="491"/>
      <c r="P65" s="492" t="s">
        <v>42</v>
      </c>
      <c r="Q65" s="493"/>
      <c r="R65" s="492" t="s">
        <v>43</v>
      </c>
      <c r="S65" s="494"/>
      <c r="T65" s="494"/>
      <c r="U65" s="494"/>
      <c r="V65" s="494"/>
      <c r="W65" s="494"/>
      <c r="X65" s="494"/>
      <c r="Y65" s="494"/>
      <c r="Z65" s="494"/>
      <c r="AA65" s="493"/>
      <c r="AB65" s="491" t="s">
        <v>44</v>
      </c>
      <c r="AC65" s="491"/>
      <c r="AD65" s="495"/>
      <c r="AF65" s="84">
        <f>SUM(AF62:AF64)</f>
        <v>96000</v>
      </c>
    </row>
    <row r="66" spans="1:32" ht="25.5" customHeight="1">
      <c r="A66" s="496">
        <v>1</v>
      </c>
      <c r="B66" s="497"/>
      <c r="C66" s="104" t="s">
        <v>118</v>
      </c>
      <c r="D66" s="373"/>
      <c r="E66" s="376" t="s">
        <v>280</v>
      </c>
      <c r="F66" s="498" t="s">
        <v>369</v>
      </c>
      <c r="G66" s="499"/>
      <c r="H66" s="499"/>
      <c r="I66" s="499"/>
      <c r="J66" s="500"/>
      <c r="K66" s="501" t="s">
        <v>156</v>
      </c>
      <c r="L66" s="501"/>
      <c r="M66" s="51" t="s">
        <v>143</v>
      </c>
      <c r="N66" s="502" t="s">
        <v>222</v>
      </c>
      <c r="O66" s="502"/>
      <c r="P66" s="503">
        <v>100</v>
      </c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2</v>
      </c>
      <c r="B67" s="497"/>
      <c r="C67" s="104" t="s">
        <v>118</v>
      </c>
      <c r="D67" s="373"/>
      <c r="E67" s="376" t="s">
        <v>115</v>
      </c>
      <c r="F67" s="498" t="s">
        <v>276</v>
      </c>
      <c r="G67" s="499"/>
      <c r="H67" s="499"/>
      <c r="I67" s="499"/>
      <c r="J67" s="500"/>
      <c r="K67" s="501" t="s">
        <v>128</v>
      </c>
      <c r="L67" s="501"/>
      <c r="M67" s="51" t="s">
        <v>451</v>
      </c>
      <c r="N67" s="502" t="s">
        <v>222</v>
      </c>
      <c r="O67" s="502"/>
      <c r="P67" s="503">
        <v>100</v>
      </c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3</v>
      </c>
      <c r="B68" s="497"/>
      <c r="C68" s="104"/>
      <c r="D68" s="373"/>
      <c r="E68" s="376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4</v>
      </c>
      <c r="B69" s="497"/>
      <c r="C69" s="104"/>
      <c r="D69" s="373"/>
      <c r="E69" s="376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5</v>
      </c>
      <c r="B70" s="497"/>
      <c r="C70" s="104"/>
      <c r="D70" s="373"/>
      <c r="E70" s="376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6</v>
      </c>
      <c r="B71" s="497"/>
      <c r="C71" s="104"/>
      <c r="D71" s="373"/>
      <c r="E71" s="376"/>
      <c r="F71" s="498"/>
      <c r="G71" s="499"/>
      <c r="H71" s="499"/>
      <c r="I71" s="499"/>
      <c r="J71" s="500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7</v>
      </c>
      <c r="B72" s="497"/>
      <c r="C72" s="104"/>
      <c r="D72" s="373"/>
      <c r="E72" s="376"/>
      <c r="F72" s="498"/>
      <c r="G72" s="499"/>
      <c r="H72" s="499"/>
      <c r="I72" s="499"/>
      <c r="J72" s="500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8</v>
      </c>
      <c r="B73" s="497"/>
      <c r="C73" s="104"/>
      <c r="D73" s="373"/>
      <c r="E73" s="376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5.5" customHeight="1">
      <c r="A74" s="496">
        <v>9</v>
      </c>
      <c r="B74" s="497"/>
      <c r="C74" s="104"/>
      <c r="D74" s="373"/>
      <c r="E74" s="376"/>
      <c r="F74" s="505"/>
      <c r="G74" s="501"/>
      <c r="H74" s="501"/>
      <c r="I74" s="501"/>
      <c r="J74" s="501"/>
      <c r="K74" s="501"/>
      <c r="L74" s="501"/>
      <c r="M74" s="51"/>
      <c r="N74" s="502"/>
      <c r="O74" s="502"/>
      <c r="P74" s="503"/>
      <c r="Q74" s="503"/>
      <c r="R74" s="477"/>
      <c r="S74" s="477"/>
      <c r="T74" s="477"/>
      <c r="U74" s="477"/>
      <c r="V74" s="477"/>
      <c r="W74" s="477"/>
      <c r="X74" s="477"/>
      <c r="Y74" s="477"/>
      <c r="Z74" s="477"/>
      <c r="AA74" s="477"/>
      <c r="AB74" s="501"/>
      <c r="AC74" s="501"/>
      <c r="AD74" s="504"/>
      <c r="AF74" s="50"/>
    </row>
    <row r="75" spans="1:32" ht="25.5" customHeight="1">
      <c r="A75" s="496">
        <v>10</v>
      </c>
      <c r="B75" s="497"/>
      <c r="C75" s="104"/>
      <c r="D75" s="373"/>
      <c r="E75" s="376"/>
      <c r="F75" s="505"/>
      <c r="G75" s="501"/>
      <c r="H75" s="501"/>
      <c r="I75" s="501"/>
      <c r="J75" s="501"/>
      <c r="K75" s="501"/>
      <c r="L75" s="501"/>
      <c r="M75" s="51"/>
      <c r="N75" s="502"/>
      <c r="O75" s="502"/>
      <c r="P75" s="503"/>
      <c r="Q75" s="503"/>
      <c r="R75" s="477"/>
      <c r="S75" s="477"/>
      <c r="T75" s="477"/>
      <c r="U75" s="477"/>
      <c r="V75" s="477"/>
      <c r="W75" s="477"/>
      <c r="X75" s="477"/>
      <c r="Y75" s="477"/>
      <c r="Z75" s="477"/>
      <c r="AA75" s="477"/>
      <c r="AB75" s="501"/>
      <c r="AC75" s="501"/>
      <c r="AD75" s="504"/>
      <c r="AF75" s="50"/>
    </row>
    <row r="76" spans="1:32" ht="26.25" customHeight="1" thickBot="1">
      <c r="A76" s="506" t="s">
        <v>613</v>
      </c>
      <c r="B76" s="506"/>
      <c r="C76" s="506"/>
      <c r="D76" s="506"/>
      <c r="E76" s="506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550" t="s">
        <v>111</v>
      </c>
      <c r="B77" s="551"/>
      <c r="C77" s="375" t="s">
        <v>2</v>
      </c>
      <c r="D77" s="375" t="s">
        <v>37</v>
      </c>
      <c r="E77" s="375" t="s">
        <v>125</v>
      </c>
      <c r="F77" s="508" t="s">
        <v>38</v>
      </c>
      <c r="G77" s="508"/>
      <c r="H77" s="508"/>
      <c r="I77" s="508"/>
      <c r="J77" s="508"/>
      <c r="K77" s="509" t="s">
        <v>58</v>
      </c>
      <c r="L77" s="510"/>
      <c r="M77" s="510"/>
      <c r="N77" s="510"/>
      <c r="O77" s="510"/>
      <c r="P77" s="510"/>
      <c r="Q77" s="510"/>
      <c r="R77" s="510"/>
      <c r="S77" s="511"/>
      <c r="T77" s="508" t="s">
        <v>49</v>
      </c>
      <c r="U77" s="508"/>
      <c r="V77" s="509" t="s">
        <v>50</v>
      </c>
      <c r="W77" s="511"/>
      <c r="X77" s="510" t="s">
        <v>51</v>
      </c>
      <c r="Y77" s="510"/>
      <c r="Z77" s="510"/>
      <c r="AA77" s="510"/>
      <c r="AB77" s="510"/>
      <c r="AC77" s="510"/>
      <c r="AD77" s="512"/>
      <c r="AF77" s="50"/>
    </row>
    <row r="78" spans="1:32" ht="33.75" customHeight="1">
      <c r="A78" s="521">
        <v>1</v>
      </c>
      <c r="B78" s="522"/>
      <c r="C78" s="374"/>
      <c r="D78" s="374"/>
      <c r="E78" s="65"/>
      <c r="F78" s="523"/>
      <c r="G78" s="524"/>
      <c r="H78" s="524"/>
      <c r="I78" s="524"/>
      <c r="J78" s="525"/>
      <c r="K78" s="526"/>
      <c r="L78" s="527"/>
      <c r="M78" s="527"/>
      <c r="N78" s="527"/>
      <c r="O78" s="527"/>
      <c r="P78" s="527"/>
      <c r="Q78" s="527"/>
      <c r="R78" s="527"/>
      <c r="S78" s="528"/>
      <c r="T78" s="529"/>
      <c r="U78" s="530"/>
      <c r="V78" s="531"/>
      <c r="W78" s="531"/>
      <c r="X78" s="532"/>
      <c r="Y78" s="532"/>
      <c r="Z78" s="532"/>
      <c r="AA78" s="532"/>
      <c r="AB78" s="532"/>
      <c r="AC78" s="532"/>
      <c r="AD78" s="533"/>
      <c r="AF78" s="50"/>
    </row>
    <row r="79" spans="1:32" ht="30" customHeight="1">
      <c r="A79" s="513">
        <f>A78+1</f>
        <v>2</v>
      </c>
      <c r="B79" s="514"/>
      <c r="C79" s="373"/>
      <c r="D79" s="373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ref="A80:A84" si="27">A79+1</f>
        <v>3</v>
      </c>
      <c r="B80" s="514"/>
      <c r="C80" s="373"/>
      <c r="D80" s="373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27"/>
        <v>4</v>
      </c>
      <c r="B81" s="514"/>
      <c r="C81" s="373"/>
      <c r="D81" s="373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27"/>
        <v>5</v>
      </c>
      <c r="B82" s="514"/>
      <c r="C82" s="373"/>
      <c r="D82" s="373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0" customHeight="1">
      <c r="A83" s="513">
        <f t="shared" si="27"/>
        <v>6</v>
      </c>
      <c r="B83" s="514"/>
      <c r="C83" s="373"/>
      <c r="D83" s="373"/>
      <c r="E83" s="32"/>
      <c r="F83" s="514"/>
      <c r="G83" s="514"/>
      <c r="H83" s="514"/>
      <c r="I83" s="514"/>
      <c r="J83" s="514"/>
      <c r="K83" s="515"/>
      <c r="L83" s="516"/>
      <c r="M83" s="516"/>
      <c r="N83" s="516"/>
      <c r="O83" s="516"/>
      <c r="P83" s="516"/>
      <c r="Q83" s="516"/>
      <c r="R83" s="516"/>
      <c r="S83" s="517"/>
      <c r="T83" s="518"/>
      <c r="U83" s="518"/>
      <c r="V83" s="518"/>
      <c r="W83" s="518"/>
      <c r="X83" s="519"/>
      <c r="Y83" s="519"/>
      <c r="Z83" s="519"/>
      <c r="AA83" s="519"/>
      <c r="AB83" s="519"/>
      <c r="AC83" s="519"/>
      <c r="AD83" s="520"/>
      <c r="AF83" s="50"/>
    </row>
    <row r="84" spans="1:32" ht="30" customHeight="1">
      <c r="A84" s="513">
        <f t="shared" si="27"/>
        <v>7</v>
      </c>
      <c r="B84" s="514"/>
      <c r="C84" s="373"/>
      <c r="D84" s="373"/>
      <c r="E84" s="32"/>
      <c r="F84" s="514"/>
      <c r="G84" s="514"/>
      <c r="H84" s="514"/>
      <c r="I84" s="514"/>
      <c r="J84" s="514"/>
      <c r="K84" s="515"/>
      <c r="L84" s="516"/>
      <c r="M84" s="516"/>
      <c r="N84" s="516"/>
      <c r="O84" s="516"/>
      <c r="P84" s="516"/>
      <c r="Q84" s="516"/>
      <c r="R84" s="516"/>
      <c r="S84" s="517"/>
      <c r="T84" s="518"/>
      <c r="U84" s="518"/>
      <c r="V84" s="518"/>
      <c r="W84" s="518"/>
      <c r="X84" s="519"/>
      <c r="Y84" s="519"/>
      <c r="Z84" s="519"/>
      <c r="AA84" s="519"/>
      <c r="AB84" s="519"/>
      <c r="AC84" s="519"/>
      <c r="AD84" s="520"/>
      <c r="AF84" s="50"/>
    </row>
    <row r="85" spans="1:32" ht="36" thickBot="1">
      <c r="A85" s="506" t="s">
        <v>614</v>
      </c>
      <c r="B85" s="506"/>
      <c r="C85" s="506"/>
      <c r="D85" s="506"/>
      <c r="E85" s="506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507" t="s">
        <v>111</v>
      </c>
      <c r="B86" s="508"/>
      <c r="C86" s="534" t="s">
        <v>52</v>
      </c>
      <c r="D86" s="534"/>
      <c r="E86" s="534" t="s">
        <v>53</v>
      </c>
      <c r="F86" s="534"/>
      <c r="G86" s="534"/>
      <c r="H86" s="534"/>
      <c r="I86" s="534"/>
      <c r="J86" s="534"/>
      <c r="K86" s="534" t="s">
        <v>54</v>
      </c>
      <c r="L86" s="534"/>
      <c r="M86" s="534"/>
      <c r="N86" s="534"/>
      <c r="O86" s="534"/>
      <c r="P86" s="534"/>
      <c r="Q86" s="534"/>
      <c r="R86" s="534"/>
      <c r="S86" s="534"/>
      <c r="T86" s="534" t="s">
        <v>55</v>
      </c>
      <c r="U86" s="534"/>
      <c r="V86" s="534" t="s">
        <v>56</v>
      </c>
      <c r="W86" s="534"/>
      <c r="X86" s="534"/>
      <c r="Y86" s="534" t="s">
        <v>51</v>
      </c>
      <c r="Z86" s="534"/>
      <c r="AA86" s="534"/>
      <c r="AB86" s="534"/>
      <c r="AC86" s="534"/>
      <c r="AD86" s="535"/>
      <c r="AF86" s="50"/>
    </row>
    <row r="87" spans="1:32" ht="30.75" customHeight="1">
      <c r="A87" s="521">
        <v>1</v>
      </c>
      <c r="B87" s="522"/>
      <c r="C87" s="536">
        <v>9</v>
      </c>
      <c r="D87" s="536"/>
      <c r="E87" s="536" t="s">
        <v>136</v>
      </c>
      <c r="F87" s="536"/>
      <c r="G87" s="536"/>
      <c r="H87" s="536"/>
      <c r="I87" s="536"/>
      <c r="J87" s="536"/>
      <c r="K87" s="536" t="s">
        <v>161</v>
      </c>
      <c r="L87" s="536"/>
      <c r="M87" s="536"/>
      <c r="N87" s="536"/>
      <c r="O87" s="536"/>
      <c r="P87" s="536"/>
      <c r="Q87" s="536"/>
      <c r="R87" s="536"/>
      <c r="S87" s="536"/>
      <c r="T87" s="536" t="s">
        <v>137</v>
      </c>
      <c r="U87" s="536"/>
      <c r="V87" s="537" t="s">
        <v>152</v>
      </c>
      <c r="W87" s="537"/>
      <c r="X87" s="537"/>
      <c r="Y87" s="538"/>
      <c r="Z87" s="538"/>
      <c r="AA87" s="538"/>
      <c r="AB87" s="538"/>
      <c r="AC87" s="538"/>
      <c r="AD87" s="539"/>
      <c r="AF87" s="50"/>
    </row>
    <row r="88" spans="1:32" ht="30.75" customHeight="1">
      <c r="A88" s="513">
        <v>2</v>
      </c>
      <c r="B88" s="514"/>
      <c r="C88" s="547"/>
      <c r="D88" s="547"/>
      <c r="E88" s="547"/>
      <c r="F88" s="547"/>
      <c r="G88" s="547"/>
      <c r="H88" s="547"/>
      <c r="I88" s="547"/>
      <c r="J88" s="547"/>
      <c r="K88" s="547"/>
      <c r="L88" s="547"/>
      <c r="M88" s="547"/>
      <c r="N88" s="547"/>
      <c r="O88" s="547"/>
      <c r="P88" s="547"/>
      <c r="Q88" s="547"/>
      <c r="R88" s="547"/>
      <c r="S88" s="547"/>
      <c r="T88" s="548"/>
      <c r="U88" s="548"/>
      <c r="V88" s="549"/>
      <c r="W88" s="549"/>
      <c r="X88" s="549"/>
      <c r="Y88" s="540"/>
      <c r="Z88" s="540"/>
      <c r="AA88" s="540"/>
      <c r="AB88" s="540"/>
      <c r="AC88" s="540"/>
      <c r="AD88" s="541"/>
      <c r="AF88" s="50"/>
    </row>
    <row r="89" spans="1:32" ht="30.75" customHeight="1" thickBot="1">
      <c r="A89" s="542">
        <v>3</v>
      </c>
      <c r="B89" s="543"/>
      <c r="C89" s="544"/>
      <c r="D89" s="544"/>
      <c r="E89" s="544"/>
      <c r="F89" s="544"/>
      <c r="G89" s="544"/>
      <c r="H89" s="544"/>
      <c r="I89" s="544"/>
      <c r="J89" s="544"/>
      <c r="K89" s="544"/>
      <c r="L89" s="544"/>
      <c r="M89" s="544"/>
      <c r="N89" s="544"/>
      <c r="O89" s="544"/>
      <c r="P89" s="544"/>
      <c r="Q89" s="544"/>
      <c r="R89" s="544"/>
      <c r="S89" s="544"/>
      <c r="T89" s="544"/>
      <c r="U89" s="544"/>
      <c r="V89" s="544"/>
      <c r="W89" s="544"/>
      <c r="X89" s="544"/>
      <c r="Y89" s="545"/>
      <c r="Z89" s="545"/>
      <c r="AA89" s="545"/>
      <c r="AB89" s="545"/>
      <c r="AC89" s="545"/>
      <c r="AD89" s="546"/>
      <c r="AF89" s="50"/>
    </row>
  </sheetData>
  <mergeCells count="232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D62A-C0A3-4CA3-AA9D-134480E00DAC}">
  <dimension ref="A1:AF87"/>
  <sheetViews>
    <sheetView view="pageBreakPreview" zoomScale="70" zoomScaleNormal="72" zoomScaleSheetLayoutView="70" workbookViewId="0">
      <selection activeCell="L17" sqref="L1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615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386" t="s">
        <v>17</v>
      </c>
      <c r="L5" s="386" t="s">
        <v>18</v>
      </c>
      <c r="M5" s="386" t="s">
        <v>19</v>
      </c>
      <c r="N5" s="38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208</v>
      </c>
      <c r="E6" s="53" t="s">
        <v>246</v>
      </c>
      <c r="F6" s="30" t="s">
        <v>247</v>
      </c>
      <c r="G6" s="12">
        <v>1</v>
      </c>
      <c r="H6" s="13">
        <v>24</v>
      </c>
      <c r="I6" s="31">
        <v>6000</v>
      </c>
      <c r="J6" s="14">
        <v>5058</v>
      </c>
      <c r="K6" s="15">
        <f>L6+5333</f>
        <v>10391</v>
      </c>
      <c r="L6" s="15">
        <f>2283+2775</f>
        <v>5058</v>
      </c>
      <c r="M6" s="15">
        <f t="shared" ref="M6:M21" si="0">L6-N6</f>
        <v>5058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0.59635416666666663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269</v>
      </c>
      <c r="E7" s="53" t="s">
        <v>270</v>
      </c>
      <c r="F7" s="30" t="s">
        <v>249</v>
      </c>
      <c r="G7" s="12">
        <v>1</v>
      </c>
      <c r="H7" s="13">
        <v>24</v>
      </c>
      <c r="I7" s="31">
        <v>18000</v>
      </c>
      <c r="J7" s="14">
        <v>3479</v>
      </c>
      <c r="K7" s="15">
        <f>L7</f>
        <v>3479</v>
      </c>
      <c r="L7" s="15">
        <f>150+3329</f>
        <v>3479</v>
      </c>
      <c r="M7" s="15">
        <f t="shared" si="0"/>
        <v>3479</v>
      </c>
      <c r="N7" s="15">
        <v>0</v>
      </c>
      <c r="O7" s="58">
        <f t="shared" si="1"/>
        <v>0</v>
      </c>
      <c r="P7" s="39">
        <f t="shared" si="2"/>
        <v>16</v>
      </c>
      <c r="Q7" s="40">
        <f t="shared" si="3"/>
        <v>8</v>
      </c>
      <c r="R7" s="7"/>
      <c r="S7" s="6"/>
      <c r="T7" s="16"/>
      <c r="U7" s="16"/>
      <c r="V7" s="17"/>
      <c r="W7" s="5"/>
      <c r="X7" s="16"/>
      <c r="Y7" s="16"/>
      <c r="Z7" s="16"/>
      <c r="AA7" s="18">
        <v>8</v>
      </c>
      <c r="AB7" s="8">
        <f t="shared" si="4"/>
        <v>1</v>
      </c>
      <c r="AC7" s="9">
        <f t="shared" si="5"/>
        <v>0.66666666666666663</v>
      </c>
      <c r="AD7" s="10">
        <f t="shared" si="6"/>
        <v>0.66666666666666663</v>
      </c>
      <c r="AE7" s="36">
        <f t="shared" si="7"/>
        <v>0.59635416666666663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115</v>
      </c>
      <c r="E8" s="53" t="s">
        <v>611</v>
      </c>
      <c r="F8" s="30" t="s">
        <v>144</v>
      </c>
      <c r="G8" s="12">
        <v>4</v>
      </c>
      <c r="H8" s="13">
        <v>24</v>
      </c>
      <c r="I8" s="7">
        <v>4000</v>
      </c>
      <c r="J8" s="5">
        <v>4916</v>
      </c>
      <c r="K8" s="15">
        <f>L8</f>
        <v>4916</v>
      </c>
      <c r="L8" s="15">
        <f>1229*4</f>
        <v>4916</v>
      </c>
      <c r="M8" s="15">
        <f t="shared" si="0"/>
        <v>4916</v>
      </c>
      <c r="N8" s="15">
        <v>0</v>
      </c>
      <c r="O8" s="58">
        <f t="shared" si="1"/>
        <v>0</v>
      </c>
      <c r="P8" s="39">
        <f t="shared" si="2"/>
        <v>7</v>
      </c>
      <c r="Q8" s="40">
        <f t="shared" si="3"/>
        <v>17</v>
      </c>
      <c r="R8" s="7"/>
      <c r="S8" s="6"/>
      <c r="T8" s="16"/>
      <c r="U8" s="16"/>
      <c r="V8" s="17"/>
      <c r="W8" s="5">
        <v>17</v>
      </c>
      <c r="X8" s="16"/>
      <c r="Y8" s="16"/>
      <c r="Z8" s="16"/>
      <c r="AA8" s="18"/>
      <c r="AB8" s="8">
        <f t="shared" si="4"/>
        <v>1</v>
      </c>
      <c r="AC8" s="9">
        <f t="shared" si="5"/>
        <v>0.29166666666666669</v>
      </c>
      <c r="AD8" s="10">
        <f t="shared" si="6"/>
        <v>0.29166666666666669</v>
      </c>
      <c r="AE8" s="36">
        <f t="shared" si="7"/>
        <v>0.59635416666666663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280</v>
      </c>
      <c r="E9" s="53" t="s">
        <v>498</v>
      </c>
      <c r="F9" s="30" t="s">
        <v>404</v>
      </c>
      <c r="G9" s="12">
        <v>1</v>
      </c>
      <c r="H9" s="13">
        <v>24</v>
      </c>
      <c r="I9" s="7">
        <v>30000</v>
      </c>
      <c r="J9" s="14">
        <v>4848</v>
      </c>
      <c r="K9" s="15">
        <f>L9+3787+4146+4858+5011</f>
        <v>22650</v>
      </c>
      <c r="L9" s="15">
        <f>2294+2554</f>
        <v>4848</v>
      </c>
      <c r="M9" s="15">
        <f t="shared" si="0"/>
        <v>4848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0.59635416666666663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131</v>
      </c>
      <c r="E10" s="53" t="s">
        <v>490</v>
      </c>
      <c r="F10" s="30" t="s">
        <v>144</v>
      </c>
      <c r="G10" s="33">
        <v>2</v>
      </c>
      <c r="H10" s="35">
        <v>24</v>
      </c>
      <c r="I10" s="7">
        <v>32000</v>
      </c>
      <c r="J10" s="14">
        <v>10502</v>
      </c>
      <c r="K10" s="15">
        <f>L10+5096+11900+12006+11802+11896</f>
        <v>63202</v>
      </c>
      <c r="L10" s="15">
        <f>2479*2+2772*2</f>
        <v>10502</v>
      </c>
      <c r="M10" s="15">
        <f t="shared" si="0"/>
        <v>10502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0.59635416666666663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210</v>
      </c>
      <c r="D11" s="52" t="s">
        <v>448</v>
      </c>
      <c r="E11" s="53" t="s">
        <v>447</v>
      </c>
      <c r="F11" s="30" t="s">
        <v>213</v>
      </c>
      <c r="G11" s="33">
        <v>1</v>
      </c>
      <c r="H11" s="35">
        <v>24</v>
      </c>
      <c r="I11" s="7">
        <v>7000</v>
      </c>
      <c r="J11" s="14">
        <v>1412</v>
      </c>
      <c r="K11" s="15">
        <f>L11+1004+974+4619</f>
        <v>8009</v>
      </c>
      <c r="L11" s="15">
        <v>1412</v>
      </c>
      <c r="M11" s="15">
        <f t="shared" si="0"/>
        <v>1412</v>
      </c>
      <c r="N11" s="15">
        <v>0</v>
      </c>
      <c r="O11" s="58">
        <f t="shared" si="1"/>
        <v>0</v>
      </c>
      <c r="P11" s="39">
        <f t="shared" si="2"/>
        <v>8</v>
      </c>
      <c r="Q11" s="40">
        <f t="shared" si="3"/>
        <v>16</v>
      </c>
      <c r="R11" s="7"/>
      <c r="S11" s="6">
        <v>16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0.33333333333333331</v>
      </c>
      <c r="AD11" s="10">
        <f t="shared" si="6"/>
        <v>0.33333333333333331</v>
      </c>
      <c r="AE11" s="36">
        <f t="shared" si="7"/>
        <v>0.59635416666666663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394</v>
      </c>
      <c r="F12" s="30" t="s">
        <v>128</v>
      </c>
      <c r="G12" s="12">
        <v>1</v>
      </c>
      <c r="H12" s="13">
        <v>22</v>
      </c>
      <c r="I12" s="31">
        <v>10000</v>
      </c>
      <c r="J12" s="5">
        <v>2804</v>
      </c>
      <c r="K12" s="15">
        <f>L12+1899+2447+3467+2804</f>
        <v>10617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0.59635416666666663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131</v>
      </c>
      <c r="E13" s="53" t="s">
        <v>154</v>
      </c>
      <c r="F13" s="30" t="s">
        <v>144</v>
      </c>
      <c r="G13" s="33">
        <v>2</v>
      </c>
      <c r="H13" s="35">
        <v>24</v>
      </c>
      <c r="I13" s="7">
        <v>28000</v>
      </c>
      <c r="J13" s="14">
        <v>11118</v>
      </c>
      <c r="K13" s="15">
        <f>L13+2474</f>
        <v>13592</v>
      </c>
      <c r="L13" s="15">
        <f>3016*2+2543*2</f>
        <v>11118</v>
      </c>
      <c r="M13" s="15">
        <f t="shared" si="0"/>
        <v>11118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0.59635416666666663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491</v>
      </c>
      <c r="F14" s="30" t="s">
        <v>286</v>
      </c>
      <c r="G14" s="33">
        <v>1</v>
      </c>
      <c r="H14" s="35">
        <v>50</v>
      </c>
      <c r="I14" s="7">
        <v>2500</v>
      </c>
      <c r="J14" s="5">
        <v>1050</v>
      </c>
      <c r="K14" s="15">
        <f>L14+893+982+1050</f>
        <v>2925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>
        <v>24</v>
      </c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0.59635416666666663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0.59635416666666663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115</v>
      </c>
      <c r="E16" s="53" t="s">
        <v>616</v>
      </c>
      <c r="F16" s="30" t="s">
        <v>130</v>
      </c>
      <c r="G16" s="12">
        <v>1</v>
      </c>
      <c r="H16" s="13">
        <v>24</v>
      </c>
      <c r="I16" s="7">
        <v>2500</v>
      </c>
      <c r="J16" s="14">
        <v>3047</v>
      </c>
      <c r="K16" s="15">
        <f>L16</f>
        <v>3047</v>
      </c>
      <c r="L16" s="15">
        <f>647+2400</f>
        <v>3047</v>
      </c>
      <c r="M16" s="15">
        <f t="shared" si="0"/>
        <v>3047</v>
      </c>
      <c r="N16" s="15">
        <v>0</v>
      </c>
      <c r="O16" s="58">
        <f t="shared" si="1"/>
        <v>0</v>
      </c>
      <c r="P16" s="39">
        <f t="shared" si="2"/>
        <v>18</v>
      </c>
      <c r="Q16" s="40">
        <f t="shared" si="3"/>
        <v>6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6</v>
      </c>
      <c r="AB16" s="8">
        <f t="shared" si="4"/>
        <v>1</v>
      </c>
      <c r="AC16" s="9">
        <f t="shared" si="5"/>
        <v>0.75</v>
      </c>
      <c r="AD16" s="10">
        <f t="shared" si="6"/>
        <v>0.75</v>
      </c>
      <c r="AE16" s="36">
        <f t="shared" si="7"/>
        <v>0.59635416666666663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210</v>
      </c>
      <c r="D17" s="52" t="s">
        <v>280</v>
      </c>
      <c r="E17" s="53" t="s">
        <v>502</v>
      </c>
      <c r="F17" s="30" t="s">
        <v>358</v>
      </c>
      <c r="G17" s="12">
        <v>3</v>
      </c>
      <c r="H17" s="13">
        <v>24</v>
      </c>
      <c r="I17" s="7">
        <v>260000</v>
      </c>
      <c r="J17" s="14">
        <v>16140</v>
      </c>
      <c r="K17" s="15">
        <f>L17+16128+16857+16941</f>
        <v>66066</v>
      </c>
      <c r="L17" s="15">
        <f>2790*3+2590*3</f>
        <v>16140</v>
      </c>
      <c r="M17" s="15">
        <f t="shared" si="0"/>
        <v>16140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0.59635416666666663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330</v>
      </c>
      <c r="F18" s="30" t="s">
        <v>144</v>
      </c>
      <c r="G18" s="33">
        <v>2</v>
      </c>
      <c r="H18" s="35">
        <v>24</v>
      </c>
      <c r="I18" s="7">
        <v>27200</v>
      </c>
      <c r="J18" s="14">
        <v>5049</v>
      </c>
      <c r="K18" s="15">
        <f>L18</f>
        <v>5049</v>
      </c>
      <c r="L18" s="15">
        <f>2008*2+1033</f>
        <v>5049</v>
      </c>
      <c r="M18" s="15">
        <f t="shared" si="0"/>
        <v>5049</v>
      </c>
      <c r="N18" s="15">
        <v>0</v>
      </c>
      <c r="O18" s="58">
        <f t="shared" si="1"/>
        <v>0</v>
      </c>
      <c r="P18" s="39">
        <f t="shared" si="2"/>
        <v>17</v>
      </c>
      <c r="Q18" s="40">
        <f t="shared" si="3"/>
        <v>7</v>
      </c>
      <c r="R18" s="7"/>
      <c r="S18" s="6">
        <v>7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0.70833333333333337</v>
      </c>
      <c r="AD18" s="10">
        <f t="shared" si="6"/>
        <v>0.70833333333333337</v>
      </c>
      <c r="AE18" s="36">
        <f t="shared" si="7"/>
        <v>0.59635416666666663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208</v>
      </c>
      <c r="E19" s="53" t="s">
        <v>512</v>
      </c>
      <c r="F19" s="30" t="s">
        <v>156</v>
      </c>
      <c r="G19" s="33">
        <v>1</v>
      </c>
      <c r="H19" s="35">
        <v>24</v>
      </c>
      <c r="I19" s="7">
        <v>39000</v>
      </c>
      <c r="J19" s="14">
        <v>3863</v>
      </c>
      <c r="K19" s="15">
        <f>L19+2260+4771+194+2851</f>
        <v>13939</v>
      </c>
      <c r="L19" s="15">
        <f>2664+1199</f>
        <v>3863</v>
      </c>
      <c r="M19" s="15">
        <f t="shared" si="0"/>
        <v>3863</v>
      </c>
      <c r="N19" s="15">
        <v>0</v>
      </c>
      <c r="O19" s="58">
        <f t="shared" si="1"/>
        <v>0</v>
      </c>
      <c r="P19" s="39">
        <f t="shared" si="2"/>
        <v>19</v>
      </c>
      <c r="Q19" s="40">
        <f t="shared" si="3"/>
        <v>5</v>
      </c>
      <c r="R19" s="7"/>
      <c r="S19" s="6">
        <v>5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6">
        <f t="shared" si="7"/>
        <v>0.59635416666666663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537</v>
      </c>
      <c r="F20" s="30" t="s">
        <v>311</v>
      </c>
      <c r="G20" s="12">
        <v>1</v>
      </c>
      <c r="H20" s="13">
        <v>24</v>
      </c>
      <c r="I20" s="7">
        <v>30000</v>
      </c>
      <c r="J20" s="14">
        <v>5105</v>
      </c>
      <c r="K20" s="15">
        <f>L20+3822+5159+4288</f>
        <v>18374</v>
      </c>
      <c r="L20" s="15">
        <f>2722+2383</f>
        <v>5105</v>
      </c>
      <c r="M20" s="15">
        <f t="shared" si="0"/>
        <v>5105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0.59635416666666663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34220</v>
      </c>
      <c r="K21" s="15">
        <f>L21+62008+65280+66156+31132+60100+67104+64940+66996+38324+18548+31820+33244+32052+33372+27132+34220</f>
        <v>732428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0.59635416666666663</v>
      </c>
      <c r="AF21" s="84">
        <f t="shared" si="8"/>
        <v>16</v>
      </c>
    </row>
    <row r="22" spans="1:32" ht="31.5" customHeight="1" thickBot="1">
      <c r="A22" s="443" t="s">
        <v>34</v>
      </c>
      <c r="B22" s="444"/>
      <c r="C22" s="444"/>
      <c r="D22" s="444"/>
      <c r="E22" s="444"/>
      <c r="F22" s="444"/>
      <c r="G22" s="444"/>
      <c r="H22" s="445"/>
      <c r="I22" s="22">
        <f t="shared" ref="I22:N22" si="9">SUM(I6:I21)</f>
        <v>1508200</v>
      </c>
      <c r="J22" s="19">
        <f t="shared" si="9"/>
        <v>124967</v>
      </c>
      <c r="K22" s="20">
        <f t="shared" si="9"/>
        <v>991040</v>
      </c>
      <c r="L22" s="21">
        <f t="shared" si="9"/>
        <v>74537</v>
      </c>
      <c r="M22" s="20">
        <f t="shared" si="9"/>
        <v>74537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229</v>
      </c>
      <c r="Q22" s="43">
        <f t="shared" si="10"/>
        <v>155</v>
      </c>
      <c r="R22" s="23">
        <f t="shared" si="10"/>
        <v>0</v>
      </c>
      <c r="S22" s="24">
        <f t="shared" si="10"/>
        <v>52</v>
      </c>
      <c r="T22" s="24">
        <f t="shared" si="10"/>
        <v>0</v>
      </c>
      <c r="U22" s="24">
        <f t="shared" si="10"/>
        <v>0</v>
      </c>
      <c r="V22" s="25">
        <f t="shared" si="10"/>
        <v>48</v>
      </c>
      <c r="W22" s="26">
        <f t="shared" si="10"/>
        <v>41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14</v>
      </c>
      <c r="AB22" s="28">
        <f>AVERAGE(AB6:AB21)</f>
        <v>0.75</v>
      </c>
      <c r="AC22" s="4">
        <f>AVERAGE(AC6:AC21)</f>
        <v>0.59635416666666663</v>
      </c>
      <c r="AD22" s="4">
        <f>AVERAGE(AD6:AD21)</f>
        <v>0.59635416666666663</v>
      </c>
      <c r="AE22" s="29"/>
    </row>
    <row r="23" spans="1:32">
      <c r="T23" s="50" t="s">
        <v>500</v>
      </c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 t="s">
        <v>511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6" t="s">
        <v>45</v>
      </c>
      <c r="B49" s="446"/>
      <c r="C49" s="446"/>
      <c r="D49" s="446"/>
      <c r="E49" s="446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7" t="s">
        <v>617</v>
      </c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9"/>
      <c r="N50" s="450" t="s">
        <v>619</v>
      </c>
      <c r="O50" s="451"/>
      <c r="P50" s="451"/>
      <c r="Q50" s="451"/>
      <c r="R50" s="451"/>
      <c r="S50" s="451"/>
      <c r="T50" s="451"/>
      <c r="U50" s="451"/>
      <c r="V50" s="451"/>
      <c r="W50" s="451"/>
      <c r="X50" s="451"/>
      <c r="Y50" s="451"/>
      <c r="Z50" s="451"/>
      <c r="AA50" s="451"/>
      <c r="AB50" s="451"/>
      <c r="AC50" s="451"/>
      <c r="AD50" s="452"/>
    </row>
    <row r="51" spans="1:32" ht="27" customHeight="1">
      <c r="A51" s="453" t="s">
        <v>2</v>
      </c>
      <c r="B51" s="454"/>
      <c r="C51" s="387" t="s">
        <v>46</v>
      </c>
      <c r="D51" s="387" t="s">
        <v>47</v>
      </c>
      <c r="E51" s="387" t="s">
        <v>107</v>
      </c>
      <c r="F51" s="455" t="s">
        <v>106</v>
      </c>
      <c r="G51" s="456"/>
      <c r="H51" s="456"/>
      <c r="I51" s="456"/>
      <c r="J51" s="456"/>
      <c r="K51" s="456"/>
      <c r="L51" s="456"/>
      <c r="M51" s="457"/>
      <c r="N51" s="67" t="s">
        <v>110</v>
      </c>
      <c r="O51" s="387" t="s">
        <v>46</v>
      </c>
      <c r="P51" s="455" t="s">
        <v>47</v>
      </c>
      <c r="Q51" s="458"/>
      <c r="R51" s="455" t="s">
        <v>38</v>
      </c>
      <c r="S51" s="456"/>
      <c r="T51" s="456"/>
      <c r="U51" s="458"/>
      <c r="V51" s="455" t="s">
        <v>48</v>
      </c>
      <c r="W51" s="456"/>
      <c r="X51" s="456"/>
      <c r="Y51" s="456"/>
      <c r="Z51" s="456"/>
      <c r="AA51" s="456"/>
      <c r="AB51" s="456"/>
      <c r="AC51" s="456"/>
      <c r="AD51" s="457"/>
    </row>
    <row r="52" spans="1:32" ht="27" customHeight="1">
      <c r="A52" s="469" t="s">
        <v>112</v>
      </c>
      <c r="B52" s="470"/>
      <c r="C52" s="389" t="s">
        <v>133</v>
      </c>
      <c r="D52" s="389" t="s">
        <v>269</v>
      </c>
      <c r="E52" s="389" t="s">
        <v>270</v>
      </c>
      <c r="F52" s="471" t="s">
        <v>132</v>
      </c>
      <c r="G52" s="472"/>
      <c r="H52" s="472"/>
      <c r="I52" s="472"/>
      <c r="J52" s="472"/>
      <c r="K52" s="472"/>
      <c r="L52" s="472"/>
      <c r="M52" s="473"/>
      <c r="N52" s="388" t="s">
        <v>118</v>
      </c>
      <c r="O52" s="395" t="s">
        <v>147</v>
      </c>
      <c r="P52" s="474" t="s">
        <v>142</v>
      </c>
      <c r="Q52" s="475"/>
      <c r="R52" s="474" t="s">
        <v>501</v>
      </c>
      <c r="S52" s="476"/>
      <c r="T52" s="476"/>
      <c r="U52" s="475"/>
      <c r="V52" s="477" t="s">
        <v>124</v>
      </c>
      <c r="W52" s="477"/>
      <c r="X52" s="477"/>
      <c r="Y52" s="477"/>
      <c r="Z52" s="477"/>
      <c r="AA52" s="477"/>
      <c r="AB52" s="477"/>
      <c r="AC52" s="477"/>
      <c r="AD52" s="478"/>
    </row>
    <row r="53" spans="1:32" ht="27" customHeight="1">
      <c r="A53" s="487" t="s">
        <v>112</v>
      </c>
      <c r="B53" s="488"/>
      <c r="C53" s="392" t="s">
        <v>198</v>
      </c>
      <c r="D53" s="392" t="s">
        <v>184</v>
      </c>
      <c r="E53" s="389" t="s">
        <v>154</v>
      </c>
      <c r="F53" s="471" t="s">
        <v>124</v>
      </c>
      <c r="G53" s="472"/>
      <c r="H53" s="472"/>
      <c r="I53" s="472"/>
      <c r="J53" s="472"/>
      <c r="K53" s="472"/>
      <c r="L53" s="472"/>
      <c r="M53" s="473"/>
      <c r="N53" s="388" t="s">
        <v>112</v>
      </c>
      <c r="O53" s="395" t="s">
        <v>191</v>
      </c>
      <c r="P53" s="474" t="s">
        <v>115</v>
      </c>
      <c r="Q53" s="475"/>
      <c r="R53" s="474" t="s">
        <v>330</v>
      </c>
      <c r="S53" s="476"/>
      <c r="T53" s="476"/>
      <c r="U53" s="475"/>
      <c r="V53" s="477" t="s">
        <v>124</v>
      </c>
      <c r="W53" s="477"/>
      <c r="X53" s="477"/>
      <c r="Y53" s="477"/>
      <c r="Z53" s="477"/>
      <c r="AA53" s="477"/>
      <c r="AB53" s="477"/>
      <c r="AC53" s="477"/>
      <c r="AD53" s="478"/>
    </row>
    <row r="54" spans="1:32" ht="27" customHeight="1">
      <c r="A54" s="487" t="s">
        <v>112</v>
      </c>
      <c r="B54" s="488"/>
      <c r="C54" s="392" t="s">
        <v>318</v>
      </c>
      <c r="D54" s="392" t="s">
        <v>208</v>
      </c>
      <c r="E54" s="389" t="s">
        <v>512</v>
      </c>
      <c r="F54" s="471" t="s">
        <v>124</v>
      </c>
      <c r="G54" s="472"/>
      <c r="H54" s="472"/>
      <c r="I54" s="472"/>
      <c r="J54" s="472"/>
      <c r="K54" s="472"/>
      <c r="L54" s="472"/>
      <c r="M54" s="473"/>
      <c r="N54" s="388" t="s">
        <v>118</v>
      </c>
      <c r="O54" s="395" t="s">
        <v>393</v>
      </c>
      <c r="P54" s="474" t="s">
        <v>184</v>
      </c>
      <c r="Q54" s="475"/>
      <c r="R54" s="474" t="s">
        <v>168</v>
      </c>
      <c r="S54" s="476"/>
      <c r="T54" s="476"/>
      <c r="U54" s="475"/>
      <c r="V54" s="477" t="s">
        <v>132</v>
      </c>
      <c r="W54" s="477"/>
      <c r="X54" s="477"/>
      <c r="Y54" s="477"/>
      <c r="Z54" s="477"/>
      <c r="AA54" s="477"/>
      <c r="AB54" s="477"/>
      <c r="AC54" s="477"/>
      <c r="AD54" s="478"/>
    </row>
    <row r="55" spans="1:32" ht="27" customHeight="1">
      <c r="A55" s="487" t="s">
        <v>210</v>
      </c>
      <c r="B55" s="488"/>
      <c r="C55" s="392" t="s">
        <v>372</v>
      </c>
      <c r="D55" s="392" t="s">
        <v>448</v>
      </c>
      <c r="E55" s="389" t="s">
        <v>447</v>
      </c>
      <c r="F55" s="471" t="s">
        <v>471</v>
      </c>
      <c r="G55" s="472"/>
      <c r="H55" s="472"/>
      <c r="I55" s="472"/>
      <c r="J55" s="472"/>
      <c r="K55" s="472"/>
      <c r="L55" s="472"/>
      <c r="M55" s="473"/>
      <c r="N55" s="388" t="s">
        <v>118</v>
      </c>
      <c r="O55" s="395" t="s">
        <v>222</v>
      </c>
      <c r="P55" s="474" t="s">
        <v>280</v>
      </c>
      <c r="Q55" s="475"/>
      <c r="R55" s="474" t="s">
        <v>620</v>
      </c>
      <c r="S55" s="476"/>
      <c r="T55" s="476"/>
      <c r="U55" s="475"/>
      <c r="V55" s="477" t="s">
        <v>132</v>
      </c>
      <c r="W55" s="477"/>
      <c r="X55" s="477"/>
      <c r="Y55" s="477"/>
      <c r="Z55" s="477"/>
      <c r="AA55" s="477"/>
      <c r="AB55" s="477"/>
      <c r="AC55" s="477"/>
      <c r="AD55" s="478"/>
    </row>
    <row r="56" spans="1:32" ht="27" customHeight="1">
      <c r="A56" s="487" t="s">
        <v>112</v>
      </c>
      <c r="B56" s="488"/>
      <c r="C56" s="392" t="s">
        <v>139</v>
      </c>
      <c r="D56" s="392" t="s">
        <v>115</v>
      </c>
      <c r="E56" s="389" t="s">
        <v>611</v>
      </c>
      <c r="F56" s="471" t="s">
        <v>132</v>
      </c>
      <c r="G56" s="472"/>
      <c r="H56" s="472"/>
      <c r="I56" s="472"/>
      <c r="J56" s="472"/>
      <c r="K56" s="472"/>
      <c r="L56" s="472"/>
      <c r="M56" s="473"/>
      <c r="N56" s="388"/>
      <c r="O56" s="395"/>
      <c r="P56" s="474"/>
      <c r="Q56" s="475"/>
      <c r="R56" s="474"/>
      <c r="S56" s="476"/>
      <c r="T56" s="476"/>
      <c r="U56" s="475"/>
      <c r="V56" s="477"/>
      <c r="W56" s="477"/>
      <c r="X56" s="477"/>
      <c r="Y56" s="477"/>
      <c r="Z56" s="477"/>
      <c r="AA56" s="477"/>
      <c r="AB56" s="477"/>
      <c r="AC56" s="477"/>
      <c r="AD56" s="478"/>
    </row>
    <row r="57" spans="1:32" ht="27" customHeight="1">
      <c r="A57" s="487" t="s">
        <v>118</v>
      </c>
      <c r="B57" s="488"/>
      <c r="C57" s="392" t="s">
        <v>222</v>
      </c>
      <c r="D57" s="392" t="s">
        <v>115</v>
      </c>
      <c r="E57" s="389" t="s">
        <v>616</v>
      </c>
      <c r="F57" s="471" t="s">
        <v>132</v>
      </c>
      <c r="G57" s="472"/>
      <c r="H57" s="472"/>
      <c r="I57" s="472"/>
      <c r="J57" s="472"/>
      <c r="K57" s="472"/>
      <c r="L57" s="472"/>
      <c r="M57" s="473"/>
      <c r="N57" s="388"/>
      <c r="O57" s="395"/>
      <c r="P57" s="474"/>
      <c r="Q57" s="475"/>
      <c r="R57" s="474"/>
      <c r="S57" s="476"/>
      <c r="T57" s="476"/>
      <c r="U57" s="475"/>
      <c r="V57" s="477"/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69" t="s">
        <v>112</v>
      </c>
      <c r="B58" s="470"/>
      <c r="C58" s="389" t="s">
        <v>191</v>
      </c>
      <c r="D58" s="389" t="s">
        <v>115</v>
      </c>
      <c r="E58" s="389" t="s">
        <v>330</v>
      </c>
      <c r="F58" s="471" t="s">
        <v>618</v>
      </c>
      <c r="G58" s="472"/>
      <c r="H58" s="472"/>
      <c r="I58" s="472"/>
      <c r="J58" s="472"/>
      <c r="K58" s="472"/>
      <c r="L58" s="472"/>
      <c r="M58" s="473"/>
      <c r="N58" s="388"/>
      <c r="O58" s="395"/>
      <c r="P58" s="474"/>
      <c r="Q58" s="475"/>
      <c r="R58" s="474"/>
      <c r="S58" s="476"/>
      <c r="T58" s="476"/>
      <c r="U58" s="475"/>
      <c r="V58" s="477"/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/>
      <c r="B59" s="488"/>
      <c r="C59" s="392"/>
      <c r="D59" s="392"/>
      <c r="E59" s="389"/>
      <c r="F59" s="471"/>
      <c r="G59" s="472"/>
      <c r="H59" s="472"/>
      <c r="I59" s="472"/>
      <c r="J59" s="472"/>
      <c r="K59" s="472"/>
      <c r="L59" s="472"/>
      <c r="M59" s="473"/>
      <c r="N59" s="388"/>
      <c r="O59" s="395"/>
      <c r="P59" s="474"/>
      <c r="Q59" s="475"/>
      <c r="R59" s="474"/>
      <c r="S59" s="476"/>
      <c r="T59" s="476"/>
      <c r="U59" s="475"/>
      <c r="V59" s="477"/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/>
      <c r="B60" s="488"/>
      <c r="C60" s="392"/>
      <c r="D60" s="392"/>
      <c r="E60" s="389"/>
      <c r="F60" s="471"/>
      <c r="G60" s="472"/>
      <c r="H60" s="472"/>
      <c r="I60" s="472"/>
      <c r="J60" s="472"/>
      <c r="K60" s="472"/>
      <c r="L60" s="472"/>
      <c r="M60" s="473"/>
      <c r="N60" s="388"/>
      <c r="O60" s="395"/>
      <c r="P60" s="470"/>
      <c r="Q60" s="470"/>
      <c r="R60" s="470"/>
      <c r="S60" s="470"/>
      <c r="T60" s="470"/>
      <c r="U60" s="470"/>
      <c r="V60" s="477"/>
      <c r="W60" s="477"/>
      <c r="X60" s="477"/>
      <c r="Y60" s="477"/>
      <c r="Z60" s="477"/>
      <c r="AA60" s="477"/>
      <c r="AB60" s="477"/>
      <c r="AC60" s="477"/>
      <c r="AD60" s="478"/>
      <c r="AF60" s="84">
        <f>8*3000</f>
        <v>24000</v>
      </c>
    </row>
    <row r="61" spans="1:32" ht="27" customHeight="1" thickBot="1">
      <c r="A61" s="479"/>
      <c r="B61" s="480"/>
      <c r="C61" s="390"/>
      <c r="D61" s="391"/>
      <c r="E61" s="390"/>
      <c r="F61" s="481"/>
      <c r="G61" s="482"/>
      <c r="H61" s="482"/>
      <c r="I61" s="482"/>
      <c r="J61" s="482"/>
      <c r="K61" s="482"/>
      <c r="L61" s="482"/>
      <c r="M61" s="483"/>
      <c r="N61" s="111"/>
      <c r="O61" s="103"/>
      <c r="P61" s="484"/>
      <c r="Q61" s="484"/>
      <c r="R61" s="484"/>
      <c r="S61" s="484"/>
      <c r="T61" s="484"/>
      <c r="U61" s="484"/>
      <c r="V61" s="485"/>
      <c r="W61" s="485"/>
      <c r="X61" s="485"/>
      <c r="Y61" s="485"/>
      <c r="Z61" s="485"/>
      <c r="AA61" s="485"/>
      <c r="AB61" s="485"/>
      <c r="AC61" s="485"/>
      <c r="AD61" s="486"/>
      <c r="AF61" s="84">
        <f>16*3000</f>
        <v>48000</v>
      </c>
    </row>
    <row r="62" spans="1:32" ht="27.75" thickBot="1">
      <c r="A62" s="489" t="s">
        <v>621</v>
      </c>
      <c r="B62" s="489"/>
      <c r="C62" s="489"/>
      <c r="D62" s="489"/>
      <c r="E62" s="48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0" t="s">
        <v>111</v>
      </c>
      <c r="B63" s="491"/>
      <c r="C63" s="393" t="s">
        <v>2</v>
      </c>
      <c r="D63" s="393" t="s">
        <v>37</v>
      </c>
      <c r="E63" s="393" t="s">
        <v>3</v>
      </c>
      <c r="F63" s="491" t="s">
        <v>109</v>
      </c>
      <c r="G63" s="491"/>
      <c r="H63" s="491"/>
      <c r="I63" s="491"/>
      <c r="J63" s="491"/>
      <c r="K63" s="491" t="s">
        <v>39</v>
      </c>
      <c r="L63" s="491"/>
      <c r="M63" s="393" t="s">
        <v>40</v>
      </c>
      <c r="N63" s="491" t="s">
        <v>41</v>
      </c>
      <c r="O63" s="491"/>
      <c r="P63" s="492" t="s">
        <v>42</v>
      </c>
      <c r="Q63" s="493"/>
      <c r="R63" s="492" t="s">
        <v>43</v>
      </c>
      <c r="S63" s="494"/>
      <c r="T63" s="494"/>
      <c r="U63" s="494"/>
      <c r="V63" s="494"/>
      <c r="W63" s="494"/>
      <c r="X63" s="494"/>
      <c r="Y63" s="494"/>
      <c r="Z63" s="494"/>
      <c r="AA63" s="493"/>
      <c r="AB63" s="491" t="s">
        <v>44</v>
      </c>
      <c r="AC63" s="491"/>
      <c r="AD63" s="495"/>
      <c r="AF63" s="84">
        <f>SUM(AF60:AF62)</f>
        <v>96000</v>
      </c>
    </row>
    <row r="64" spans="1:32" ht="25.5" customHeight="1">
      <c r="A64" s="496">
        <v>1</v>
      </c>
      <c r="B64" s="497"/>
      <c r="C64" s="104" t="s">
        <v>118</v>
      </c>
      <c r="D64" s="397"/>
      <c r="E64" s="394" t="s">
        <v>280</v>
      </c>
      <c r="F64" s="498" t="s">
        <v>588</v>
      </c>
      <c r="G64" s="499"/>
      <c r="H64" s="499"/>
      <c r="I64" s="499"/>
      <c r="J64" s="500"/>
      <c r="K64" s="501" t="s">
        <v>157</v>
      </c>
      <c r="L64" s="501"/>
      <c r="M64" s="51" t="s">
        <v>143</v>
      </c>
      <c r="N64" s="502" t="s">
        <v>133</v>
      </c>
      <c r="O64" s="502"/>
      <c r="P64" s="503">
        <v>200</v>
      </c>
      <c r="Q64" s="503"/>
      <c r="R64" s="477"/>
      <c r="S64" s="477"/>
      <c r="T64" s="477"/>
      <c r="U64" s="477"/>
      <c r="V64" s="477"/>
      <c r="W64" s="477"/>
      <c r="X64" s="477"/>
      <c r="Y64" s="477"/>
      <c r="Z64" s="477"/>
      <c r="AA64" s="477"/>
      <c r="AB64" s="501"/>
      <c r="AC64" s="501"/>
      <c r="AD64" s="504"/>
      <c r="AF64" s="50"/>
    </row>
    <row r="65" spans="1:32" ht="25.5" customHeight="1">
      <c r="A65" s="496">
        <v>2</v>
      </c>
      <c r="B65" s="497"/>
      <c r="C65" s="104" t="s">
        <v>112</v>
      </c>
      <c r="D65" s="397"/>
      <c r="E65" s="394" t="s">
        <v>242</v>
      </c>
      <c r="F65" s="498" t="s">
        <v>622</v>
      </c>
      <c r="G65" s="499"/>
      <c r="H65" s="499"/>
      <c r="I65" s="499"/>
      <c r="J65" s="500"/>
      <c r="K65" s="501" t="s">
        <v>217</v>
      </c>
      <c r="L65" s="501"/>
      <c r="M65" s="51" t="s">
        <v>236</v>
      </c>
      <c r="N65" s="502" t="s">
        <v>222</v>
      </c>
      <c r="O65" s="502"/>
      <c r="P65" s="503">
        <v>400</v>
      </c>
      <c r="Q65" s="503"/>
      <c r="R65" s="477"/>
      <c r="S65" s="477"/>
      <c r="T65" s="477"/>
      <c r="U65" s="477"/>
      <c r="V65" s="477"/>
      <c r="W65" s="477"/>
      <c r="X65" s="477"/>
      <c r="Y65" s="477"/>
      <c r="Z65" s="477"/>
      <c r="AA65" s="477"/>
      <c r="AB65" s="501"/>
      <c r="AC65" s="501"/>
      <c r="AD65" s="504"/>
      <c r="AF65" s="50"/>
    </row>
    <row r="66" spans="1:32" ht="25.5" customHeight="1">
      <c r="A66" s="496">
        <v>3</v>
      </c>
      <c r="B66" s="497"/>
      <c r="C66" s="104"/>
      <c r="D66" s="397"/>
      <c r="E66" s="394"/>
      <c r="F66" s="498"/>
      <c r="G66" s="499"/>
      <c r="H66" s="499"/>
      <c r="I66" s="499"/>
      <c r="J66" s="500"/>
      <c r="K66" s="501"/>
      <c r="L66" s="501"/>
      <c r="M66" s="51"/>
      <c r="N66" s="502"/>
      <c r="O66" s="502"/>
      <c r="P66" s="503"/>
      <c r="Q66" s="503"/>
      <c r="R66" s="477"/>
      <c r="S66" s="477"/>
      <c r="T66" s="477"/>
      <c r="U66" s="477"/>
      <c r="V66" s="477"/>
      <c r="W66" s="477"/>
      <c r="X66" s="477"/>
      <c r="Y66" s="477"/>
      <c r="Z66" s="477"/>
      <c r="AA66" s="477"/>
      <c r="AB66" s="501"/>
      <c r="AC66" s="501"/>
      <c r="AD66" s="504"/>
      <c r="AF66" s="50"/>
    </row>
    <row r="67" spans="1:32" ht="25.5" customHeight="1">
      <c r="A67" s="496">
        <v>4</v>
      </c>
      <c r="B67" s="497"/>
      <c r="C67" s="104"/>
      <c r="D67" s="397"/>
      <c r="E67" s="394"/>
      <c r="F67" s="498"/>
      <c r="G67" s="499"/>
      <c r="H67" s="499"/>
      <c r="I67" s="499"/>
      <c r="J67" s="500"/>
      <c r="K67" s="501"/>
      <c r="L67" s="501"/>
      <c r="M67" s="51"/>
      <c r="N67" s="502"/>
      <c r="O67" s="502"/>
      <c r="P67" s="503"/>
      <c r="Q67" s="503"/>
      <c r="R67" s="477"/>
      <c r="S67" s="477"/>
      <c r="T67" s="477"/>
      <c r="U67" s="477"/>
      <c r="V67" s="477"/>
      <c r="W67" s="477"/>
      <c r="X67" s="477"/>
      <c r="Y67" s="477"/>
      <c r="Z67" s="477"/>
      <c r="AA67" s="477"/>
      <c r="AB67" s="501"/>
      <c r="AC67" s="501"/>
      <c r="AD67" s="504"/>
      <c r="AF67" s="50"/>
    </row>
    <row r="68" spans="1:32" ht="25.5" customHeight="1">
      <c r="A68" s="496">
        <v>5</v>
      </c>
      <c r="B68" s="497"/>
      <c r="C68" s="104"/>
      <c r="D68" s="397"/>
      <c r="E68" s="394"/>
      <c r="F68" s="498"/>
      <c r="G68" s="499"/>
      <c r="H68" s="499"/>
      <c r="I68" s="499"/>
      <c r="J68" s="500"/>
      <c r="K68" s="501"/>
      <c r="L68" s="501"/>
      <c r="M68" s="51"/>
      <c r="N68" s="502"/>
      <c r="O68" s="502"/>
      <c r="P68" s="503"/>
      <c r="Q68" s="503"/>
      <c r="R68" s="477"/>
      <c r="S68" s="477"/>
      <c r="T68" s="477"/>
      <c r="U68" s="477"/>
      <c r="V68" s="477"/>
      <c r="W68" s="477"/>
      <c r="X68" s="477"/>
      <c r="Y68" s="477"/>
      <c r="Z68" s="477"/>
      <c r="AA68" s="477"/>
      <c r="AB68" s="501"/>
      <c r="AC68" s="501"/>
      <c r="AD68" s="504"/>
      <c r="AF68" s="50"/>
    </row>
    <row r="69" spans="1:32" ht="25.5" customHeight="1">
      <c r="A69" s="496">
        <v>6</v>
      </c>
      <c r="B69" s="497"/>
      <c r="C69" s="104"/>
      <c r="D69" s="397"/>
      <c r="E69" s="394"/>
      <c r="F69" s="498"/>
      <c r="G69" s="499"/>
      <c r="H69" s="499"/>
      <c r="I69" s="499"/>
      <c r="J69" s="500"/>
      <c r="K69" s="501"/>
      <c r="L69" s="501"/>
      <c r="M69" s="51"/>
      <c r="N69" s="502"/>
      <c r="O69" s="502"/>
      <c r="P69" s="503"/>
      <c r="Q69" s="503"/>
      <c r="R69" s="477"/>
      <c r="S69" s="477"/>
      <c r="T69" s="477"/>
      <c r="U69" s="477"/>
      <c r="V69" s="477"/>
      <c r="W69" s="477"/>
      <c r="X69" s="477"/>
      <c r="Y69" s="477"/>
      <c r="Z69" s="477"/>
      <c r="AA69" s="477"/>
      <c r="AB69" s="501"/>
      <c r="AC69" s="501"/>
      <c r="AD69" s="504"/>
      <c r="AF69" s="50"/>
    </row>
    <row r="70" spans="1:32" ht="25.5" customHeight="1">
      <c r="A70" s="496">
        <v>7</v>
      </c>
      <c r="B70" s="497"/>
      <c r="C70" s="104"/>
      <c r="D70" s="397"/>
      <c r="E70" s="394"/>
      <c r="F70" s="498"/>
      <c r="G70" s="499"/>
      <c r="H70" s="499"/>
      <c r="I70" s="499"/>
      <c r="J70" s="500"/>
      <c r="K70" s="501"/>
      <c r="L70" s="501"/>
      <c r="M70" s="51"/>
      <c r="N70" s="502"/>
      <c r="O70" s="502"/>
      <c r="P70" s="503"/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8</v>
      </c>
      <c r="B71" s="497"/>
      <c r="C71" s="104"/>
      <c r="D71" s="397"/>
      <c r="E71" s="394"/>
      <c r="F71" s="505"/>
      <c r="G71" s="501"/>
      <c r="H71" s="501"/>
      <c r="I71" s="501"/>
      <c r="J71" s="501"/>
      <c r="K71" s="501"/>
      <c r="L71" s="501"/>
      <c r="M71" s="51"/>
      <c r="N71" s="502"/>
      <c r="O71" s="502"/>
      <c r="P71" s="503"/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9</v>
      </c>
      <c r="B72" s="497"/>
      <c r="C72" s="104"/>
      <c r="D72" s="397"/>
      <c r="E72" s="394"/>
      <c r="F72" s="505"/>
      <c r="G72" s="501"/>
      <c r="H72" s="501"/>
      <c r="I72" s="501"/>
      <c r="J72" s="501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10</v>
      </c>
      <c r="B73" s="497"/>
      <c r="C73" s="104"/>
      <c r="D73" s="397"/>
      <c r="E73" s="394"/>
      <c r="F73" s="505"/>
      <c r="G73" s="501"/>
      <c r="H73" s="501"/>
      <c r="I73" s="501"/>
      <c r="J73" s="501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6.25" customHeight="1" thickBot="1">
      <c r="A74" s="506" t="s">
        <v>623</v>
      </c>
      <c r="B74" s="506"/>
      <c r="C74" s="506"/>
      <c r="D74" s="506"/>
      <c r="E74" s="50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50" t="s">
        <v>111</v>
      </c>
      <c r="B75" s="551"/>
      <c r="C75" s="396" t="s">
        <v>2</v>
      </c>
      <c r="D75" s="396" t="s">
        <v>37</v>
      </c>
      <c r="E75" s="396" t="s">
        <v>125</v>
      </c>
      <c r="F75" s="508" t="s">
        <v>38</v>
      </c>
      <c r="G75" s="508"/>
      <c r="H75" s="508"/>
      <c r="I75" s="508"/>
      <c r="J75" s="508"/>
      <c r="K75" s="509" t="s">
        <v>58</v>
      </c>
      <c r="L75" s="510"/>
      <c r="M75" s="510"/>
      <c r="N75" s="510"/>
      <c r="O75" s="510"/>
      <c r="P75" s="510"/>
      <c r="Q75" s="510"/>
      <c r="R75" s="510"/>
      <c r="S75" s="511"/>
      <c r="T75" s="508" t="s">
        <v>49</v>
      </c>
      <c r="U75" s="508"/>
      <c r="V75" s="509" t="s">
        <v>50</v>
      </c>
      <c r="W75" s="511"/>
      <c r="X75" s="510" t="s">
        <v>51</v>
      </c>
      <c r="Y75" s="510"/>
      <c r="Z75" s="510"/>
      <c r="AA75" s="510"/>
      <c r="AB75" s="510"/>
      <c r="AC75" s="510"/>
      <c r="AD75" s="512"/>
      <c r="AF75" s="50"/>
    </row>
    <row r="76" spans="1:32" ht="33.75" customHeight="1">
      <c r="A76" s="521">
        <v>1</v>
      </c>
      <c r="B76" s="522"/>
      <c r="C76" s="398"/>
      <c r="D76" s="398"/>
      <c r="E76" s="65"/>
      <c r="F76" s="523"/>
      <c r="G76" s="524"/>
      <c r="H76" s="524"/>
      <c r="I76" s="524"/>
      <c r="J76" s="525"/>
      <c r="K76" s="526"/>
      <c r="L76" s="527"/>
      <c r="M76" s="527"/>
      <c r="N76" s="527"/>
      <c r="O76" s="527"/>
      <c r="P76" s="527"/>
      <c r="Q76" s="527"/>
      <c r="R76" s="527"/>
      <c r="S76" s="528"/>
      <c r="T76" s="529"/>
      <c r="U76" s="530"/>
      <c r="V76" s="531"/>
      <c r="W76" s="531"/>
      <c r="X76" s="532"/>
      <c r="Y76" s="532"/>
      <c r="Z76" s="532"/>
      <c r="AA76" s="532"/>
      <c r="AB76" s="532"/>
      <c r="AC76" s="532"/>
      <c r="AD76" s="533"/>
      <c r="AF76" s="50"/>
    </row>
    <row r="77" spans="1:32" ht="30" customHeight="1">
      <c r="A77" s="513">
        <f>A76+1</f>
        <v>2</v>
      </c>
      <c r="B77" s="514"/>
      <c r="C77" s="397"/>
      <c r="D77" s="397"/>
      <c r="E77" s="32"/>
      <c r="F77" s="514"/>
      <c r="G77" s="514"/>
      <c r="H77" s="514"/>
      <c r="I77" s="514"/>
      <c r="J77" s="514"/>
      <c r="K77" s="515"/>
      <c r="L77" s="516"/>
      <c r="M77" s="516"/>
      <c r="N77" s="516"/>
      <c r="O77" s="516"/>
      <c r="P77" s="516"/>
      <c r="Q77" s="516"/>
      <c r="R77" s="516"/>
      <c r="S77" s="517"/>
      <c r="T77" s="518"/>
      <c r="U77" s="518"/>
      <c r="V77" s="518"/>
      <c r="W77" s="518"/>
      <c r="X77" s="519"/>
      <c r="Y77" s="519"/>
      <c r="Z77" s="519"/>
      <c r="AA77" s="519"/>
      <c r="AB77" s="519"/>
      <c r="AC77" s="519"/>
      <c r="AD77" s="520"/>
      <c r="AF77" s="50"/>
    </row>
    <row r="78" spans="1:32" ht="30" customHeight="1">
      <c r="A78" s="513">
        <f t="shared" ref="A78:A82" si="11">A77+1</f>
        <v>3</v>
      </c>
      <c r="B78" s="514"/>
      <c r="C78" s="397"/>
      <c r="D78" s="397"/>
      <c r="E78" s="32"/>
      <c r="F78" s="514"/>
      <c r="G78" s="514"/>
      <c r="H78" s="514"/>
      <c r="I78" s="514"/>
      <c r="J78" s="514"/>
      <c r="K78" s="515"/>
      <c r="L78" s="516"/>
      <c r="M78" s="516"/>
      <c r="N78" s="516"/>
      <c r="O78" s="516"/>
      <c r="P78" s="516"/>
      <c r="Q78" s="516"/>
      <c r="R78" s="516"/>
      <c r="S78" s="517"/>
      <c r="T78" s="518"/>
      <c r="U78" s="518"/>
      <c r="V78" s="518"/>
      <c r="W78" s="518"/>
      <c r="X78" s="519"/>
      <c r="Y78" s="519"/>
      <c r="Z78" s="519"/>
      <c r="AA78" s="519"/>
      <c r="AB78" s="519"/>
      <c r="AC78" s="519"/>
      <c r="AD78" s="520"/>
      <c r="AF78" s="50"/>
    </row>
    <row r="79" spans="1:32" ht="30" customHeight="1">
      <c r="A79" s="513">
        <f t="shared" si="11"/>
        <v>4</v>
      </c>
      <c r="B79" s="514"/>
      <c r="C79" s="397"/>
      <c r="D79" s="397"/>
      <c r="E79" s="32"/>
      <c r="F79" s="514"/>
      <c r="G79" s="514"/>
      <c r="H79" s="514"/>
      <c r="I79" s="514"/>
      <c r="J79" s="514"/>
      <c r="K79" s="515"/>
      <c r="L79" s="516"/>
      <c r="M79" s="516"/>
      <c r="N79" s="516"/>
      <c r="O79" s="516"/>
      <c r="P79" s="516"/>
      <c r="Q79" s="516"/>
      <c r="R79" s="516"/>
      <c r="S79" s="517"/>
      <c r="T79" s="518"/>
      <c r="U79" s="518"/>
      <c r="V79" s="518"/>
      <c r="W79" s="518"/>
      <c r="X79" s="519"/>
      <c r="Y79" s="519"/>
      <c r="Z79" s="519"/>
      <c r="AA79" s="519"/>
      <c r="AB79" s="519"/>
      <c r="AC79" s="519"/>
      <c r="AD79" s="520"/>
      <c r="AF79" s="50"/>
    </row>
    <row r="80" spans="1:32" ht="30" customHeight="1">
      <c r="A80" s="513">
        <f t="shared" si="11"/>
        <v>5</v>
      </c>
      <c r="B80" s="514"/>
      <c r="C80" s="397"/>
      <c r="D80" s="397"/>
      <c r="E80" s="32"/>
      <c r="F80" s="514"/>
      <c r="G80" s="514"/>
      <c r="H80" s="514"/>
      <c r="I80" s="514"/>
      <c r="J80" s="514"/>
      <c r="K80" s="515"/>
      <c r="L80" s="516"/>
      <c r="M80" s="516"/>
      <c r="N80" s="516"/>
      <c r="O80" s="516"/>
      <c r="P80" s="516"/>
      <c r="Q80" s="516"/>
      <c r="R80" s="516"/>
      <c r="S80" s="517"/>
      <c r="T80" s="518"/>
      <c r="U80" s="518"/>
      <c r="V80" s="518"/>
      <c r="W80" s="518"/>
      <c r="X80" s="519"/>
      <c r="Y80" s="519"/>
      <c r="Z80" s="519"/>
      <c r="AA80" s="519"/>
      <c r="AB80" s="519"/>
      <c r="AC80" s="519"/>
      <c r="AD80" s="520"/>
      <c r="AF80" s="50"/>
    </row>
    <row r="81" spans="1:32" ht="30" customHeight="1">
      <c r="A81" s="513">
        <f t="shared" si="11"/>
        <v>6</v>
      </c>
      <c r="B81" s="514"/>
      <c r="C81" s="397"/>
      <c r="D81" s="397"/>
      <c r="E81" s="32"/>
      <c r="F81" s="514"/>
      <c r="G81" s="514"/>
      <c r="H81" s="514"/>
      <c r="I81" s="514"/>
      <c r="J81" s="514"/>
      <c r="K81" s="515"/>
      <c r="L81" s="516"/>
      <c r="M81" s="516"/>
      <c r="N81" s="516"/>
      <c r="O81" s="516"/>
      <c r="P81" s="516"/>
      <c r="Q81" s="516"/>
      <c r="R81" s="516"/>
      <c r="S81" s="517"/>
      <c r="T81" s="518"/>
      <c r="U81" s="518"/>
      <c r="V81" s="518"/>
      <c r="W81" s="518"/>
      <c r="X81" s="519"/>
      <c r="Y81" s="519"/>
      <c r="Z81" s="519"/>
      <c r="AA81" s="519"/>
      <c r="AB81" s="519"/>
      <c r="AC81" s="519"/>
      <c r="AD81" s="520"/>
      <c r="AF81" s="50"/>
    </row>
    <row r="82" spans="1:32" ht="30" customHeight="1">
      <c r="A82" s="513">
        <f t="shared" si="11"/>
        <v>7</v>
      </c>
      <c r="B82" s="514"/>
      <c r="C82" s="397"/>
      <c r="D82" s="397"/>
      <c r="E82" s="32"/>
      <c r="F82" s="514"/>
      <c r="G82" s="514"/>
      <c r="H82" s="514"/>
      <c r="I82" s="514"/>
      <c r="J82" s="514"/>
      <c r="K82" s="515"/>
      <c r="L82" s="516"/>
      <c r="M82" s="516"/>
      <c r="N82" s="516"/>
      <c r="O82" s="516"/>
      <c r="P82" s="516"/>
      <c r="Q82" s="516"/>
      <c r="R82" s="516"/>
      <c r="S82" s="517"/>
      <c r="T82" s="518"/>
      <c r="U82" s="518"/>
      <c r="V82" s="518"/>
      <c r="W82" s="518"/>
      <c r="X82" s="519"/>
      <c r="Y82" s="519"/>
      <c r="Z82" s="519"/>
      <c r="AA82" s="519"/>
      <c r="AB82" s="519"/>
      <c r="AC82" s="519"/>
      <c r="AD82" s="520"/>
      <c r="AF82" s="50"/>
    </row>
    <row r="83" spans="1:32" ht="36" thickBot="1">
      <c r="A83" s="506" t="s">
        <v>624</v>
      </c>
      <c r="B83" s="506"/>
      <c r="C83" s="506"/>
      <c r="D83" s="506"/>
      <c r="E83" s="50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7" t="s">
        <v>111</v>
      </c>
      <c r="B84" s="508"/>
      <c r="C84" s="534" t="s">
        <v>52</v>
      </c>
      <c r="D84" s="534"/>
      <c r="E84" s="534" t="s">
        <v>53</v>
      </c>
      <c r="F84" s="534"/>
      <c r="G84" s="534"/>
      <c r="H84" s="534"/>
      <c r="I84" s="534"/>
      <c r="J84" s="534"/>
      <c r="K84" s="534" t="s">
        <v>54</v>
      </c>
      <c r="L84" s="534"/>
      <c r="M84" s="534"/>
      <c r="N84" s="534"/>
      <c r="O84" s="534"/>
      <c r="P84" s="534"/>
      <c r="Q84" s="534"/>
      <c r="R84" s="534"/>
      <c r="S84" s="534"/>
      <c r="T84" s="534" t="s">
        <v>55</v>
      </c>
      <c r="U84" s="534"/>
      <c r="V84" s="534" t="s">
        <v>56</v>
      </c>
      <c r="W84" s="534"/>
      <c r="X84" s="534"/>
      <c r="Y84" s="534" t="s">
        <v>51</v>
      </c>
      <c r="Z84" s="534"/>
      <c r="AA84" s="534"/>
      <c r="AB84" s="534"/>
      <c r="AC84" s="534"/>
      <c r="AD84" s="535"/>
      <c r="AF84" s="50"/>
    </row>
    <row r="85" spans="1:32" ht="30.75" customHeight="1">
      <c r="A85" s="521">
        <v>1</v>
      </c>
      <c r="B85" s="522"/>
      <c r="C85" s="536">
        <v>9</v>
      </c>
      <c r="D85" s="536"/>
      <c r="E85" s="536" t="s">
        <v>136</v>
      </c>
      <c r="F85" s="536"/>
      <c r="G85" s="536"/>
      <c r="H85" s="536"/>
      <c r="I85" s="536"/>
      <c r="J85" s="536"/>
      <c r="K85" s="536" t="s">
        <v>161</v>
      </c>
      <c r="L85" s="536"/>
      <c r="M85" s="536"/>
      <c r="N85" s="536"/>
      <c r="O85" s="536"/>
      <c r="P85" s="536"/>
      <c r="Q85" s="536"/>
      <c r="R85" s="536"/>
      <c r="S85" s="536"/>
      <c r="T85" s="536" t="s">
        <v>137</v>
      </c>
      <c r="U85" s="536"/>
      <c r="V85" s="537" t="s">
        <v>152</v>
      </c>
      <c r="W85" s="537"/>
      <c r="X85" s="537"/>
      <c r="Y85" s="538"/>
      <c r="Z85" s="538"/>
      <c r="AA85" s="538"/>
      <c r="AB85" s="538"/>
      <c r="AC85" s="538"/>
      <c r="AD85" s="539"/>
      <c r="AF85" s="50"/>
    </row>
    <row r="86" spans="1:32" ht="30.75" customHeight="1">
      <c r="A86" s="513">
        <v>2</v>
      </c>
      <c r="B86" s="514"/>
      <c r="C86" s="547"/>
      <c r="D86" s="547"/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  <c r="P86" s="547"/>
      <c r="Q86" s="547"/>
      <c r="R86" s="547"/>
      <c r="S86" s="547"/>
      <c r="T86" s="548"/>
      <c r="U86" s="548"/>
      <c r="V86" s="549"/>
      <c r="W86" s="549"/>
      <c r="X86" s="549"/>
      <c r="Y86" s="540"/>
      <c r="Z86" s="540"/>
      <c r="AA86" s="540"/>
      <c r="AB86" s="540"/>
      <c r="AC86" s="540"/>
      <c r="AD86" s="541"/>
      <c r="AF86" s="50"/>
    </row>
    <row r="87" spans="1:32" ht="30.75" customHeight="1" thickBot="1">
      <c r="A87" s="542">
        <v>3</v>
      </c>
      <c r="B87" s="543"/>
      <c r="C87" s="544"/>
      <c r="D87" s="544"/>
      <c r="E87" s="544"/>
      <c r="F87" s="544"/>
      <c r="G87" s="544"/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5"/>
      <c r="Z87" s="545"/>
      <c r="AA87" s="545"/>
      <c r="AB87" s="545"/>
      <c r="AC87" s="545"/>
      <c r="AD87" s="546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062B-71B6-449C-ADEF-505D89B0FDA7}"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625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411" t="s">
        <v>17</v>
      </c>
      <c r="L5" s="411" t="s">
        <v>18</v>
      </c>
      <c r="M5" s="411" t="s">
        <v>19</v>
      </c>
      <c r="N5" s="41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118</v>
      </c>
      <c r="D6" s="52" t="s">
        <v>142</v>
      </c>
      <c r="E6" s="53" t="s">
        <v>501</v>
      </c>
      <c r="F6" s="30" t="s">
        <v>232</v>
      </c>
      <c r="G6" s="12">
        <v>2</v>
      </c>
      <c r="H6" s="13">
        <v>24</v>
      </c>
      <c r="I6" s="31">
        <v>174000</v>
      </c>
      <c r="J6" s="14">
        <v>2384</v>
      </c>
      <c r="K6" s="15">
        <f>L6</f>
        <v>2384</v>
      </c>
      <c r="L6" s="15">
        <v>2384</v>
      </c>
      <c r="M6" s="15">
        <f t="shared" ref="M6:M27" si="0">L6-N6</f>
        <v>2384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11</v>
      </c>
      <c r="Q6" s="40">
        <f t="shared" ref="Q6:Q27" si="3">SUM(R6:AA6)</f>
        <v>13</v>
      </c>
      <c r="R6" s="7"/>
      <c r="S6" s="6">
        <v>13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0.45833333333333331</v>
      </c>
      <c r="AD6" s="10">
        <f t="shared" ref="AD6:AD27" si="6">AC6*AB6*(1-O6)</f>
        <v>0.45833333333333331</v>
      </c>
      <c r="AE6" s="36">
        <f t="shared" ref="AE6:AE20" si="7">$AD$28</f>
        <v>0.60416666666666652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269</v>
      </c>
      <c r="E7" s="53" t="s">
        <v>270</v>
      </c>
      <c r="F7" s="30" t="s">
        <v>249</v>
      </c>
      <c r="G7" s="12">
        <v>1</v>
      </c>
      <c r="H7" s="13">
        <v>24</v>
      </c>
      <c r="I7" s="31">
        <v>18000</v>
      </c>
      <c r="J7" s="14">
        <v>6290</v>
      </c>
      <c r="K7" s="15">
        <f>L7+3479</f>
        <v>9769</v>
      </c>
      <c r="L7" s="15">
        <f>3240+310+2740</f>
        <v>6290</v>
      </c>
      <c r="M7" s="15">
        <f t="shared" si="0"/>
        <v>6290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0.60416666666666652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142</v>
      </c>
      <c r="E8" s="53" t="s">
        <v>626</v>
      </c>
      <c r="F8" s="30" t="s">
        <v>156</v>
      </c>
      <c r="G8" s="12">
        <v>1</v>
      </c>
      <c r="H8" s="13">
        <v>24</v>
      </c>
      <c r="I8" s="7">
        <v>2500</v>
      </c>
      <c r="J8" s="5">
        <v>3163</v>
      </c>
      <c r="K8" s="15">
        <f>L8</f>
        <v>3163</v>
      </c>
      <c r="L8" s="15">
        <f>1037+2126</f>
        <v>3163</v>
      </c>
      <c r="M8" s="15">
        <f t="shared" si="0"/>
        <v>3163</v>
      </c>
      <c r="N8" s="15">
        <v>0</v>
      </c>
      <c r="O8" s="58">
        <f t="shared" si="1"/>
        <v>0</v>
      </c>
      <c r="P8" s="39">
        <f t="shared" si="2"/>
        <v>20</v>
      </c>
      <c r="Q8" s="40">
        <f t="shared" si="3"/>
        <v>4</v>
      </c>
      <c r="R8" s="7"/>
      <c r="S8" s="6"/>
      <c r="T8" s="16"/>
      <c r="U8" s="16">
        <v>4</v>
      </c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0.83333333333333337</v>
      </c>
      <c r="AD8" s="10">
        <f t="shared" si="6"/>
        <v>0.83333333333333337</v>
      </c>
      <c r="AE8" s="36">
        <f t="shared" si="7"/>
        <v>0.60416666666666652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280</v>
      </c>
      <c r="E9" s="53" t="s">
        <v>498</v>
      </c>
      <c r="F9" s="30" t="s">
        <v>404</v>
      </c>
      <c r="G9" s="12">
        <v>1</v>
      </c>
      <c r="H9" s="13">
        <v>24</v>
      </c>
      <c r="I9" s="7">
        <v>30000</v>
      </c>
      <c r="J9" s="14">
        <v>4251</v>
      </c>
      <c r="K9" s="15">
        <f>L9+3787+4146+4858+5011+4848</f>
        <v>26901</v>
      </c>
      <c r="L9" s="15">
        <f>1875+2376</f>
        <v>4251</v>
      </c>
      <c r="M9" s="15">
        <f t="shared" si="0"/>
        <v>4251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0.60416666666666652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131</v>
      </c>
      <c r="E10" s="53" t="s">
        <v>168</v>
      </c>
      <c r="F10" s="30" t="s">
        <v>144</v>
      </c>
      <c r="G10" s="33">
        <v>1</v>
      </c>
      <c r="H10" s="35">
        <v>24</v>
      </c>
      <c r="I10" s="7">
        <v>27000</v>
      </c>
      <c r="J10" s="14">
        <v>6380</v>
      </c>
      <c r="K10" s="15">
        <f>L10</f>
        <v>6380</v>
      </c>
      <c r="L10" s="15">
        <f>3058+3322</f>
        <v>6380</v>
      </c>
      <c r="M10" s="15">
        <f t="shared" si="0"/>
        <v>6380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0.60416666666666652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210</v>
      </c>
      <c r="D11" s="52" t="s">
        <v>448</v>
      </c>
      <c r="E11" s="53" t="s">
        <v>447</v>
      </c>
      <c r="F11" s="30" t="s">
        <v>213</v>
      </c>
      <c r="G11" s="33">
        <v>1</v>
      </c>
      <c r="H11" s="35">
        <v>24</v>
      </c>
      <c r="I11" s="7">
        <v>7000</v>
      </c>
      <c r="J11" s="14">
        <v>1412</v>
      </c>
      <c r="K11" s="15">
        <f>L11+1004+974+4619+1412</f>
        <v>8009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0.60416666666666652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394</v>
      </c>
      <c r="F12" s="30" t="s">
        <v>128</v>
      </c>
      <c r="G12" s="12">
        <v>1</v>
      </c>
      <c r="H12" s="13">
        <v>22</v>
      </c>
      <c r="I12" s="31">
        <v>10000</v>
      </c>
      <c r="J12" s="5">
        <v>2804</v>
      </c>
      <c r="K12" s="15">
        <f>L12+1899+2447+3467+2804</f>
        <v>10617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0.60416666666666652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131</v>
      </c>
      <c r="E13" s="53" t="s">
        <v>154</v>
      </c>
      <c r="F13" s="30" t="s">
        <v>144</v>
      </c>
      <c r="G13" s="33">
        <v>2</v>
      </c>
      <c r="H13" s="35">
        <v>24</v>
      </c>
      <c r="I13" s="7">
        <v>28000</v>
      </c>
      <c r="J13" s="14">
        <v>11656</v>
      </c>
      <c r="K13" s="15">
        <f>L13+2474+11118</f>
        <v>25248</v>
      </c>
      <c r="L13" s="15">
        <f>2965*2+2863*2</f>
        <v>11656</v>
      </c>
      <c r="M13" s="15">
        <f t="shared" si="0"/>
        <v>11656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0.60416666666666652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491</v>
      </c>
      <c r="F14" s="30" t="s">
        <v>286</v>
      </c>
      <c r="G14" s="33">
        <v>1</v>
      </c>
      <c r="H14" s="35">
        <v>50</v>
      </c>
      <c r="I14" s="7">
        <v>2500</v>
      </c>
      <c r="J14" s="5">
        <v>1050</v>
      </c>
      <c r="K14" s="15">
        <f>L14+893+982+1050</f>
        <v>2925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>
        <v>24</v>
      </c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0.60416666666666652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0.60416666666666652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280</v>
      </c>
      <c r="E16" s="53" t="s">
        <v>620</v>
      </c>
      <c r="F16" s="30" t="s">
        <v>217</v>
      </c>
      <c r="G16" s="12">
        <v>1</v>
      </c>
      <c r="H16" s="13">
        <v>24</v>
      </c>
      <c r="I16" s="7">
        <v>90000</v>
      </c>
      <c r="J16" s="14">
        <v>5223</v>
      </c>
      <c r="K16" s="15">
        <f>L16</f>
        <v>5223</v>
      </c>
      <c r="L16" s="15">
        <f>2488+2735</f>
        <v>5223</v>
      </c>
      <c r="M16" s="15">
        <f t="shared" si="0"/>
        <v>5223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0.60416666666666652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210</v>
      </c>
      <c r="D17" s="52" t="s">
        <v>280</v>
      </c>
      <c r="E17" s="53" t="s">
        <v>502</v>
      </c>
      <c r="F17" s="30" t="s">
        <v>358</v>
      </c>
      <c r="G17" s="12">
        <v>3</v>
      </c>
      <c r="H17" s="13">
        <v>24</v>
      </c>
      <c r="I17" s="7">
        <v>260000</v>
      </c>
      <c r="J17" s="14">
        <v>15960</v>
      </c>
      <c r="K17" s="15">
        <f>L17+16128+16857+16941+16140</f>
        <v>82026</v>
      </c>
      <c r="L17" s="15">
        <f>2856*3+2464*3</f>
        <v>15960</v>
      </c>
      <c r="M17" s="15">
        <f t="shared" si="0"/>
        <v>15960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0.60416666666666652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330</v>
      </c>
      <c r="F18" s="30" t="s">
        <v>144</v>
      </c>
      <c r="G18" s="33">
        <v>2</v>
      </c>
      <c r="H18" s="35">
        <v>24</v>
      </c>
      <c r="I18" s="7">
        <v>27200</v>
      </c>
      <c r="J18" s="14">
        <v>2711</v>
      </c>
      <c r="K18" s="15">
        <f>L18+5049</f>
        <v>7760</v>
      </c>
      <c r="L18" s="15">
        <f>2355+356</f>
        <v>2711</v>
      </c>
      <c r="M18" s="15">
        <f t="shared" si="0"/>
        <v>2711</v>
      </c>
      <c r="N18" s="15">
        <v>0</v>
      </c>
      <c r="O18" s="58">
        <f t="shared" si="1"/>
        <v>0</v>
      </c>
      <c r="P18" s="39">
        <f t="shared" si="2"/>
        <v>12</v>
      </c>
      <c r="Q18" s="40">
        <f t="shared" si="3"/>
        <v>12</v>
      </c>
      <c r="R18" s="7"/>
      <c r="S18" s="6">
        <v>12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0.5</v>
      </c>
      <c r="AD18" s="10">
        <f t="shared" si="6"/>
        <v>0.5</v>
      </c>
      <c r="AE18" s="36">
        <f t="shared" si="7"/>
        <v>0.60416666666666652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208</v>
      </c>
      <c r="E19" s="53" t="s">
        <v>512</v>
      </c>
      <c r="F19" s="30" t="s">
        <v>156</v>
      </c>
      <c r="G19" s="33">
        <v>1</v>
      </c>
      <c r="H19" s="35">
        <v>24</v>
      </c>
      <c r="I19" s="7">
        <v>39000</v>
      </c>
      <c r="J19" s="14">
        <v>3917</v>
      </c>
      <c r="K19" s="15">
        <f>L19+2260+4771+194+2851+3863</f>
        <v>17856</v>
      </c>
      <c r="L19" s="15">
        <f>1475+2442</f>
        <v>3917</v>
      </c>
      <c r="M19" s="15">
        <f t="shared" si="0"/>
        <v>3917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6">
        <f t="shared" si="7"/>
        <v>0.60416666666666652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537</v>
      </c>
      <c r="F20" s="30" t="s">
        <v>311</v>
      </c>
      <c r="G20" s="12">
        <v>1</v>
      </c>
      <c r="H20" s="13">
        <v>24</v>
      </c>
      <c r="I20" s="7">
        <v>30000</v>
      </c>
      <c r="J20" s="14">
        <v>4943</v>
      </c>
      <c r="K20" s="15">
        <f>L20+3822+5159+4288+5105</f>
        <v>23317</v>
      </c>
      <c r="L20" s="15">
        <f>2544+2399</f>
        <v>4943</v>
      </c>
      <c r="M20" s="15">
        <f t="shared" si="0"/>
        <v>4943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0.60416666666666652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34220</v>
      </c>
      <c r="K21" s="15">
        <f t="shared" ref="K21" si="9">L21+62008+65280+66156+31132+60100+67104+64940+66996+38324+18548+31820+33244+32052+33372+27132+34220</f>
        <v>732428</v>
      </c>
      <c r="L21" s="15"/>
      <c r="M21" s="15">
        <f t="shared" ref="M21:M26" si="10">L21-N21</f>
        <v>0</v>
      </c>
      <c r="N21" s="15">
        <v>0</v>
      </c>
      <c r="O21" s="58" t="str">
        <f t="shared" ref="O21:O26" si="11">IF(L21=0,"0",N21/L21)</f>
        <v>0</v>
      </c>
      <c r="P21" s="39" t="str">
        <f t="shared" ref="P21:P26" si="12">IF(L21=0,"0",(24-Q21))</f>
        <v>0</v>
      </c>
      <c r="Q21" s="40">
        <f t="shared" ref="Q21:Q26" si="13">SUM(R21:AA21)</f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ref="AB21:AB26" si="14">IF(J21=0,"0",(L21/J21))</f>
        <v>0</v>
      </c>
      <c r="AC21" s="9">
        <f t="shared" ref="AC21:AC26" si="15">IF(P21=0,"0",(P21/24))</f>
        <v>0</v>
      </c>
      <c r="AD21" s="10">
        <f t="shared" ref="AD21:AD26" si="16">AC21*AB21*(1-O21)</f>
        <v>0</v>
      </c>
      <c r="AE21" s="36">
        <f t="shared" ref="AE21:AE26" si="17">$AD$28</f>
        <v>0.60416666666666652</v>
      </c>
      <c r="AF21" s="84">
        <f t="shared" ref="AF21:AF26" si="18">A21</f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34220</v>
      </c>
      <c r="K22" s="15">
        <f>L22</f>
        <v>0</v>
      </c>
      <c r="L22" s="15"/>
      <c r="M22" s="15">
        <f t="shared" si="10"/>
        <v>0</v>
      </c>
      <c r="N22" s="15">
        <v>0</v>
      </c>
      <c r="O22" s="58" t="str">
        <f t="shared" si="11"/>
        <v>0</v>
      </c>
      <c r="P22" s="39" t="str">
        <f t="shared" si="12"/>
        <v>0</v>
      </c>
      <c r="Q22" s="40">
        <f t="shared" si="1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14"/>
        <v>0</v>
      </c>
      <c r="AC22" s="9">
        <f t="shared" si="15"/>
        <v>0</v>
      </c>
      <c r="AD22" s="10">
        <f t="shared" si="16"/>
        <v>0</v>
      </c>
      <c r="AE22" s="36">
        <f t="shared" si="17"/>
        <v>0.60416666666666652</v>
      </c>
      <c r="AF22" s="84">
        <f t="shared" si="1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34220</v>
      </c>
      <c r="K23" s="15">
        <f>L23</f>
        <v>0</v>
      </c>
      <c r="L23" s="15"/>
      <c r="M23" s="15">
        <f t="shared" si="10"/>
        <v>0</v>
      </c>
      <c r="N23" s="15">
        <v>0</v>
      </c>
      <c r="O23" s="58" t="str">
        <f t="shared" si="11"/>
        <v>0</v>
      </c>
      <c r="P23" s="39" t="str">
        <f t="shared" si="12"/>
        <v>0</v>
      </c>
      <c r="Q23" s="40">
        <f t="shared" si="1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>
        <f t="shared" si="14"/>
        <v>0</v>
      </c>
      <c r="AC23" s="9">
        <f t="shared" si="15"/>
        <v>0</v>
      </c>
      <c r="AD23" s="10">
        <f t="shared" si="16"/>
        <v>0</v>
      </c>
      <c r="AE23" s="36">
        <f t="shared" si="17"/>
        <v>0.60416666666666652</v>
      </c>
      <c r="AF23" s="84">
        <f t="shared" si="18"/>
        <v>32</v>
      </c>
    </row>
    <row r="24" spans="1:32" ht="27" customHeight="1">
      <c r="A24" s="96">
        <v>33</v>
      </c>
      <c r="B24" s="11" t="s">
        <v>57</v>
      </c>
      <c r="C24" s="11" t="s">
        <v>118</v>
      </c>
      <c r="D24" s="52" t="s">
        <v>289</v>
      </c>
      <c r="E24" s="53" t="s">
        <v>627</v>
      </c>
      <c r="F24" s="12" t="s">
        <v>156</v>
      </c>
      <c r="G24" s="12">
        <v>4</v>
      </c>
      <c r="H24" s="35">
        <v>20</v>
      </c>
      <c r="I24" s="7">
        <v>240000</v>
      </c>
      <c r="J24" s="14">
        <v>27572</v>
      </c>
      <c r="K24" s="15">
        <f>L24</f>
        <v>27572</v>
      </c>
      <c r="L24" s="15">
        <f>3259*4+3634*4</f>
        <v>27572</v>
      </c>
      <c r="M24" s="15">
        <f t="shared" si="10"/>
        <v>27572</v>
      </c>
      <c r="N24" s="15">
        <v>0</v>
      </c>
      <c r="O24" s="58">
        <f t="shared" si="11"/>
        <v>0</v>
      </c>
      <c r="P24" s="39">
        <f t="shared" si="12"/>
        <v>22</v>
      </c>
      <c r="Q24" s="40">
        <f t="shared" si="13"/>
        <v>2</v>
      </c>
      <c r="R24" s="7"/>
      <c r="S24" s="6"/>
      <c r="T24" s="16">
        <v>2</v>
      </c>
      <c r="U24" s="16"/>
      <c r="V24" s="17"/>
      <c r="W24" s="5"/>
      <c r="X24" s="16"/>
      <c r="Y24" s="16"/>
      <c r="Z24" s="16"/>
      <c r="AA24" s="18"/>
      <c r="AB24" s="8">
        <f t="shared" si="14"/>
        <v>1</v>
      </c>
      <c r="AC24" s="9">
        <f t="shared" si="15"/>
        <v>0.91666666666666663</v>
      </c>
      <c r="AD24" s="10">
        <f t="shared" si="16"/>
        <v>0.91666666666666663</v>
      </c>
      <c r="AE24" s="36">
        <f t="shared" si="17"/>
        <v>0.60416666666666652</v>
      </c>
      <c r="AF24" s="84">
        <f t="shared" si="18"/>
        <v>33</v>
      </c>
    </row>
    <row r="25" spans="1:32" ht="27" customHeight="1">
      <c r="A25" s="96">
        <v>34</v>
      </c>
      <c r="B25" s="11" t="s">
        <v>57</v>
      </c>
      <c r="C25" s="11" t="s">
        <v>118</v>
      </c>
      <c r="D25" s="52" t="s">
        <v>280</v>
      </c>
      <c r="E25" s="53" t="s">
        <v>628</v>
      </c>
      <c r="F25" s="12" t="s">
        <v>157</v>
      </c>
      <c r="G25" s="12">
        <v>4</v>
      </c>
      <c r="H25" s="35">
        <v>20</v>
      </c>
      <c r="I25" s="7">
        <v>240000</v>
      </c>
      <c r="J25" s="14">
        <v>24768</v>
      </c>
      <c r="K25" s="15">
        <f t="shared" ref="K25:K27" si="19">L25</f>
        <v>24768</v>
      </c>
      <c r="L25" s="15">
        <f>2983*4+3209*4</f>
        <v>24768</v>
      </c>
      <c r="M25" s="15">
        <f t="shared" si="10"/>
        <v>24768</v>
      </c>
      <c r="N25" s="15">
        <v>0</v>
      </c>
      <c r="O25" s="58">
        <f t="shared" si="11"/>
        <v>0</v>
      </c>
      <c r="P25" s="39">
        <f t="shared" si="12"/>
        <v>22</v>
      </c>
      <c r="Q25" s="40">
        <f t="shared" si="13"/>
        <v>2</v>
      </c>
      <c r="R25" s="7"/>
      <c r="S25" s="6"/>
      <c r="T25" s="16">
        <v>2</v>
      </c>
      <c r="U25" s="16"/>
      <c r="V25" s="17"/>
      <c r="W25" s="5"/>
      <c r="X25" s="16"/>
      <c r="Y25" s="16"/>
      <c r="Z25" s="16"/>
      <c r="AA25" s="18"/>
      <c r="AB25" s="8">
        <f t="shared" si="14"/>
        <v>1</v>
      </c>
      <c r="AC25" s="9">
        <f t="shared" si="15"/>
        <v>0.91666666666666663</v>
      </c>
      <c r="AD25" s="10">
        <f t="shared" si="16"/>
        <v>0.91666666666666663</v>
      </c>
      <c r="AE25" s="36">
        <f t="shared" si="17"/>
        <v>0.60416666666666652</v>
      </c>
      <c r="AF25" s="84">
        <f t="shared" si="18"/>
        <v>34</v>
      </c>
    </row>
    <row r="26" spans="1:32" ht="27" customHeight="1">
      <c r="A26" s="96">
        <v>35</v>
      </c>
      <c r="B26" s="11" t="s">
        <v>57</v>
      </c>
      <c r="C26" s="11" t="s">
        <v>118</v>
      </c>
      <c r="D26" s="52" t="s">
        <v>129</v>
      </c>
      <c r="E26" s="53" t="s">
        <v>167</v>
      </c>
      <c r="F26" s="12" t="s">
        <v>157</v>
      </c>
      <c r="G26" s="12">
        <v>4</v>
      </c>
      <c r="H26" s="35">
        <v>20</v>
      </c>
      <c r="I26" s="7">
        <v>240000</v>
      </c>
      <c r="J26" s="14">
        <v>25004</v>
      </c>
      <c r="K26" s="15">
        <f t="shared" si="19"/>
        <v>25004</v>
      </c>
      <c r="L26" s="15">
        <f>3014*4+3237*4</f>
        <v>25004</v>
      </c>
      <c r="M26" s="15">
        <f t="shared" si="10"/>
        <v>25004</v>
      </c>
      <c r="N26" s="15">
        <v>0</v>
      </c>
      <c r="O26" s="58">
        <f t="shared" si="11"/>
        <v>0</v>
      </c>
      <c r="P26" s="39">
        <f t="shared" si="12"/>
        <v>22</v>
      </c>
      <c r="Q26" s="40">
        <f t="shared" si="13"/>
        <v>2</v>
      </c>
      <c r="R26" s="7"/>
      <c r="S26" s="6"/>
      <c r="T26" s="16">
        <v>2</v>
      </c>
      <c r="U26" s="16"/>
      <c r="V26" s="17"/>
      <c r="W26" s="5"/>
      <c r="X26" s="16"/>
      <c r="Y26" s="16"/>
      <c r="Z26" s="16"/>
      <c r="AA26" s="18"/>
      <c r="AB26" s="8">
        <f t="shared" si="14"/>
        <v>1</v>
      </c>
      <c r="AC26" s="9">
        <f t="shared" si="15"/>
        <v>0.91666666666666663</v>
      </c>
      <c r="AD26" s="10">
        <f t="shared" si="16"/>
        <v>0.91666666666666663</v>
      </c>
      <c r="AE26" s="36">
        <f t="shared" si="17"/>
        <v>0.60416666666666652</v>
      </c>
      <c r="AF26" s="84">
        <f t="shared" si="18"/>
        <v>35</v>
      </c>
    </row>
    <row r="27" spans="1:32" ht="27" customHeight="1" thickBot="1">
      <c r="A27" s="96">
        <v>36</v>
      </c>
      <c r="B27" s="11" t="s">
        <v>57</v>
      </c>
      <c r="C27" s="11" t="s">
        <v>118</v>
      </c>
      <c r="D27" s="52" t="s">
        <v>115</v>
      </c>
      <c r="E27" s="53" t="s">
        <v>629</v>
      </c>
      <c r="F27" s="12" t="s">
        <v>128</v>
      </c>
      <c r="G27" s="12">
        <v>4</v>
      </c>
      <c r="H27" s="35">
        <v>20</v>
      </c>
      <c r="I27" s="7">
        <v>240000</v>
      </c>
      <c r="J27" s="14">
        <v>22152</v>
      </c>
      <c r="K27" s="15">
        <f t="shared" si="19"/>
        <v>22152</v>
      </c>
      <c r="L27" s="15">
        <f>2723*4+2815*4</f>
        <v>22152</v>
      </c>
      <c r="M27" s="15">
        <f t="shared" si="0"/>
        <v>22152</v>
      </c>
      <c r="N27" s="15">
        <v>0</v>
      </c>
      <c r="O27" s="58">
        <f t="shared" si="1"/>
        <v>0</v>
      </c>
      <c r="P27" s="39">
        <f t="shared" si="2"/>
        <v>22</v>
      </c>
      <c r="Q27" s="40">
        <f t="shared" si="3"/>
        <v>2</v>
      </c>
      <c r="R27" s="7"/>
      <c r="S27" s="6"/>
      <c r="T27" s="16">
        <v>2</v>
      </c>
      <c r="U27" s="16"/>
      <c r="V27" s="17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0.91666666666666663</v>
      </c>
      <c r="AD27" s="10">
        <f t="shared" si="6"/>
        <v>0.91666666666666663</v>
      </c>
      <c r="AE27" s="36">
        <f>$AD$28</f>
        <v>0.60416666666666652</v>
      </c>
      <c r="AF27" s="84">
        <f t="shared" si="8"/>
        <v>36</v>
      </c>
    </row>
    <row r="28" spans="1:32" ht="31.5" customHeight="1" thickBot="1">
      <c r="A28" s="443" t="s">
        <v>34</v>
      </c>
      <c r="B28" s="444"/>
      <c r="C28" s="444"/>
      <c r="D28" s="444"/>
      <c r="E28" s="444"/>
      <c r="F28" s="444"/>
      <c r="G28" s="444"/>
      <c r="H28" s="445"/>
      <c r="I28" s="22">
        <f t="shared" ref="I28:N28" si="20">SUM(I6:I27)</f>
        <v>2717200</v>
      </c>
      <c r="J28" s="19">
        <f t="shared" si="20"/>
        <v>286656</v>
      </c>
      <c r="K28" s="20">
        <f t="shared" si="20"/>
        <v>1075858</v>
      </c>
      <c r="L28" s="21">
        <f t="shared" si="20"/>
        <v>166374</v>
      </c>
      <c r="M28" s="20">
        <f t="shared" si="20"/>
        <v>166374</v>
      </c>
      <c r="N28" s="21">
        <f t="shared" si="20"/>
        <v>0</v>
      </c>
      <c r="O28" s="41">
        <f t="shared" si="1"/>
        <v>0</v>
      </c>
      <c r="P28" s="42">
        <f t="shared" ref="P28:AA28" si="21">SUM(P6:P27)</f>
        <v>319</v>
      </c>
      <c r="Q28" s="43">
        <f t="shared" si="21"/>
        <v>209</v>
      </c>
      <c r="R28" s="23">
        <f t="shared" si="21"/>
        <v>0</v>
      </c>
      <c r="S28" s="24">
        <f t="shared" si="21"/>
        <v>77</v>
      </c>
      <c r="T28" s="24">
        <f t="shared" si="21"/>
        <v>8</v>
      </c>
      <c r="U28" s="24">
        <f t="shared" si="21"/>
        <v>4</v>
      </c>
      <c r="V28" s="25">
        <f t="shared" si="21"/>
        <v>96</v>
      </c>
      <c r="W28" s="26">
        <f t="shared" si="21"/>
        <v>24</v>
      </c>
      <c r="X28" s="27">
        <f t="shared" si="21"/>
        <v>0</v>
      </c>
      <c r="Y28" s="27">
        <f t="shared" si="21"/>
        <v>0</v>
      </c>
      <c r="Z28" s="27">
        <f t="shared" si="21"/>
        <v>0</v>
      </c>
      <c r="AA28" s="27">
        <f t="shared" si="21"/>
        <v>0</v>
      </c>
      <c r="AB28" s="28">
        <f>AVERAGE(AB6:AB27)</f>
        <v>0.68181818181818177</v>
      </c>
      <c r="AC28" s="4">
        <f>AVERAGE(AC6:AC27)</f>
        <v>0.60416666666666652</v>
      </c>
      <c r="AD28" s="4">
        <f>AVERAGE(AD6:AD27)</f>
        <v>0.60416666666666652</v>
      </c>
      <c r="AE28" s="29"/>
    </row>
    <row r="29" spans="1:32">
      <c r="T29" s="50" t="s">
        <v>500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511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46" t="s">
        <v>45</v>
      </c>
      <c r="B55" s="446"/>
      <c r="C55" s="446"/>
      <c r="D55" s="446"/>
      <c r="E55" s="44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47" t="s">
        <v>630</v>
      </c>
      <c r="B56" s="448"/>
      <c r="C56" s="448"/>
      <c r="D56" s="448"/>
      <c r="E56" s="448"/>
      <c r="F56" s="448"/>
      <c r="G56" s="448"/>
      <c r="H56" s="448"/>
      <c r="I56" s="448"/>
      <c r="J56" s="448"/>
      <c r="K56" s="448"/>
      <c r="L56" s="448"/>
      <c r="M56" s="449"/>
      <c r="N56" s="450" t="s">
        <v>633</v>
      </c>
      <c r="O56" s="451"/>
      <c r="P56" s="451"/>
      <c r="Q56" s="451"/>
      <c r="R56" s="451"/>
      <c r="S56" s="451"/>
      <c r="T56" s="451"/>
      <c r="U56" s="451"/>
      <c r="V56" s="451"/>
      <c r="W56" s="451"/>
      <c r="X56" s="451"/>
      <c r="Y56" s="451"/>
      <c r="Z56" s="451"/>
      <c r="AA56" s="451"/>
      <c r="AB56" s="451"/>
      <c r="AC56" s="451"/>
      <c r="AD56" s="452"/>
    </row>
    <row r="57" spans="1:32" ht="27" customHeight="1">
      <c r="A57" s="453" t="s">
        <v>2</v>
      </c>
      <c r="B57" s="454"/>
      <c r="C57" s="410" t="s">
        <v>46</v>
      </c>
      <c r="D57" s="410" t="s">
        <v>47</v>
      </c>
      <c r="E57" s="410" t="s">
        <v>107</v>
      </c>
      <c r="F57" s="455" t="s">
        <v>106</v>
      </c>
      <c r="G57" s="456"/>
      <c r="H57" s="456"/>
      <c r="I57" s="456"/>
      <c r="J57" s="456"/>
      <c r="K57" s="456"/>
      <c r="L57" s="456"/>
      <c r="M57" s="457"/>
      <c r="N57" s="67" t="s">
        <v>110</v>
      </c>
      <c r="O57" s="410" t="s">
        <v>46</v>
      </c>
      <c r="P57" s="455" t="s">
        <v>47</v>
      </c>
      <c r="Q57" s="458"/>
      <c r="R57" s="455" t="s">
        <v>38</v>
      </c>
      <c r="S57" s="456"/>
      <c r="T57" s="456"/>
      <c r="U57" s="458"/>
      <c r="V57" s="455" t="s">
        <v>48</v>
      </c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69" t="s">
        <v>118</v>
      </c>
      <c r="B58" s="470"/>
      <c r="C58" s="406" t="s">
        <v>147</v>
      </c>
      <c r="D58" s="406" t="s">
        <v>142</v>
      </c>
      <c r="E58" s="406" t="s">
        <v>501</v>
      </c>
      <c r="F58" s="471" t="s">
        <v>631</v>
      </c>
      <c r="G58" s="472"/>
      <c r="H58" s="472"/>
      <c r="I58" s="472"/>
      <c r="J58" s="472"/>
      <c r="K58" s="472"/>
      <c r="L58" s="472"/>
      <c r="M58" s="473"/>
      <c r="N58" s="409" t="s">
        <v>118</v>
      </c>
      <c r="O58" s="403" t="s">
        <v>147</v>
      </c>
      <c r="P58" s="474" t="s">
        <v>142</v>
      </c>
      <c r="Q58" s="475"/>
      <c r="R58" s="474" t="s">
        <v>501</v>
      </c>
      <c r="S58" s="476"/>
      <c r="T58" s="476"/>
      <c r="U58" s="475"/>
      <c r="V58" s="477" t="s">
        <v>124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 t="s">
        <v>118</v>
      </c>
      <c r="B59" s="488"/>
      <c r="C59" s="405" t="s">
        <v>139</v>
      </c>
      <c r="D59" s="405" t="s">
        <v>142</v>
      </c>
      <c r="E59" s="406" t="s">
        <v>626</v>
      </c>
      <c r="F59" s="471" t="s">
        <v>132</v>
      </c>
      <c r="G59" s="472"/>
      <c r="H59" s="472"/>
      <c r="I59" s="472"/>
      <c r="J59" s="472"/>
      <c r="K59" s="472"/>
      <c r="L59" s="472"/>
      <c r="M59" s="473"/>
      <c r="N59" s="409" t="s">
        <v>112</v>
      </c>
      <c r="O59" s="403" t="s">
        <v>191</v>
      </c>
      <c r="P59" s="474" t="s">
        <v>115</v>
      </c>
      <c r="Q59" s="475"/>
      <c r="R59" s="474" t="s">
        <v>330</v>
      </c>
      <c r="S59" s="476"/>
      <c r="T59" s="476"/>
      <c r="U59" s="475"/>
      <c r="V59" s="477" t="s">
        <v>124</v>
      </c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 t="s">
        <v>112</v>
      </c>
      <c r="B60" s="488"/>
      <c r="C60" s="405" t="s">
        <v>318</v>
      </c>
      <c r="D60" s="405" t="s">
        <v>208</v>
      </c>
      <c r="E60" s="406" t="s">
        <v>512</v>
      </c>
      <c r="F60" s="471" t="s">
        <v>382</v>
      </c>
      <c r="G60" s="472"/>
      <c r="H60" s="472"/>
      <c r="I60" s="472"/>
      <c r="J60" s="472"/>
      <c r="K60" s="472"/>
      <c r="L60" s="472"/>
      <c r="M60" s="473"/>
      <c r="N60" s="409" t="s">
        <v>112</v>
      </c>
      <c r="O60" s="403" t="s">
        <v>257</v>
      </c>
      <c r="P60" s="474" t="s">
        <v>115</v>
      </c>
      <c r="Q60" s="475"/>
      <c r="R60" s="474" t="s">
        <v>485</v>
      </c>
      <c r="S60" s="476"/>
      <c r="T60" s="476"/>
      <c r="U60" s="475"/>
      <c r="V60" s="477" t="s">
        <v>132</v>
      </c>
      <c r="W60" s="477"/>
      <c r="X60" s="477"/>
      <c r="Y60" s="477"/>
      <c r="Z60" s="477"/>
      <c r="AA60" s="477"/>
      <c r="AB60" s="477"/>
      <c r="AC60" s="477"/>
      <c r="AD60" s="478"/>
    </row>
    <row r="61" spans="1:32" ht="27" customHeight="1">
      <c r="A61" s="487" t="s">
        <v>118</v>
      </c>
      <c r="B61" s="488"/>
      <c r="C61" s="405" t="s">
        <v>393</v>
      </c>
      <c r="D61" s="405" t="s">
        <v>184</v>
      </c>
      <c r="E61" s="406" t="s">
        <v>168</v>
      </c>
      <c r="F61" s="471" t="s">
        <v>132</v>
      </c>
      <c r="G61" s="472"/>
      <c r="H61" s="472"/>
      <c r="I61" s="472"/>
      <c r="J61" s="472"/>
      <c r="K61" s="472"/>
      <c r="L61" s="472"/>
      <c r="M61" s="473"/>
      <c r="N61" s="409" t="s">
        <v>112</v>
      </c>
      <c r="O61" s="403" t="s">
        <v>318</v>
      </c>
      <c r="P61" s="474" t="s">
        <v>208</v>
      </c>
      <c r="Q61" s="475"/>
      <c r="R61" s="474" t="s">
        <v>512</v>
      </c>
      <c r="S61" s="476"/>
      <c r="T61" s="476"/>
      <c r="U61" s="475"/>
      <c r="V61" s="477" t="s">
        <v>124</v>
      </c>
      <c r="W61" s="477"/>
      <c r="X61" s="477"/>
      <c r="Y61" s="477"/>
      <c r="Z61" s="477"/>
      <c r="AA61" s="477"/>
      <c r="AB61" s="477"/>
      <c r="AC61" s="477"/>
      <c r="AD61" s="478"/>
    </row>
    <row r="62" spans="1:32" ht="27" customHeight="1">
      <c r="A62" s="487" t="s">
        <v>112</v>
      </c>
      <c r="B62" s="488"/>
      <c r="C62" s="405" t="s">
        <v>191</v>
      </c>
      <c r="D62" s="405" t="s">
        <v>115</v>
      </c>
      <c r="E62" s="406" t="s">
        <v>330</v>
      </c>
      <c r="F62" s="471" t="s">
        <v>632</v>
      </c>
      <c r="G62" s="472"/>
      <c r="H62" s="472"/>
      <c r="I62" s="472"/>
      <c r="J62" s="472"/>
      <c r="K62" s="472"/>
      <c r="L62" s="472"/>
      <c r="M62" s="473"/>
      <c r="N62" s="409"/>
      <c r="O62" s="403"/>
      <c r="P62" s="474"/>
      <c r="Q62" s="475"/>
      <c r="R62" s="474"/>
      <c r="S62" s="476"/>
      <c r="T62" s="476"/>
      <c r="U62" s="475"/>
      <c r="V62" s="477"/>
      <c r="W62" s="477"/>
      <c r="X62" s="477"/>
      <c r="Y62" s="477"/>
      <c r="Z62" s="477"/>
      <c r="AA62" s="477"/>
      <c r="AB62" s="477"/>
      <c r="AC62" s="477"/>
      <c r="AD62" s="478"/>
    </row>
    <row r="63" spans="1:32" ht="27" customHeight="1">
      <c r="A63" s="487" t="s">
        <v>118</v>
      </c>
      <c r="B63" s="488"/>
      <c r="C63" s="405" t="s">
        <v>222</v>
      </c>
      <c r="D63" s="405" t="s">
        <v>280</v>
      </c>
      <c r="E63" s="406" t="s">
        <v>620</v>
      </c>
      <c r="F63" s="471" t="s">
        <v>132</v>
      </c>
      <c r="G63" s="472"/>
      <c r="H63" s="472"/>
      <c r="I63" s="472"/>
      <c r="J63" s="472"/>
      <c r="K63" s="472"/>
      <c r="L63" s="472"/>
      <c r="M63" s="473"/>
      <c r="N63" s="409"/>
      <c r="O63" s="403"/>
      <c r="P63" s="474"/>
      <c r="Q63" s="475"/>
      <c r="R63" s="474"/>
      <c r="S63" s="476"/>
      <c r="T63" s="476"/>
      <c r="U63" s="475"/>
      <c r="V63" s="477"/>
      <c r="W63" s="477"/>
      <c r="X63" s="477"/>
      <c r="Y63" s="477"/>
      <c r="Z63" s="477"/>
      <c r="AA63" s="477"/>
      <c r="AB63" s="477"/>
      <c r="AC63" s="477"/>
      <c r="AD63" s="478"/>
    </row>
    <row r="64" spans="1:32" ht="27" customHeight="1">
      <c r="A64" s="469"/>
      <c r="B64" s="470"/>
      <c r="C64" s="406"/>
      <c r="D64" s="406"/>
      <c r="E64" s="406"/>
      <c r="F64" s="471"/>
      <c r="G64" s="472"/>
      <c r="H64" s="472"/>
      <c r="I64" s="472"/>
      <c r="J64" s="472"/>
      <c r="K64" s="472"/>
      <c r="L64" s="472"/>
      <c r="M64" s="473"/>
      <c r="N64" s="409"/>
      <c r="O64" s="403"/>
      <c r="P64" s="474"/>
      <c r="Q64" s="475"/>
      <c r="R64" s="474"/>
      <c r="S64" s="476"/>
      <c r="T64" s="476"/>
      <c r="U64" s="475"/>
      <c r="V64" s="477"/>
      <c r="W64" s="477"/>
      <c r="X64" s="477"/>
      <c r="Y64" s="477"/>
      <c r="Z64" s="477"/>
      <c r="AA64" s="477"/>
      <c r="AB64" s="477"/>
      <c r="AC64" s="477"/>
      <c r="AD64" s="478"/>
    </row>
    <row r="65" spans="1:32" ht="27" customHeight="1">
      <c r="A65" s="487"/>
      <c r="B65" s="488"/>
      <c r="C65" s="405"/>
      <c r="D65" s="405"/>
      <c r="E65" s="406"/>
      <c r="F65" s="471"/>
      <c r="G65" s="472"/>
      <c r="H65" s="472"/>
      <c r="I65" s="472"/>
      <c r="J65" s="472"/>
      <c r="K65" s="472"/>
      <c r="L65" s="472"/>
      <c r="M65" s="473"/>
      <c r="N65" s="409"/>
      <c r="O65" s="403"/>
      <c r="P65" s="474"/>
      <c r="Q65" s="475"/>
      <c r="R65" s="474"/>
      <c r="S65" s="476"/>
      <c r="T65" s="476"/>
      <c r="U65" s="475"/>
      <c r="V65" s="477"/>
      <c r="W65" s="477"/>
      <c r="X65" s="477"/>
      <c r="Y65" s="477"/>
      <c r="Z65" s="477"/>
      <c r="AA65" s="477"/>
      <c r="AB65" s="477"/>
      <c r="AC65" s="477"/>
      <c r="AD65" s="478"/>
    </row>
    <row r="66" spans="1:32" ht="27" customHeight="1">
      <c r="A66" s="487"/>
      <c r="B66" s="488"/>
      <c r="C66" s="405"/>
      <c r="D66" s="405"/>
      <c r="E66" s="406"/>
      <c r="F66" s="471"/>
      <c r="G66" s="472"/>
      <c r="H66" s="472"/>
      <c r="I66" s="472"/>
      <c r="J66" s="472"/>
      <c r="K66" s="472"/>
      <c r="L66" s="472"/>
      <c r="M66" s="473"/>
      <c r="N66" s="409"/>
      <c r="O66" s="403"/>
      <c r="P66" s="470"/>
      <c r="Q66" s="470"/>
      <c r="R66" s="470"/>
      <c r="S66" s="470"/>
      <c r="T66" s="470"/>
      <c r="U66" s="470"/>
      <c r="V66" s="477"/>
      <c r="W66" s="477"/>
      <c r="X66" s="477"/>
      <c r="Y66" s="477"/>
      <c r="Z66" s="477"/>
      <c r="AA66" s="477"/>
      <c r="AB66" s="477"/>
      <c r="AC66" s="477"/>
      <c r="AD66" s="478"/>
      <c r="AF66" s="84">
        <f>8*3000</f>
        <v>24000</v>
      </c>
    </row>
    <row r="67" spans="1:32" ht="27" customHeight="1" thickBot="1">
      <c r="A67" s="479"/>
      <c r="B67" s="480"/>
      <c r="C67" s="407"/>
      <c r="D67" s="408"/>
      <c r="E67" s="407"/>
      <c r="F67" s="481"/>
      <c r="G67" s="482"/>
      <c r="H67" s="482"/>
      <c r="I67" s="482"/>
      <c r="J67" s="482"/>
      <c r="K67" s="482"/>
      <c r="L67" s="482"/>
      <c r="M67" s="483"/>
      <c r="N67" s="111"/>
      <c r="O67" s="103"/>
      <c r="P67" s="484"/>
      <c r="Q67" s="484"/>
      <c r="R67" s="484"/>
      <c r="S67" s="484"/>
      <c r="T67" s="484"/>
      <c r="U67" s="484"/>
      <c r="V67" s="485"/>
      <c r="W67" s="485"/>
      <c r="X67" s="485"/>
      <c r="Y67" s="485"/>
      <c r="Z67" s="485"/>
      <c r="AA67" s="485"/>
      <c r="AB67" s="485"/>
      <c r="AC67" s="485"/>
      <c r="AD67" s="486"/>
      <c r="AF67" s="84">
        <f>16*3000</f>
        <v>48000</v>
      </c>
    </row>
    <row r="68" spans="1:32" ht="27.75" thickBot="1">
      <c r="A68" s="489" t="s">
        <v>634</v>
      </c>
      <c r="B68" s="489"/>
      <c r="C68" s="489"/>
      <c r="D68" s="489"/>
      <c r="E68" s="489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490" t="s">
        <v>111</v>
      </c>
      <c r="B69" s="491"/>
      <c r="C69" s="404" t="s">
        <v>2</v>
      </c>
      <c r="D69" s="404" t="s">
        <v>37</v>
      </c>
      <c r="E69" s="404" t="s">
        <v>3</v>
      </c>
      <c r="F69" s="491" t="s">
        <v>109</v>
      </c>
      <c r="G69" s="491"/>
      <c r="H69" s="491"/>
      <c r="I69" s="491"/>
      <c r="J69" s="491"/>
      <c r="K69" s="491" t="s">
        <v>39</v>
      </c>
      <c r="L69" s="491"/>
      <c r="M69" s="404" t="s">
        <v>40</v>
      </c>
      <c r="N69" s="491" t="s">
        <v>41</v>
      </c>
      <c r="O69" s="491"/>
      <c r="P69" s="492" t="s">
        <v>42</v>
      </c>
      <c r="Q69" s="493"/>
      <c r="R69" s="492" t="s">
        <v>43</v>
      </c>
      <c r="S69" s="494"/>
      <c r="T69" s="494"/>
      <c r="U69" s="494"/>
      <c r="V69" s="494"/>
      <c r="W69" s="494"/>
      <c r="X69" s="494"/>
      <c r="Y69" s="494"/>
      <c r="Z69" s="494"/>
      <c r="AA69" s="493"/>
      <c r="AB69" s="491" t="s">
        <v>44</v>
      </c>
      <c r="AC69" s="491"/>
      <c r="AD69" s="495"/>
      <c r="AF69" s="84">
        <f>SUM(AF66:AF68)</f>
        <v>96000</v>
      </c>
    </row>
    <row r="70" spans="1:32" ht="25.5" customHeight="1">
      <c r="A70" s="496">
        <v>1</v>
      </c>
      <c r="B70" s="497"/>
      <c r="C70" s="104" t="s">
        <v>210</v>
      </c>
      <c r="D70" s="399"/>
      <c r="E70" s="402" t="s">
        <v>280</v>
      </c>
      <c r="F70" s="498" t="s">
        <v>635</v>
      </c>
      <c r="G70" s="499"/>
      <c r="H70" s="499"/>
      <c r="I70" s="499"/>
      <c r="J70" s="500"/>
      <c r="K70" s="501" t="s">
        <v>157</v>
      </c>
      <c r="L70" s="501"/>
      <c r="M70" s="51" t="s">
        <v>143</v>
      </c>
      <c r="N70" s="502" t="s">
        <v>147</v>
      </c>
      <c r="O70" s="502"/>
      <c r="P70" s="503">
        <v>200</v>
      </c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2</v>
      </c>
      <c r="B71" s="497"/>
      <c r="C71" s="104" t="s">
        <v>118</v>
      </c>
      <c r="D71" s="399"/>
      <c r="E71" s="402" t="s">
        <v>242</v>
      </c>
      <c r="F71" s="498" t="s">
        <v>636</v>
      </c>
      <c r="G71" s="499"/>
      <c r="H71" s="499"/>
      <c r="I71" s="499"/>
      <c r="J71" s="500"/>
      <c r="K71" s="501" t="s">
        <v>156</v>
      </c>
      <c r="L71" s="501"/>
      <c r="M71" s="51" t="s">
        <v>236</v>
      </c>
      <c r="N71" s="502" t="s">
        <v>386</v>
      </c>
      <c r="O71" s="502"/>
      <c r="P71" s="503">
        <v>100</v>
      </c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3</v>
      </c>
      <c r="B72" s="497"/>
      <c r="C72" s="104"/>
      <c r="D72" s="399"/>
      <c r="E72" s="402"/>
      <c r="F72" s="498"/>
      <c r="G72" s="499"/>
      <c r="H72" s="499"/>
      <c r="I72" s="499"/>
      <c r="J72" s="500"/>
      <c r="K72" s="501"/>
      <c r="L72" s="501"/>
      <c r="M72" s="51"/>
      <c r="N72" s="502"/>
      <c r="O72" s="502"/>
      <c r="P72" s="503"/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4</v>
      </c>
      <c r="B73" s="497"/>
      <c r="C73" s="104"/>
      <c r="D73" s="399"/>
      <c r="E73" s="402"/>
      <c r="F73" s="498"/>
      <c r="G73" s="499"/>
      <c r="H73" s="499"/>
      <c r="I73" s="499"/>
      <c r="J73" s="500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5.5" customHeight="1">
      <c r="A74" s="496">
        <v>5</v>
      </c>
      <c r="B74" s="497"/>
      <c r="C74" s="104"/>
      <c r="D74" s="399"/>
      <c r="E74" s="402"/>
      <c r="F74" s="498"/>
      <c r="G74" s="499"/>
      <c r="H74" s="499"/>
      <c r="I74" s="499"/>
      <c r="J74" s="500"/>
      <c r="K74" s="501"/>
      <c r="L74" s="501"/>
      <c r="M74" s="51"/>
      <c r="N74" s="502"/>
      <c r="O74" s="502"/>
      <c r="P74" s="503"/>
      <c r="Q74" s="503"/>
      <c r="R74" s="477"/>
      <c r="S74" s="477"/>
      <c r="T74" s="477"/>
      <c r="U74" s="477"/>
      <c r="V74" s="477"/>
      <c r="W74" s="477"/>
      <c r="X74" s="477"/>
      <c r="Y74" s="477"/>
      <c r="Z74" s="477"/>
      <c r="AA74" s="477"/>
      <c r="AB74" s="501"/>
      <c r="AC74" s="501"/>
      <c r="AD74" s="504"/>
      <c r="AF74" s="50"/>
    </row>
    <row r="75" spans="1:32" ht="25.5" customHeight="1">
      <c r="A75" s="496">
        <v>6</v>
      </c>
      <c r="B75" s="497"/>
      <c r="C75" s="104"/>
      <c r="D75" s="399"/>
      <c r="E75" s="402"/>
      <c r="F75" s="498"/>
      <c r="G75" s="499"/>
      <c r="H75" s="499"/>
      <c r="I75" s="499"/>
      <c r="J75" s="500"/>
      <c r="K75" s="501"/>
      <c r="L75" s="501"/>
      <c r="M75" s="51"/>
      <c r="N75" s="502"/>
      <c r="O75" s="502"/>
      <c r="P75" s="503"/>
      <c r="Q75" s="503"/>
      <c r="R75" s="477"/>
      <c r="S75" s="477"/>
      <c r="T75" s="477"/>
      <c r="U75" s="477"/>
      <c r="V75" s="477"/>
      <c r="W75" s="477"/>
      <c r="X75" s="477"/>
      <c r="Y75" s="477"/>
      <c r="Z75" s="477"/>
      <c r="AA75" s="477"/>
      <c r="AB75" s="501"/>
      <c r="AC75" s="501"/>
      <c r="AD75" s="504"/>
      <c r="AF75" s="50"/>
    </row>
    <row r="76" spans="1:32" ht="25.5" customHeight="1">
      <c r="A76" s="496">
        <v>7</v>
      </c>
      <c r="B76" s="497"/>
      <c r="C76" s="104"/>
      <c r="D76" s="399"/>
      <c r="E76" s="402"/>
      <c r="F76" s="498"/>
      <c r="G76" s="499"/>
      <c r="H76" s="499"/>
      <c r="I76" s="499"/>
      <c r="J76" s="500"/>
      <c r="K76" s="501"/>
      <c r="L76" s="501"/>
      <c r="M76" s="51"/>
      <c r="N76" s="502"/>
      <c r="O76" s="502"/>
      <c r="P76" s="503"/>
      <c r="Q76" s="503"/>
      <c r="R76" s="477"/>
      <c r="S76" s="477"/>
      <c r="T76" s="477"/>
      <c r="U76" s="477"/>
      <c r="V76" s="477"/>
      <c r="W76" s="477"/>
      <c r="X76" s="477"/>
      <c r="Y76" s="477"/>
      <c r="Z76" s="477"/>
      <c r="AA76" s="477"/>
      <c r="AB76" s="501"/>
      <c r="AC76" s="501"/>
      <c r="AD76" s="504"/>
      <c r="AF76" s="50"/>
    </row>
    <row r="77" spans="1:32" ht="25.5" customHeight="1">
      <c r="A77" s="496">
        <v>8</v>
      </c>
      <c r="B77" s="497"/>
      <c r="C77" s="104"/>
      <c r="D77" s="399"/>
      <c r="E77" s="402"/>
      <c r="F77" s="505"/>
      <c r="G77" s="501"/>
      <c r="H77" s="501"/>
      <c r="I77" s="501"/>
      <c r="J77" s="501"/>
      <c r="K77" s="501"/>
      <c r="L77" s="501"/>
      <c r="M77" s="51"/>
      <c r="N77" s="502"/>
      <c r="O77" s="502"/>
      <c r="P77" s="503"/>
      <c r="Q77" s="503"/>
      <c r="R77" s="477"/>
      <c r="S77" s="477"/>
      <c r="T77" s="477"/>
      <c r="U77" s="477"/>
      <c r="V77" s="477"/>
      <c r="W77" s="477"/>
      <c r="X77" s="477"/>
      <c r="Y77" s="477"/>
      <c r="Z77" s="477"/>
      <c r="AA77" s="477"/>
      <c r="AB77" s="501"/>
      <c r="AC77" s="501"/>
      <c r="AD77" s="504"/>
      <c r="AF77" s="50"/>
    </row>
    <row r="78" spans="1:32" ht="25.5" customHeight="1">
      <c r="A78" s="496">
        <v>9</v>
      </c>
      <c r="B78" s="497"/>
      <c r="C78" s="104"/>
      <c r="D78" s="399"/>
      <c r="E78" s="402"/>
      <c r="F78" s="505"/>
      <c r="G78" s="501"/>
      <c r="H78" s="501"/>
      <c r="I78" s="501"/>
      <c r="J78" s="501"/>
      <c r="K78" s="501"/>
      <c r="L78" s="501"/>
      <c r="M78" s="51"/>
      <c r="N78" s="502"/>
      <c r="O78" s="502"/>
      <c r="P78" s="503"/>
      <c r="Q78" s="503"/>
      <c r="R78" s="477"/>
      <c r="S78" s="477"/>
      <c r="T78" s="477"/>
      <c r="U78" s="477"/>
      <c r="V78" s="477"/>
      <c r="W78" s="477"/>
      <c r="X78" s="477"/>
      <c r="Y78" s="477"/>
      <c r="Z78" s="477"/>
      <c r="AA78" s="477"/>
      <c r="AB78" s="501"/>
      <c r="AC78" s="501"/>
      <c r="AD78" s="504"/>
      <c r="AF78" s="50"/>
    </row>
    <row r="79" spans="1:32" ht="25.5" customHeight="1">
      <c r="A79" s="496">
        <v>10</v>
      </c>
      <c r="B79" s="497"/>
      <c r="C79" s="104"/>
      <c r="D79" s="399"/>
      <c r="E79" s="402"/>
      <c r="F79" s="505"/>
      <c r="G79" s="501"/>
      <c r="H79" s="501"/>
      <c r="I79" s="501"/>
      <c r="J79" s="501"/>
      <c r="K79" s="501"/>
      <c r="L79" s="501"/>
      <c r="M79" s="51"/>
      <c r="N79" s="502"/>
      <c r="O79" s="502"/>
      <c r="P79" s="503"/>
      <c r="Q79" s="503"/>
      <c r="R79" s="477"/>
      <c r="S79" s="477"/>
      <c r="T79" s="477"/>
      <c r="U79" s="477"/>
      <c r="V79" s="477"/>
      <c r="W79" s="477"/>
      <c r="X79" s="477"/>
      <c r="Y79" s="477"/>
      <c r="Z79" s="477"/>
      <c r="AA79" s="477"/>
      <c r="AB79" s="501"/>
      <c r="AC79" s="501"/>
      <c r="AD79" s="504"/>
      <c r="AF79" s="50"/>
    </row>
    <row r="80" spans="1:32" ht="26.25" customHeight="1" thickBot="1">
      <c r="A80" s="506" t="s">
        <v>637</v>
      </c>
      <c r="B80" s="506"/>
      <c r="C80" s="506"/>
      <c r="D80" s="506"/>
      <c r="E80" s="506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50" t="s">
        <v>111</v>
      </c>
      <c r="B81" s="551"/>
      <c r="C81" s="401" t="s">
        <v>2</v>
      </c>
      <c r="D81" s="401" t="s">
        <v>37</v>
      </c>
      <c r="E81" s="401" t="s">
        <v>125</v>
      </c>
      <c r="F81" s="508" t="s">
        <v>38</v>
      </c>
      <c r="G81" s="508"/>
      <c r="H81" s="508"/>
      <c r="I81" s="508"/>
      <c r="J81" s="508"/>
      <c r="K81" s="509" t="s">
        <v>58</v>
      </c>
      <c r="L81" s="510"/>
      <c r="M81" s="510"/>
      <c r="N81" s="510"/>
      <c r="O81" s="510"/>
      <c r="P81" s="510"/>
      <c r="Q81" s="510"/>
      <c r="R81" s="510"/>
      <c r="S81" s="511"/>
      <c r="T81" s="508" t="s">
        <v>49</v>
      </c>
      <c r="U81" s="508"/>
      <c r="V81" s="509" t="s">
        <v>50</v>
      </c>
      <c r="W81" s="511"/>
      <c r="X81" s="510" t="s">
        <v>51</v>
      </c>
      <c r="Y81" s="510"/>
      <c r="Z81" s="510"/>
      <c r="AA81" s="510"/>
      <c r="AB81" s="510"/>
      <c r="AC81" s="510"/>
      <c r="AD81" s="512"/>
      <c r="AF81" s="50"/>
    </row>
    <row r="82" spans="1:32" ht="33.75" customHeight="1">
      <c r="A82" s="521">
        <v>1</v>
      </c>
      <c r="B82" s="522"/>
      <c r="C82" s="400"/>
      <c r="D82" s="400"/>
      <c r="E82" s="65"/>
      <c r="F82" s="523"/>
      <c r="G82" s="524"/>
      <c r="H82" s="524"/>
      <c r="I82" s="524"/>
      <c r="J82" s="525"/>
      <c r="K82" s="526"/>
      <c r="L82" s="527"/>
      <c r="M82" s="527"/>
      <c r="N82" s="527"/>
      <c r="O82" s="527"/>
      <c r="P82" s="527"/>
      <c r="Q82" s="527"/>
      <c r="R82" s="527"/>
      <c r="S82" s="528"/>
      <c r="T82" s="529"/>
      <c r="U82" s="530"/>
      <c r="V82" s="531"/>
      <c r="W82" s="531"/>
      <c r="X82" s="532"/>
      <c r="Y82" s="532"/>
      <c r="Z82" s="532"/>
      <c r="AA82" s="532"/>
      <c r="AB82" s="532"/>
      <c r="AC82" s="532"/>
      <c r="AD82" s="533"/>
      <c r="AF82" s="50"/>
    </row>
    <row r="83" spans="1:32" ht="30" customHeight="1">
      <c r="A83" s="513">
        <f>A82+1</f>
        <v>2</v>
      </c>
      <c r="B83" s="514"/>
      <c r="C83" s="399"/>
      <c r="D83" s="399"/>
      <c r="E83" s="32"/>
      <c r="F83" s="514"/>
      <c r="G83" s="514"/>
      <c r="H83" s="514"/>
      <c r="I83" s="514"/>
      <c r="J83" s="514"/>
      <c r="K83" s="515"/>
      <c r="L83" s="516"/>
      <c r="M83" s="516"/>
      <c r="N83" s="516"/>
      <c r="O83" s="516"/>
      <c r="P83" s="516"/>
      <c r="Q83" s="516"/>
      <c r="R83" s="516"/>
      <c r="S83" s="517"/>
      <c r="T83" s="518"/>
      <c r="U83" s="518"/>
      <c r="V83" s="518"/>
      <c r="W83" s="518"/>
      <c r="X83" s="519"/>
      <c r="Y83" s="519"/>
      <c r="Z83" s="519"/>
      <c r="AA83" s="519"/>
      <c r="AB83" s="519"/>
      <c r="AC83" s="519"/>
      <c r="AD83" s="520"/>
      <c r="AF83" s="50"/>
    </row>
    <row r="84" spans="1:32" ht="30" customHeight="1">
      <c r="A84" s="513">
        <f t="shared" ref="A84:A88" si="22">A83+1</f>
        <v>3</v>
      </c>
      <c r="B84" s="514"/>
      <c r="C84" s="399"/>
      <c r="D84" s="399"/>
      <c r="E84" s="32"/>
      <c r="F84" s="514"/>
      <c r="G84" s="514"/>
      <c r="H84" s="514"/>
      <c r="I84" s="514"/>
      <c r="J84" s="514"/>
      <c r="K84" s="515"/>
      <c r="L84" s="516"/>
      <c r="M84" s="516"/>
      <c r="N84" s="516"/>
      <c r="O84" s="516"/>
      <c r="P84" s="516"/>
      <c r="Q84" s="516"/>
      <c r="R84" s="516"/>
      <c r="S84" s="517"/>
      <c r="T84" s="518"/>
      <c r="U84" s="518"/>
      <c r="V84" s="518"/>
      <c r="W84" s="518"/>
      <c r="X84" s="519"/>
      <c r="Y84" s="519"/>
      <c r="Z84" s="519"/>
      <c r="AA84" s="519"/>
      <c r="AB84" s="519"/>
      <c r="AC84" s="519"/>
      <c r="AD84" s="520"/>
      <c r="AF84" s="50"/>
    </row>
    <row r="85" spans="1:32" ht="30" customHeight="1">
      <c r="A85" s="513">
        <f t="shared" si="22"/>
        <v>4</v>
      </c>
      <c r="B85" s="514"/>
      <c r="C85" s="399"/>
      <c r="D85" s="399"/>
      <c r="E85" s="32"/>
      <c r="F85" s="514"/>
      <c r="G85" s="514"/>
      <c r="H85" s="514"/>
      <c r="I85" s="514"/>
      <c r="J85" s="514"/>
      <c r="K85" s="515"/>
      <c r="L85" s="516"/>
      <c r="M85" s="516"/>
      <c r="N85" s="516"/>
      <c r="O85" s="516"/>
      <c r="P85" s="516"/>
      <c r="Q85" s="516"/>
      <c r="R85" s="516"/>
      <c r="S85" s="517"/>
      <c r="T85" s="518"/>
      <c r="U85" s="518"/>
      <c r="V85" s="518"/>
      <c r="W85" s="518"/>
      <c r="X85" s="519"/>
      <c r="Y85" s="519"/>
      <c r="Z85" s="519"/>
      <c r="AA85" s="519"/>
      <c r="AB85" s="519"/>
      <c r="AC85" s="519"/>
      <c r="AD85" s="520"/>
      <c r="AF85" s="50"/>
    </row>
    <row r="86" spans="1:32" ht="30" customHeight="1">
      <c r="A86" s="513">
        <f t="shared" si="22"/>
        <v>5</v>
      </c>
      <c r="B86" s="514"/>
      <c r="C86" s="399"/>
      <c r="D86" s="399"/>
      <c r="E86" s="32"/>
      <c r="F86" s="514"/>
      <c r="G86" s="514"/>
      <c r="H86" s="514"/>
      <c r="I86" s="514"/>
      <c r="J86" s="514"/>
      <c r="K86" s="515"/>
      <c r="L86" s="516"/>
      <c r="M86" s="516"/>
      <c r="N86" s="516"/>
      <c r="O86" s="516"/>
      <c r="P86" s="516"/>
      <c r="Q86" s="516"/>
      <c r="R86" s="516"/>
      <c r="S86" s="517"/>
      <c r="T86" s="518"/>
      <c r="U86" s="518"/>
      <c r="V86" s="518"/>
      <c r="W86" s="518"/>
      <c r="X86" s="519"/>
      <c r="Y86" s="519"/>
      <c r="Z86" s="519"/>
      <c r="AA86" s="519"/>
      <c r="AB86" s="519"/>
      <c r="AC86" s="519"/>
      <c r="AD86" s="520"/>
      <c r="AF86" s="50"/>
    </row>
    <row r="87" spans="1:32" ht="30" customHeight="1">
      <c r="A87" s="513">
        <f t="shared" si="22"/>
        <v>6</v>
      </c>
      <c r="B87" s="514"/>
      <c r="C87" s="399"/>
      <c r="D87" s="399"/>
      <c r="E87" s="32"/>
      <c r="F87" s="514"/>
      <c r="G87" s="514"/>
      <c r="H87" s="514"/>
      <c r="I87" s="514"/>
      <c r="J87" s="514"/>
      <c r="K87" s="515"/>
      <c r="L87" s="516"/>
      <c r="M87" s="516"/>
      <c r="N87" s="516"/>
      <c r="O87" s="516"/>
      <c r="P87" s="516"/>
      <c r="Q87" s="516"/>
      <c r="R87" s="516"/>
      <c r="S87" s="517"/>
      <c r="T87" s="518"/>
      <c r="U87" s="518"/>
      <c r="V87" s="518"/>
      <c r="W87" s="518"/>
      <c r="X87" s="519"/>
      <c r="Y87" s="519"/>
      <c r="Z87" s="519"/>
      <c r="AA87" s="519"/>
      <c r="AB87" s="519"/>
      <c r="AC87" s="519"/>
      <c r="AD87" s="520"/>
      <c r="AF87" s="50"/>
    </row>
    <row r="88" spans="1:32" ht="30" customHeight="1">
      <c r="A88" s="513">
        <f t="shared" si="22"/>
        <v>7</v>
      </c>
      <c r="B88" s="514"/>
      <c r="C88" s="399"/>
      <c r="D88" s="399"/>
      <c r="E88" s="32"/>
      <c r="F88" s="514"/>
      <c r="G88" s="514"/>
      <c r="H88" s="514"/>
      <c r="I88" s="514"/>
      <c r="J88" s="514"/>
      <c r="K88" s="515"/>
      <c r="L88" s="516"/>
      <c r="M88" s="516"/>
      <c r="N88" s="516"/>
      <c r="O88" s="516"/>
      <c r="P88" s="516"/>
      <c r="Q88" s="516"/>
      <c r="R88" s="516"/>
      <c r="S88" s="517"/>
      <c r="T88" s="518"/>
      <c r="U88" s="518"/>
      <c r="V88" s="518"/>
      <c r="W88" s="518"/>
      <c r="X88" s="519"/>
      <c r="Y88" s="519"/>
      <c r="Z88" s="519"/>
      <c r="AA88" s="519"/>
      <c r="AB88" s="519"/>
      <c r="AC88" s="519"/>
      <c r="AD88" s="520"/>
      <c r="AF88" s="50"/>
    </row>
    <row r="89" spans="1:32" ht="36" thickBot="1">
      <c r="A89" s="506" t="s">
        <v>638</v>
      </c>
      <c r="B89" s="506"/>
      <c r="C89" s="506"/>
      <c r="D89" s="506"/>
      <c r="E89" s="506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07" t="s">
        <v>111</v>
      </c>
      <c r="B90" s="508"/>
      <c r="C90" s="534" t="s">
        <v>52</v>
      </c>
      <c r="D90" s="534"/>
      <c r="E90" s="534" t="s">
        <v>53</v>
      </c>
      <c r="F90" s="534"/>
      <c r="G90" s="534"/>
      <c r="H90" s="534"/>
      <c r="I90" s="534"/>
      <c r="J90" s="534"/>
      <c r="K90" s="534" t="s">
        <v>54</v>
      </c>
      <c r="L90" s="534"/>
      <c r="M90" s="534"/>
      <c r="N90" s="534"/>
      <c r="O90" s="534"/>
      <c r="P90" s="534"/>
      <c r="Q90" s="534"/>
      <c r="R90" s="534"/>
      <c r="S90" s="534"/>
      <c r="T90" s="534" t="s">
        <v>55</v>
      </c>
      <c r="U90" s="534"/>
      <c r="V90" s="534" t="s">
        <v>56</v>
      </c>
      <c r="W90" s="534"/>
      <c r="X90" s="534"/>
      <c r="Y90" s="534" t="s">
        <v>51</v>
      </c>
      <c r="Z90" s="534"/>
      <c r="AA90" s="534"/>
      <c r="AB90" s="534"/>
      <c r="AC90" s="534"/>
      <c r="AD90" s="535"/>
      <c r="AF90" s="50"/>
    </row>
    <row r="91" spans="1:32" ht="30.75" customHeight="1">
      <c r="A91" s="521">
        <v>1</v>
      </c>
      <c r="B91" s="522"/>
      <c r="C91" s="536">
        <v>9</v>
      </c>
      <c r="D91" s="536"/>
      <c r="E91" s="536" t="s">
        <v>136</v>
      </c>
      <c r="F91" s="536"/>
      <c r="G91" s="536"/>
      <c r="H91" s="536"/>
      <c r="I91" s="536"/>
      <c r="J91" s="536"/>
      <c r="K91" s="536" t="s">
        <v>161</v>
      </c>
      <c r="L91" s="536"/>
      <c r="M91" s="536"/>
      <c r="N91" s="536"/>
      <c r="O91" s="536"/>
      <c r="P91" s="536"/>
      <c r="Q91" s="536"/>
      <c r="R91" s="536"/>
      <c r="S91" s="536"/>
      <c r="T91" s="536" t="s">
        <v>137</v>
      </c>
      <c r="U91" s="536"/>
      <c r="V91" s="537" t="s">
        <v>152</v>
      </c>
      <c r="W91" s="537"/>
      <c r="X91" s="537"/>
      <c r="Y91" s="538"/>
      <c r="Z91" s="538"/>
      <c r="AA91" s="538"/>
      <c r="AB91" s="538"/>
      <c r="AC91" s="538"/>
      <c r="AD91" s="539"/>
      <c r="AF91" s="50"/>
    </row>
    <row r="92" spans="1:32" ht="30.75" customHeight="1">
      <c r="A92" s="513">
        <v>2</v>
      </c>
      <c r="B92" s="514"/>
      <c r="C92" s="547"/>
      <c r="D92" s="547"/>
      <c r="E92" s="547"/>
      <c r="F92" s="547"/>
      <c r="G92" s="547"/>
      <c r="H92" s="547"/>
      <c r="I92" s="547"/>
      <c r="J92" s="547"/>
      <c r="K92" s="547"/>
      <c r="L92" s="547"/>
      <c r="M92" s="547"/>
      <c r="N92" s="547"/>
      <c r="O92" s="547"/>
      <c r="P92" s="547"/>
      <c r="Q92" s="547"/>
      <c r="R92" s="547"/>
      <c r="S92" s="547"/>
      <c r="T92" s="548"/>
      <c r="U92" s="548"/>
      <c r="V92" s="549"/>
      <c r="W92" s="549"/>
      <c r="X92" s="549"/>
      <c r="Y92" s="540"/>
      <c r="Z92" s="540"/>
      <c r="AA92" s="540"/>
      <c r="AB92" s="540"/>
      <c r="AC92" s="540"/>
      <c r="AD92" s="541"/>
      <c r="AF92" s="50"/>
    </row>
    <row r="93" spans="1:32" ht="30.75" customHeight="1" thickBot="1">
      <c r="A93" s="542">
        <v>3</v>
      </c>
      <c r="B93" s="543"/>
      <c r="C93" s="544"/>
      <c r="D93" s="544"/>
      <c r="E93" s="544"/>
      <c r="F93" s="544"/>
      <c r="G93" s="544"/>
      <c r="H93" s="544"/>
      <c r="I93" s="544"/>
      <c r="J93" s="544"/>
      <c r="K93" s="544"/>
      <c r="L93" s="544"/>
      <c r="M93" s="544"/>
      <c r="N93" s="544"/>
      <c r="O93" s="544"/>
      <c r="P93" s="544"/>
      <c r="Q93" s="544"/>
      <c r="R93" s="544"/>
      <c r="S93" s="544"/>
      <c r="T93" s="544"/>
      <c r="U93" s="544"/>
      <c r="V93" s="544"/>
      <c r="W93" s="544"/>
      <c r="X93" s="544"/>
      <c r="Y93" s="545"/>
      <c r="Z93" s="545"/>
      <c r="AA93" s="545"/>
      <c r="AB93" s="545"/>
      <c r="AC93" s="545"/>
      <c r="AD93" s="546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4302-ECE7-473D-AA10-BC19AFFCB933}">
  <dimension ref="A1:AF93"/>
  <sheetViews>
    <sheetView view="pageBreakPreview" zoomScale="70" zoomScaleNormal="72" zoomScaleSheetLayoutView="70" workbookViewId="0">
      <selection activeCell="T18" sqref="T1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639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412" t="s">
        <v>17</v>
      </c>
      <c r="L5" s="412" t="s">
        <v>18</v>
      </c>
      <c r="M5" s="412" t="s">
        <v>19</v>
      </c>
      <c r="N5" s="41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118</v>
      </c>
      <c r="D6" s="52" t="s">
        <v>142</v>
      </c>
      <c r="E6" s="53" t="s">
        <v>501</v>
      </c>
      <c r="F6" s="30" t="s">
        <v>232</v>
      </c>
      <c r="G6" s="12">
        <v>2</v>
      </c>
      <c r="H6" s="13">
        <v>24</v>
      </c>
      <c r="I6" s="31">
        <v>174000</v>
      </c>
      <c r="J6" s="14">
        <v>8412</v>
      </c>
      <c r="K6" s="15">
        <f>L6+2384</f>
        <v>10796</v>
      </c>
      <c r="L6" s="15">
        <f>2809*2+1397*2</f>
        <v>8412</v>
      </c>
      <c r="M6" s="15">
        <f t="shared" ref="M6:M27" si="0">L6-N6</f>
        <v>8412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19</v>
      </c>
      <c r="Q6" s="40">
        <f t="shared" ref="Q6:Q27" si="3">SUM(R6:AA6)</f>
        <v>5</v>
      </c>
      <c r="R6" s="7"/>
      <c r="S6" s="6">
        <v>5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0.79166666666666663</v>
      </c>
      <c r="AD6" s="10">
        <f t="shared" ref="AD6:AD27" si="6">AC6*AB6*(1-O6)</f>
        <v>0.79166666666666663</v>
      </c>
      <c r="AE6" s="36">
        <f t="shared" ref="AE6:AE26" si="7">$AD$28</f>
        <v>0.65909090909090906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269</v>
      </c>
      <c r="E7" s="53" t="s">
        <v>270</v>
      </c>
      <c r="F7" s="30" t="s">
        <v>249</v>
      </c>
      <c r="G7" s="12">
        <v>1</v>
      </c>
      <c r="H7" s="13">
        <v>24</v>
      </c>
      <c r="I7" s="31">
        <v>18000</v>
      </c>
      <c r="J7" s="14">
        <v>6290</v>
      </c>
      <c r="K7" s="15">
        <f>L7+3479+6290</f>
        <v>9769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0.65909090909090906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210</v>
      </c>
      <c r="D8" s="52" t="s">
        <v>115</v>
      </c>
      <c r="E8" s="53" t="s">
        <v>606</v>
      </c>
      <c r="F8" s="30" t="s">
        <v>213</v>
      </c>
      <c r="G8" s="12">
        <v>4</v>
      </c>
      <c r="H8" s="13">
        <v>24</v>
      </c>
      <c r="I8" s="7">
        <v>85000</v>
      </c>
      <c r="J8" s="5">
        <v>21244</v>
      </c>
      <c r="K8" s="15">
        <f>L8</f>
        <v>21244</v>
      </c>
      <c r="L8" s="15">
        <f>2332*4+2979*4</f>
        <v>21244</v>
      </c>
      <c r="M8" s="15">
        <f t="shared" si="0"/>
        <v>21244</v>
      </c>
      <c r="N8" s="15">
        <v>0</v>
      </c>
      <c r="O8" s="58">
        <f t="shared" si="1"/>
        <v>0</v>
      </c>
      <c r="P8" s="39">
        <f t="shared" si="2"/>
        <v>23</v>
      </c>
      <c r="Q8" s="40">
        <f t="shared" si="3"/>
        <v>1</v>
      </c>
      <c r="R8" s="7"/>
      <c r="S8" s="6"/>
      <c r="T8" s="16">
        <v>1</v>
      </c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0.95833333333333337</v>
      </c>
      <c r="AD8" s="10">
        <f t="shared" si="6"/>
        <v>0.95833333333333337</v>
      </c>
      <c r="AE8" s="36">
        <f t="shared" si="7"/>
        <v>0.65909090909090906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280</v>
      </c>
      <c r="E9" s="53" t="s">
        <v>498</v>
      </c>
      <c r="F9" s="30" t="s">
        <v>404</v>
      </c>
      <c r="G9" s="12">
        <v>1</v>
      </c>
      <c r="H9" s="13">
        <v>24</v>
      </c>
      <c r="I9" s="7">
        <v>30000</v>
      </c>
      <c r="J9" s="14">
        <v>4849</v>
      </c>
      <c r="K9" s="15">
        <f>L9+3787+4146+4858+5011+4848+4251</f>
        <v>31750</v>
      </c>
      <c r="L9" s="15">
        <f>2400+2449</f>
        <v>4849</v>
      </c>
      <c r="M9" s="15">
        <f t="shared" si="0"/>
        <v>4849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0.65909090909090906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131</v>
      </c>
      <c r="E10" s="53" t="s">
        <v>168</v>
      </c>
      <c r="F10" s="30" t="s">
        <v>144</v>
      </c>
      <c r="G10" s="33">
        <v>1</v>
      </c>
      <c r="H10" s="35">
        <v>24</v>
      </c>
      <c r="I10" s="7">
        <v>27000</v>
      </c>
      <c r="J10" s="14">
        <v>6789</v>
      </c>
      <c r="K10" s="15">
        <f>L10+6380</f>
        <v>13169</v>
      </c>
      <c r="L10" s="15">
        <f>3342+3447</f>
        <v>6789</v>
      </c>
      <c r="M10" s="15">
        <f t="shared" si="0"/>
        <v>6789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0.65909090909090906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210</v>
      </c>
      <c r="D11" s="52" t="s">
        <v>448</v>
      </c>
      <c r="E11" s="53" t="s">
        <v>447</v>
      </c>
      <c r="F11" s="30" t="s">
        <v>213</v>
      </c>
      <c r="G11" s="33">
        <v>1</v>
      </c>
      <c r="H11" s="35">
        <v>24</v>
      </c>
      <c r="I11" s="7">
        <v>7000</v>
      </c>
      <c r="J11" s="14">
        <v>1412</v>
      </c>
      <c r="K11" s="15">
        <f>L11+1004+974+4619+1412</f>
        <v>8009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0.65909090909090906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134</v>
      </c>
      <c r="F12" s="30" t="s">
        <v>640</v>
      </c>
      <c r="G12" s="12">
        <v>1</v>
      </c>
      <c r="H12" s="13">
        <v>22</v>
      </c>
      <c r="I12" s="31">
        <v>100000</v>
      </c>
      <c r="J12" s="5">
        <v>4676</v>
      </c>
      <c r="K12" s="15">
        <f>L12</f>
        <v>4676</v>
      </c>
      <c r="L12" s="15">
        <f>1964+2712</f>
        <v>4676</v>
      </c>
      <c r="M12" s="15">
        <f t="shared" si="0"/>
        <v>4676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>
        <v>2</v>
      </c>
      <c r="T12" s="16"/>
      <c r="U12" s="16"/>
      <c r="V12" s="17"/>
      <c r="W12" s="5"/>
      <c r="X12" s="16"/>
      <c r="Y12" s="16"/>
      <c r="Z12" s="16"/>
      <c r="AA12" s="18">
        <v>2</v>
      </c>
      <c r="AB12" s="8">
        <f t="shared" si="4"/>
        <v>1</v>
      </c>
      <c r="AC12" s="9">
        <f t="shared" si="5"/>
        <v>0.83333333333333337</v>
      </c>
      <c r="AD12" s="10">
        <f t="shared" si="6"/>
        <v>0.83333333333333337</v>
      </c>
      <c r="AE12" s="36">
        <f t="shared" si="7"/>
        <v>0.65909090909090906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131</v>
      </c>
      <c r="E13" s="53" t="s">
        <v>154</v>
      </c>
      <c r="F13" s="30" t="s">
        <v>144</v>
      </c>
      <c r="G13" s="33">
        <v>2</v>
      </c>
      <c r="H13" s="35">
        <v>24</v>
      </c>
      <c r="I13" s="7">
        <v>28000</v>
      </c>
      <c r="J13" s="14">
        <v>11840</v>
      </c>
      <c r="K13" s="15">
        <f>L13+2474+11118+11656</f>
        <v>37088</v>
      </c>
      <c r="L13" s="15">
        <f>2901*2+3019*2</f>
        <v>11840</v>
      </c>
      <c r="M13" s="15">
        <f t="shared" si="0"/>
        <v>11840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0.65909090909090906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491</v>
      </c>
      <c r="F14" s="30" t="s">
        <v>286</v>
      </c>
      <c r="G14" s="33">
        <v>1</v>
      </c>
      <c r="H14" s="35">
        <v>50</v>
      </c>
      <c r="I14" s="7">
        <v>2500</v>
      </c>
      <c r="J14" s="5">
        <v>800</v>
      </c>
      <c r="K14" s="15">
        <f>L14+893+982+1050</f>
        <v>3725</v>
      </c>
      <c r="L14" s="15">
        <v>800</v>
      </c>
      <c r="M14" s="15">
        <f t="shared" si="0"/>
        <v>800</v>
      </c>
      <c r="N14" s="15">
        <v>0</v>
      </c>
      <c r="O14" s="58">
        <f t="shared" si="1"/>
        <v>0</v>
      </c>
      <c r="P14" s="39">
        <f t="shared" si="2"/>
        <v>10</v>
      </c>
      <c r="Q14" s="40">
        <f t="shared" si="3"/>
        <v>14</v>
      </c>
      <c r="R14" s="7"/>
      <c r="S14" s="6"/>
      <c r="T14" s="16"/>
      <c r="U14" s="16"/>
      <c r="V14" s="17">
        <v>14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0.41666666666666669</v>
      </c>
      <c r="AD14" s="10">
        <f t="shared" si="6"/>
        <v>0.41666666666666669</v>
      </c>
      <c r="AE14" s="36">
        <f t="shared" si="7"/>
        <v>0.65909090909090906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0.65909090909090906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280</v>
      </c>
      <c r="E16" s="53" t="s">
        <v>620</v>
      </c>
      <c r="F16" s="30" t="s">
        <v>217</v>
      </c>
      <c r="G16" s="12">
        <v>1</v>
      </c>
      <c r="H16" s="13">
        <v>24</v>
      </c>
      <c r="I16" s="7">
        <v>90000</v>
      </c>
      <c r="J16" s="14">
        <v>5599</v>
      </c>
      <c r="K16" s="15">
        <f>L16+5223</f>
        <v>10822</v>
      </c>
      <c r="L16" s="15">
        <f>2748+2851</f>
        <v>5599</v>
      </c>
      <c r="M16" s="15">
        <f t="shared" si="0"/>
        <v>5599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0.65909090909090906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210</v>
      </c>
      <c r="D17" s="52" t="s">
        <v>280</v>
      </c>
      <c r="E17" s="53" t="s">
        <v>502</v>
      </c>
      <c r="F17" s="30" t="s">
        <v>358</v>
      </c>
      <c r="G17" s="12">
        <v>3</v>
      </c>
      <c r="H17" s="13">
        <v>24</v>
      </c>
      <c r="I17" s="7">
        <v>260000</v>
      </c>
      <c r="J17" s="14">
        <v>17466</v>
      </c>
      <c r="K17" s="15">
        <f>L17+16128+16857+16941+16140+15960</f>
        <v>99492</v>
      </c>
      <c r="L17" s="15">
        <f>2854*3+2968*3</f>
        <v>17466</v>
      </c>
      <c r="M17" s="15">
        <f t="shared" si="0"/>
        <v>17466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0.65909090909090906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330</v>
      </c>
      <c r="F18" s="30" t="s">
        <v>144</v>
      </c>
      <c r="G18" s="33">
        <v>2</v>
      </c>
      <c r="H18" s="35">
        <v>24</v>
      </c>
      <c r="I18" s="7">
        <v>27200</v>
      </c>
      <c r="J18" s="14">
        <v>6081</v>
      </c>
      <c r="K18" s="15">
        <f>L18+5049+2711</f>
        <v>13841</v>
      </c>
      <c r="L18" s="15">
        <f>2495+370+1608*2</f>
        <v>6081</v>
      </c>
      <c r="M18" s="15">
        <f t="shared" si="0"/>
        <v>6081</v>
      </c>
      <c r="N18" s="15">
        <v>0</v>
      </c>
      <c r="O18" s="58">
        <f t="shared" si="1"/>
        <v>0</v>
      </c>
      <c r="P18" s="39">
        <f t="shared" si="2"/>
        <v>19</v>
      </c>
      <c r="Q18" s="40">
        <f t="shared" si="3"/>
        <v>5</v>
      </c>
      <c r="R18" s="7"/>
      <c r="S18" s="6">
        <v>5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0.79166666666666663</v>
      </c>
      <c r="AD18" s="10">
        <f t="shared" si="6"/>
        <v>0.79166666666666663</v>
      </c>
      <c r="AE18" s="36">
        <f t="shared" si="7"/>
        <v>0.65909090909090906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208</v>
      </c>
      <c r="E19" s="53" t="s">
        <v>512</v>
      </c>
      <c r="F19" s="30" t="s">
        <v>156</v>
      </c>
      <c r="G19" s="33">
        <v>1</v>
      </c>
      <c r="H19" s="35">
        <v>24</v>
      </c>
      <c r="I19" s="7">
        <v>39000</v>
      </c>
      <c r="J19" s="14">
        <v>3410</v>
      </c>
      <c r="K19" s="15">
        <f>L19+2260+4771+194+2851+3863+3917</f>
        <v>21266</v>
      </c>
      <c r="L19" s="15">
        <f>2626+271+513</f>
        <v>3410</v>
      </c>
      <c r="M19" s="15">
        <f t="shared" si="0"/>
        <v>3410</v>
      </c>
      <c r="N19" s="15">
        <v>0</v>
      </c>
      <c r="O19" s="58">
        <f t="shared" si="1"/>
        <v>0</v>
      </c>
      <c r="P19" s="39">
        <f t="shared" si="2"/>
        <v>17</v>
      </c>
      <c r="Q19" s="40">
        <f t="shared" si="3"/>
        <v>7</v>
      </c>
      <c r="R19" s="7"/>
      <c r="S19" s="6">
        <v>7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0.70833333333333337</v>
      </c>
      <c r="AD19" s="10">
        <f t="shared" si="6"/>
        <v>0.70833333333333337</v>
      </c>
      <c r="AE19" s="36">
        <f t="shared" si="7"/>
        <v>0.65909090909090906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537</v>
      </c>
      <c r="F20" s="30" t="s">
        <v>311</v>
      </c>
      <c r="G20" s="12">
        <v>1</v>
      </c>
      <c r="H20" s="13">
        <v>24</v>
      </c>
      <c r="I20" s="7">
        <v>30000</v>
      </c>
      <c r="J20" s="14">
        <v>5211</v>
      </c>
      <c r="K20" s="15">
        <f>L20+3822+5159+4288+5105+4943</f>
        <v>28528</v>
      </c>
      <c r="L20" s="15">
        <f>2564+2647</f>
        <v>5211</v>
      </c>
      <c r="M20" s="15">
        <f t="shared" si="0"/>
        <v>5211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0.65909090909090906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34220</v>
      </c>
      <c r="K21" s="15">
        <f t="shared" ref="K21" si="9">L21+62008+65280+66156+31132+60100+67104+64940+66996+38324+18548+31820+33244+32052+33372+27132+34220</f>
        <v>732428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0.65909090909090906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0.65909090909090906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0.65909090909090906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118</v>
      </c>
      <c r="D24" s="52" t="s">
        <v>289</v>
      </c>
      <c r="E24" s="53" t="s">
        <v>627</v>
      </c>
      <c r="F24" s="12" t="s">
        <v>156</v>
      </c>
      <c r="G24" s="12">
        <v>4</v>
      </c>
      <c r="H24" s="35">
        <v>20</v>
      </c>
      <c r="I24" s="7">
        <v>240000</v>
      </c>
      <c r="J24" s="14">
        <v>32268</v>
      </c>
      <c r="K24" s="15">
        <f>L24+27572</f>
        <v>59840</v>
      </c>
      <c r="L24" s="15">
        <f>3700*4+4367*4</f>
        <v>32268</v>
      </c>
      <c r="M24" s="15">
        <f t="shared" si="0"/>
        <v>32268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17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1</v>
      </c>
      <c r="AD24" s="10">
        <f t="shared" si="6"/>
        <v>1</v>
      </c>
      <c r="AE24" s="36">
        <f t="shared" si="7"/>
        <v>0.65909090909090906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118</v>
      </c>
      <c r="D25" s="52" t="s">
        <v>280</v>
      </c>
      <c r="E25" s="53" t="s">
        <v>628</v>
      </c>
      <c r="F25" s="12" t="s">
        <v>157</v>
      </c>
      <c r="G25" s="12">
        <v>4</v>
      </c>
      <c r="H25" s="35">
        <v>20</v>
      </c>
      <c r="I25" s="7">
        <v>240000</v>
      </c>
      <c r="J25" s="14">
        <v>29084</v>
      </c>
      <c r="K25" s="15">
        <f>L25+24768</f>
        <v>53852</v>
      </c>
      <c r="L25" s="15">
        <f>3325*4+3946*4</f>
        <v>29084</v>
      </c>
      <c r="M25" s="15">
        <f t="shared" si="0"/>
        <v>29084</v>
      </c>
      <c r="N25" s="15">
        <v>0</v>
      </c>
      <c r="O25" s="58">
        <f t="shared" si="1"/>
        <v>0</v>
      </c>
      <c r="P25" s="39">
        <f t="shared" si="2"/>
        <v>24</v>
      </c>
      <c r="Q25" s="40">
        <f t="shared" si="3"/>
        <v>0</v>
      </c>
      <c r="R25" s="7"/>
      <c r="S25" s="6"/>
      <c r="T25" s="16"/>
      <c r="U25" s="16"/>
      <c r="V25" s="17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1</v>
      </c>
      <c r="AD25" s="10">
        <f t="shared" si="6"/>
        <v>1</v>
      </c>
      <c r="AE25" s="36">
        <f t="shared" si="7"/>
        <v>0.65909090909090906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118</v>
      </c>
      <c r="D26" s="52" t="s">
        <v>129</v>
      </c>
      <c r="E26" s="53" t="s">
        <v>167</v>
      </c>
      <c r="F26" s="12" t="s">
        <v>157</v>
      </c>
      <c r="G26" s="12">
        <v>4</v>
      </c>
      <c r="H26" s="35">
        <v>20</v>
      </c>
      <c r="I26" s="7">
        <v>240000</v>
      </c>
      <c r="J26" s="14">
        <v>29968</v>
      </c>
      <c r="K26" s="15">
        <f>L26+25004</f>
        <v>54972</v>
      </c>
      <c r="L26" s="15">
        <f>3443*4+4049*4</f>
        <v>29968</v>
      </c>
      <c r="M26" s="15">
        <f t="shared" si="0"/>
        <v>29968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17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6"/>
        <v>1</v>
      </c>
      <c r="AE26" s="36">
        <f t="shared" si="7"/>
        <v>0.65909090909090906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118</v>
      </c>
      <c r="D27" s="52" t="s">
        <v>115</v>
      </c>
      <c r="E27" s="53" t="s">
        <v>629</v>
      </c>
      <c r="F27" s="12" t="s">
        <v>128</v>
      </c>
      <c r="G27" s="12">
        <v>4</v>
      </c>
      <c r="H27" s="35">
        <v>20</v>
      </c>
      <c r="I27" s="7">
        <v>240000</v>
      </c>
      <c r="J27" s="14">
        <v>26340</v>
      </c>
      <c r="K27" s="15">
        <f>L27+22152</f>
        <v>48492</v>
      </c>
      <c r="L27" s="15">
        <f>2975*4+3610*4</f>
        <v>26340</v>
      </c>
      <c r="M27" s="15">
        <f t="shared" si="0"/>
        <v>26340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7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6"/>
        <v>1</v>
      </c>
      <c r="AE27" s="36">
        <f>$AD$28</f>
        <v>0.65909090909090906</v>
      </c>
      <c r="AF27" s="84">
        <f t="shared" si="8"/>
        <v>36</v>
      </c>
    </row>
    <row r="28" spans="1:32" ht="31.5" customHeight="1" thickBot="1">
      <c r="A28" s="443" t="s">
        <v>34</v>
      </c>
      <c r="B28" s="444"/>
      <c r="C28" s="444"/>
      <c r="D28" s="444"/>
      <c r="E28" s="444"/>
      <c r="F28" s="444"/>
      <c r="G28" s="444"/>
      <c r="H28" s="445"/>
      <c r="I28" s="22">
        <f t="shared" ref="I28:N28" si="10">SUM(I6:I27)</f>
        <v>2889700</v>
      </c>
      <c r="J28" s="19">
        <f t="shared" si="10"/>
        <v>268315</v>
      </c>
      <c r="K28" s="20">
        <f t="shared" si="10"/>
        <v>1276115</v>
      </c>
      <c r="L28" s="21">
        <f t="shared" si="10"/>
        <v>214037</v>
      </c>
      <c r="M28" s="20">
        <f t="shared" si="10"/>
        <v>214037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348</v>
      </c>
      <c r="Q28" s="43">
        <f t="shared" si="11"/>
        <v>180</v>
      </c>
      <c r="R28" s="23">
        <f t="shared" si="11"/>
        <v>0</v>
      </c>
      <c r="S28" s="24">
        <f t="shared" si="11"/>
        <v>43</v>
      </c>
      <c r="T28" s="24">
        <f t="shared" si="11"/>
        <v>1</v>
      </c>
      <c r="U28" s="24">
        <f t="shared" si="11"/>
        <v>0</v>
      </c>
      <c r="V28" s="25">
        <f t="shared" si="11"/>
        <v>86</v>
      </c>
      <c r="W28" s="26">
        <f t="shared" si="11"/>
        <v>24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26</v>
      </c>
      <c r="AB28" s="28">
        <f>AVERAGE(AB6:AB27)</f>
        <v>0.8</v>
      </c>
      <c r="AC28" s="4">
        <f>AVERAGE(AC6:AC27)</f>
        <v>0.65909090909090906</v>
      </c>
      <c r="AD28" s="4">
        <f>AVERAGE(AD6:AD27)</f>
        <v>0.65909090909090906</v>
      </c>
      <c r="AE28" s="29"/>
    </row>
    <row r="29" spans="1:32">
      <c r="T29" s="50" t="s">
        <v>500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511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46" t="s">
        <v>45</v>
      </c>
      <c r="B55" s="446"/>
      <c r="C55" s="446"/>
      <c r="D55" s="446"/>
      <c r="E55" s="44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47" t="s">
        <v>641</v>
      </c>
      <c r="B56" s="448"/>
      <c r="C56" s="448"/>
      <c r="D56" s="448"/>
      <c r="E56" s="448"/>
      <c r="F56" s="448"/>
      <c r="G56" s="448"/>
      <c r="H56" s="448"/>
      <c r="I56" s="448"/>
      <c r="J56" s="448"/>
      <c r="K56" s="448"/>
      <c r="L56" s="448"/>
      <c r="M56" s="449"/>
      <c r="N56" s="450" t="s">
        <v>643</v>
      </c>
      <c r="O56" s="451"/>
      <c r="P56" s="451"/>
      <c r="Q56" s="451"/>
      <c r="R56" s="451"/>
      <c r="S56" s="451"/>
      <c r="T56" s="451"/>
      <c r="U56" s="451"/>
      <c r="V56" s="451"/>
      <c r="W56" s="451"/>
      <c r="X56" s="451"/>
      <c r="Y56" s="451"/>
      <c r="Z56" s="451"/>
      <c r="AA56" s="451"/>
      <c r="AB56" s="451"/>
      <c r="AC56" s="451"/>
      <c r="AD56" s="452"/>
    </row>
    <row r="57" spans="1:32" ht="27" customHeight="1">
      <c r="A57" s="453" t="s">
        <v>2</v>
      </c>
      <c r="B57" s="454"/>
      <c r="C57" s="413" t="s">
        <v>46</v>
      </c>
      <c r="D57" s="413" t="s">
        <v>47</v>
      </c>
      <c r="E57" s="413" t="s">
        <v>107</v>
      </c>
      <c r="F57" s="455" t="s">
        <v>106</v>
      </c>
      <c r="G57" s="456"/>
      <c r="H57" s="456"/>
      <c r="I57" s="456"/>
      <c r="J57" s="456"/>
      <c r="K57" s="456"/>
      <c r="L57" s="456"/>
      <c r="M57" s="457"/>
      <c r="N57" s="67" t="s">
        <v>110</v>
      </c>
      <c r="O57" s="413" t="s">
        <v>46</v>
      </c>
      <c r="P57" s="455" t="s">
        <v>47</v>
      </c>
      <c r="Q57" s="458"/>
      <c r="R57" s="455" t="s">
        <v>38</v>
      </c>
      <c r="S57" s="456"/>
      <c r="T57" s="456"/>
      <c r="U57" s="458"/>
      <c r="V57" s="455" t="s">
        <v>48</v>
      </c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69" t="s">
        <v>118</v>
      </c>
      <c r="B58" s="470"/>
      <c r="C58" s="415" t="s">
        <v>147</v>
      </c>
      <c r="D58" s="415" t="s">
        <v>142</v>
      </c>
      <c r="E58" s="415" t="s">
        <v>501</v>
      </c>
      <c r="F58" s="471" t="s">
        <v>642</v>
      </c>
      <c r="G58" s="472"/>
      <c r="H58" s="472"/>
      <c r="I58" s="472"/>
      <c r="J58" s="472"/>
      <c r="K58" s="472"/>
      <c r="L58" s="472"/>
      <c r="M58" s="473"/>
      <c r="N58" s="414" t="s">
        <v>112</v>
      </c>
      <c r="O58" s="421" t="s">
        <v>318</v>
      </c>
      <c r="P58" s="474" t="s">
        <v>208</v>
      </c>
      <c r="Q58" s="475"/>
      <c r="R58" s="474" t="s">
        <v>512</v>
      </c>
      <c r="S58" s="476"/>
      <c r="T58" s="476"/>
      <c r="U58" s="475"/>
      <c r="V58" s="477" t="s">
        <v>124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 t="s">
        <v>210</v>
      </c>
      <c r="B59" s="488"/>
      <c r="C59" s="418" t="s">
        <v>139</v>
      </c>
      <c r="D59" s="418" t="s">
        <v>115</v>
      </c>
      <c r="E59" s="415" t="s">
        <v>606</v>
      </c>
      <c r="F59" s="471" t="s">
        <v>132</v>
      </c>
      <c r="G59" s="472"/>
      <c r="H59" s="472"/>
      <c r="I59" s="472"/>
      <c r="J59" s="472"/>
      <c r="K59" s="472"/>
      <c r="L59" s="472"/>
      <c r="M59" s="473"/>
      <c r="N59" s="414" t="s">
        <v>112</v>
      </c>
      <c r="O59" s="421" t="s">
        <v>191</v>
      </c>
      <c r="P59" s="474" t="s">
        <v>115</v>
      </c>
      <c r="Q59" s="475"/>
      <c r="R59" s="474" t="s">
        <v>330</v>
      </c>
      <c r="S59" s="476"/>
      <c r="T59" s="476"/>
      <c r="U59" s="475"/>
      <c r="V59" s="477" t="s">
        <v>124</v>
      </c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 t="s">
        <v>112</v>
      </c>
      <c r="B60" s="488"/>
      <c r="C60" s="418" t="s">
        <v>318</v>
      </c>
      <c r="D60" s="418" t="s">
        <v>208</v>
      </c>
      <c r="E60" s="415" t="s">
        <v>512</v>
      </c>
      <c r="F60" s="471" t="s">
        <v>471</v>
      </c>
      <c r="G60" s="472"/>
      <c r="H60" s="472"/>
      <c r="I60" s="472"/>
      <c r="J60" s="472"/>
      <c r="K60" s="472"/>
      <c r="L60" s="472"/>
      <c r="M60" s="473"/>
      <c r="N60" s="414" t="s">
        <v>112</v>
      </c>
      <c r="O60" s="421" t="s">
        <v>133</v>
      </c>
      <c r="P60" s="474" t="s">
        <v>269</v>
      </c>
      <c r="Q60" s="475"/>
      <c r="R60" s="474" t="s">
        <v>270</v>
      </c>
      <c r="S60" s="476"/>
      <c r="T60" s="476"/>
      <c r="U60" s="475"/>
      <c r="V60" s="477" t="s">
        <v>469</v>
      </c>
      <c r="W60" s="477"/>
      <c r="X60" s="477"/>
      <c r="Y60" s="477"/>
      <c r="Z60" s="477"/>
      <c r="AA60" s="477"/>
      <c r="AB60" s="477"/>
      <c r="AC60" s="477"/>
      <c r="AD60" s="478"/>
    </row>
    <row r="61" spans="1:32" ht="27" customHeight="1">
      <c r="A61" s="487" t="s">
        <v>112</v>
      </c>
      <c r="B61" s="488"/>
      <c r="C61" s="418" t="s">
        <v>191</v>
      </c>
      <c r="D61" s="418" t="s">
        <v>115</v>
      </c>
      <c r="E61" s="415" t="s">
        <v>330</v>
      </c>
      <c r="F61" s="471" t="s">
        <v>632</v>
      </c>
      <c r="G61" s="472"/>
      <c r="H61" s="472"/>
      <c r="I61" s="472"/>
      <c r="J61" s="472"/>
      <c r="K61" s="472"/>
      <c r="L61" s="472"/>
      <c r="M61" s="473"/>
      <c r="N61" s="414" t="s">
        <v>112</v>
      </c>
      <c r="O61" s="421" t="s">
        <v>318</v>
      </c>
      <c r="P61" s="474" t="s">
        <v>208</v>
      </c>
      <c r="Q61" s="475"/>
      <c r="R61" s="474" t="s">
        <v>512</v>
      </c>
      <c r="S61" s="476"/>
      <c r="T61" s="476"/>
      <c r="U61" s="475"/>
      <c r="V61" s="477" t="s">
        <v>124</v>
      </c>
      <c r="W61" s="477"/>
      <c r="X61" s="477"/>
      <c r="Y61" s="477"/>
      <c r="Z61" s="477"/>
      <c r="AA61" s="477"/>
      <c r="AB61" s="477"/>
      <c r="AC61" s="477"/>
      <c r="AD61" s="478"/>
    </row>
    <row r="62" spans="1:32" ht="27" customHeight="1">
      <c r="A62" s="487" t="s">
        <v>112</v>
      </c>
      <c r="B62" s="488"/>
      <c r="C62" s="418" t="s">
        <v>257</v>
      </c>
      <c r="D62" s="418" t="s">
        <v>115</v>
      </c>
      <c r="E62" s="415" t="s">
        <v>491</v>
      </c>
      <c r="F62" s="471" t="s">
        <v>132</v>
      </c>
      <c r="G62" s="472"/>
      <c r="H62" s="472"/>
      <c r="I62" s="472"/>
      <c r="J62" s="472"/>
      <c r="K62" s="472"/>
      <c r="L62" s="472"/>
      <c r="M62" s="473"/>
      <c r="N62" s="414" t="s">
        <v>112</v>
      </c>
      <c r="O62" s="421" t="s">
        <v>198</v>
      </c>
      <c r="P62" s="474" t="s">
        <v>184</v>
      </c>
      <c r="Q62" s="475"/>
      <c r="R62" s="474" t="s">
        <v>644</v>
      </c>
      <c r="S62" s="476"/>
      <c r="T62" s="476"/>
      <c r="U62" s="475"/>
      <c r="V62" s="477" t="s">
        <v>132</v>
      </c>
      <c r="W62" s="477"/>
      <c r="X62" s="477"/>
      <c r="Y62" s="477"/>
      <c r="Z62" s="477"/>
      <c r="AA62" s="477"/>
      <c r="AB62" s="477"/>
      <c r="AC62" s="477"/>
      <c r="AD62" s="478"/>
    </row>
    <row r="63" spans="1:32" ht="27" customHeight="1">
      <c r="A63" s="487" t="s">
        <v>118</v>
      </c>
      <c r="B63" s="488"/>
      <c r="C63" s="418" t="s">
        <v>386</v>
      </c>
      <c r="D63" s="418" t="s">
        <v>115</v>
      </c>
      <c r="E63" s="415" t="s">
        <v>134</v>
      </c>
      <c r="F63" s="471" t="s">
        <v>520</v>
      </c>
      <c r="G63" s="472"/>
      <c r="H63" s="472"/>
      <c r="I63" s="472"/>
      <c r="J63" s="472"/>
      <c r="K63" s="472"/>
      <c r="L63" s="472"/>
      <c r="M63" s="473"/>
      <c r="N63" s="414"/>
      <c r="O63" s="421"/>
      <c r="P63" s="474"/>
      <c r="Q63" s="475"/>
      <c r="R63" s="474"/>
      <c r="S63" s="476"/>
      <c r="T63" s="476"/>
      <c r="U63" s="475"/>
      <c r="V63" s="477"/>
      <c r="W63" s="477"/>
      <c r="X63" s="477"/>
      <c r="Y63" s="477"/>
      <c r="Z63" s="477"/>
      <c r="AA63" s="477"/>
      <c r="AB63" s="477"/>
      <c r="AC63" s="477"/>
      <c r="AD63" s="478"/>
    </row>
    <row r="64" spans="1:32" ht="27" customHeight="1">
      <c r="A64" s="469"/>
      <c r="B64" s="470"/>
      <c r="C64" s="415"/>
      <c r="D64" s="415"/>
      <c r="E64" s="415"/>
      <c r="F64" s="471"/>
      <c r="G64" s="472"/>
      <c r="H64" s="472"/>
      <c r="I64" s="472"/>
      <c r="J64" s="472"/>
      <c r="K64" s="472"/>
      <c r="L64" s="472"/>
      <c r="M64" s="473"/>
      <c r="N64" s="414"/>
      <c r="O64" s="421"/>
      <c r="P64" s="474"/>
      <c r="Q64" s="475"/>
      <c r="R64" s="474"/>
      <c r="S64" s="476"/>
      <c r="T64" s="476"/>
      <c r="U64" s="475"/>
      <c r="V64" s="477"/>
      <c r="W64" s="477"/>
      <c r="X64" s="477"/>
      <c r="Y64" s="477"/>
      <c r="Z64" s="477"/>
      <c r="AA64" s="477"/>
      <c r="AB64" s="477"/>
      <c r="AC64" s="477"/>
      <c r="AD64" s="478"/>
    </row>
    <row r="65" spans="1:32" ht="27" customHeight="1">
      <c r="A65" s="487"/>
      <c r="B65" s="488"/>
      <c r="C65" s="418"/>
      <c r="D65" s="418"/>
      <c r="E65" s="415"/>
      <c r="F65" s="471"/>
      <c r="G65" s="472"/>
      <c r="H65" s="472"/>
      <c r="I65" s="472"/>
      <c r="J65" s="472"/>
      <c r="K65" s="472"/>
      <c r="L65" s="472"/>
      <c r="M65" s="473"/>
      <c r="N65" s="414"/>
      <c r="O65" s="421"/>
      <c r="P65" s="474"/>
      <c r="Q65" s="475"/>
      <c r="R65" s="474"/>
      <c r="S65" s="476"/>
      <c r="T65" s="476"/>
      <c r="U65" s="475"/>
      <c r="V65" s="477"/>
      <c r="W65" s="477"/>
      <c r="X65" s="477"/>
      <c r="Y65" s="477"/>
      <c r="Z65" s="477"/>
      <c r="AA65" s="477"/>
      <c r="AB65" s="477"/>
      <c r="AC65" s="477"/>
      <c r="AD65" s="478"/>
    </row>
    <row r="66" spans="1:32" ht="27" customHeight="1">
      <c r="A66" s="487"/>
      <c r="B66" s="488"/>
      <c r="C66" s="418"/>
      <c r="D66" s="418"/>
      <c r="E66" s="415"/>
      <c r="F66" s="471"/>
      <c r="G66" s="472"/>
      <c r="H66" s="472"/>
      <c r="I66" s="472"/>
      <c r="J66" s="472"/>
      <c r="K66" s="472"/>
      <c r="L66" s="472"/>
      <c r="M66" s="473"/>
      <c r="N66" s="414"/>
      <c r="O66" s="421"/>
      <c r="P66" s="470"/>
      <c r="Q66" s="470"/>
      <c r="R66" s="470"/>
      <c r="S66" s="470"/>
      <c r="T66" s="470"/>
      <c r="U66" s="470"/>
      <c r="V66" s="477"/>
      <c r="W66" s="477"/>
      <c r="X66" s="477"/>
      <c r="Y66" s="477"/>
      <c r="Z66" s="477"/>
      <c r="AA66" s="477"/>
      <c r="AB66" s="477"/>
      <c r="AC66" s="477"/>
      <c r="AD66" s="478"/>
      <c r="AF66" s="84">
        <f>8*3000</f>
        <v>24000</v>
      </c>
    </row>
    <row r="67" spans="1:32" ht="27" customHeight="1" thickBot="1">
      <c r="A67" s="479"/>
      <c r="B67" s="480"/>
      <c r="C67" s="416"/>
      <c r="D67" s="417"/>
      <c r="E67" s="416"/>
      <c r="F67" s="481"/>
      <c r="G67" s="482"/>
      <c r="H67" s="482"/>
      <c r="I67" s="482"/>
      <c r="J67" s="482"/>
      <c r="K67" s="482"/>
      <c r="L67" s="482"/>
      <c r="M67" s="483"/>
      <c r="N67" s="111"/>
      <c r="O67" s="103"/>
      <c r="P67" s="484"/>
      <c r="Q67" s="484"/>
      <c r="R67" s="484"/>
      <c r="S67" s="484"/>
      <c r="T67" s="484"/>
      <c r="U67" s="484"/>
      <c r="V67" s="485"/>
      <c r="W67" s="485"/>
      <c r="X67" s="485"/>
      <c r="Y67" s="485"/>
      <c r="Z67" s="485"/>
      <c r="AA67" s="485"/>
      <c r="AB67" s="485"/>
      <c r="AC67" s="485"/>
      <c r="AD67" s="486"/>
      <c r="AF67" s="84">
        <f>16*3000</f>
        <v>48000</v>
      </c>
    </row>
    <row r="68" spans="1:32" ht="27.75" thickBot="1">
      <c r="A68" s="489" t="s">
        <v>645</v>
      </c>
      <c r="B68" s="489"/>
      <c r="C68" s="489"/>
      <c r="D68" s="489"/>
      <c r="E68" s="489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490" t="s">
        <v>111</v>
      </c>
      <c r="B69" s="491"/>
      <c r="C69" s="419" t="s">
        <v>2</v>
      </c>
      <c r="D69" s="419" t="s">
        <v>37</v>
      </c>
      <c r="E69" s="419" t="s">
        <v>3</v>
      </c>
      <c r="F69" s="491" t="s">
        <v>109</v>
      </c>
      <c r="G69" s="491"/>
      <c r="H69" s="491"/>
      <c r="I69" s="491"/>
      <c r="J69" s="491"/>
      <c r="K69" s="491" t="s">
        <v>39</v>
      </c>
      <c r="L69" s="491"/>
      <c r="M69" s="419" t="s">
        <v>40</v>
      </c>
      <c r="N69" s="491" t="s">
        <v>41</v>
      </c>
      <c r="O69" s="491"/>
      <c r="P69" s="492" t="s">
        <v>42</v>
      </c>
      <c r="Q69" s="493"/>
      <c r="R69" s="492" t="s">
        <v>43</v>
      </c>
      <c r="S69" s="494"/>
      <c r="T69" s="494"/>
      <c r="U69" s="494"/>
      <c r="V69" s="494"/>
      <c r="W69" s="494"/>
      <c r="X69" s="494"/>
      <c r="Y69" s="494"/>
      <c r="Z69" s="494"/>
      <c r="AA69" s="493"/>
      <c r="AB69" s="491" t="s">
        <v>44</v>
      </c>
      <c r="AC69" s="491"/>
      <c r="AD69" s="495"/>
      <c r="AF69" s="84">
        <f>SUM(AF66:AF68)</f>
        <v>96000</v>
      </c>
    </row>
    <row r="70" spans="1:32" ht="25.5" customHeight="1">
      <c r="A70" s="496">
        <v>1</v>
      </c>
      <c r="B70" s="497"/>
      <c r="C70" s="104" t="s">
        <v>118</v>
      </c>
      <c r="D70" s="423"/>
      <c r="E70" s="420" t="s">
        <v>242</v>
      </c>
      <c r="F70" s="498" t="s">
        <v>646</v>
      </c>
      <c r="G70" s="499"/>
      <c r="H70" s="499"/>
      <c r="I70" s="499"/>
      <c r="J70" s="500"/>
      <c r="K70" s="501" t="s">
        <v>358</v>
      </c>
      <c r="L70" s="501"/>
      <c r="M70" s="51" t="s">
        <v>143</v>
      </c>
      <c r="N70" s="502" t="s">
        <v>133</v>
      </c>
      <c r="O70" s="502"/>
      <c r="P70" s="503">
        <f>60*8</f>
        <v>480</v>
      </c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2</v>
      </c>
      <c r="B71" s="497"/>
      <c r="C71" s="104" t="s">
        <v>112</v>
      </c>
      <c r="D71" s="423"/>
      <c r="E71" s="420" t="s">
        <v>269</v>
      </c>
      <c r="F71" s="498" t="s">
        <v>647</v>
      </c>
      <c r="G71" s="499"/>
      <c r="H71" s="499"/>
      <c r="I71" s="499"/>
      <c r="J71" s="500"/>
      <c r="K71" s="501" t="s">
        <v>249</v>
      </c>
      <c r="L71" s="501"/>
      <c r="M71" s="51" t="s">
        <v>143</v>
      </c>
      <c r="N71" s="502" t="s">
        <v>133</v>
      </c>
      <c r="O71" s="502"/>
      <c r="P71" s="503">
        <v>250</v>
      </c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3</v>
      </c>
      <c r="B72" s="497"/>
      <c r="C72" s="104" t="s">
        <v>210</v>
      </c>
      <c r="D72" s="423"/>
      <c r="E72" s="420" t="s">
        <v>115</v>
      </c>
      <c r="F72" s="498" t="s">
        <v>351</v>
      </c>
      <c r="G72" s="499"/>
      <c r="H72" s="499"/>
      <c r="I72" s="499"/>
      <c r="J72" s="500"/>
      <c r="K72" s="501">
        <v>7301</v>
      </c>
      <c r="L72" s="501"/>
      <c r="M72" s="51" t="s">
        <v>143</v>
      </c>
      <c r="N72" s="502" t="s">
        <v>139</v>
      </c>
      <c r="O72" s="502"/>
      <c r="P72" s="503">
        <v>60</v>
      </c>
      <c r="Q72" s="503"/>
      <c r="R72" s="477"/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4</v>
      </c>
      <c r="B73" s="497"/>
      <c r="C73" s="104" t="s">
        <v>112</v>
      </c>
      <c r="D73" s="423"/>
      <c r="E73" s="420" t="s">
        <v>242</v>
      </c>
      <c r="F73" s="498" t="s">
        <v>648</v>
      </c>
      <c r="G73" s="499"/>
      <c r="H73" s="499"/>
      <c r="I73" s="499"/>
      <c r="J73" s="500"/>
      <c r="K73" s="501" t="s">
        <v>217</v>
      </c>
      <c r="L73" s="501"/>
      <c r="M73" s="51" t="s">
        <v>143</v>
      </c>
      <c r="N73" s="502" t="s">
        <v>372</v>
      </c>
      <c r="O73" s="502"/>
      <c r="P73" s="503">
        <v>500</v>
      </c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5.5" customHeight="1">
      <c r="A74" s="496">
        <v>5</v>
      </c>
      <c r="B74" s="497"/>
      <c r="C74" s="104" t="s">
        <v>118</v>
      </c>
      <c r="D74" s="423"/>
      <c r="E74" s="420" t="s">
        <v>650</v>
      </c>
      <c r="F74" s="498" t="s">
        <v>649</v>
      </c>
      <c r="G74" s="499"/>
      <c r="H74" s="499"/>
      <c r="I74" s="499"/>
      <c r="J74" s="500"/>
      <c r="K74" s="501" t="s">
        <v>156</v>
      </c>
      <c r="L74" s="501"/>
      <c r="M74" s="51" t="s">
        <v>143</v>
      </c>
      <c r="N74" s="502" t="s">
        <v>372</v>
      </c>
      <c r="O74" s="502"/>
      <c r="P74" s="503">
        <v>480</v>
      </c>
      <c r="Q74" s="503"/>
      <c r="R74" s="477"/>
      <c r="S74" s="477"/>
      <c r="T74" s="477"/>
      <c r="U74" s="477"/>
      <c r="V74" s="477"/>
      <c r="W74" s="477"/>
      <c r="X74" s="477"/>
      <c r="Y74" s="477"/>
      <c r="Z74" s="477"/>
      <c r="AA74" s="477"/>
      <c r="AB74" s="501"/>
      <c r="AC74" s="501"/>
      <c r="AD74" s="504"/>
      <c r="AF74" s="50"/>
    </row>
    <row r="75" spans="1:32" ht="25.5" customHeight="1">
      <c r="A75" s="496">
        <v>6</v>
      </c>
      <c r="B75" s="497"/>
      <c r="C75" s="104" t="s">
        <v>210</v>
      </c>
      <c r="D75" s="423"/>
      <c r="E75" s="420" t="s">
        <v>115</v>
      </c>
      <c r="F75" s="498" t="s">
        <v>651</v>
      </c>
      <c r="G75" s="499"/>
      <c r="H75" s="499"/>
      <c r="I75" s="499"/>
      <c r="J75" s="500"/>
      <c r="K75" s="501">
        <v>7301</v>
      </c>
      <c r="L75" s="501"/>
      <c r="M75" s="51" t="s">
        <v>143</v>
      </c>
      <c r="N75" s="502" t="s">
        <v>386</v>
      </c>
      <c r="O75" s="502"/>
      <c r="P75" s="503">
        <v>60</v>
      </c>
      <c r="Q75" s="503"/>
      <c r="R75" s="477"/>
      <c r="S75" s="477"/>
      <c r="T75" s="477"/>
      <c r="U75" s="477"/>
      <c r="V75" s="477"/>
      <c r="W75" s="477"/>
      <c r="X75" s="477"/>
      <c r="Y75" s="477"/>
      <c r="Z75" s="477"/>
      <c r="AA75" s="477"/>
      <c r="AB75" s="501"/>
      <c r="AC75" s="501"/>
      <c r="AD75" s="504"/>
      <c r="AF75" s="50"/>
    </row>
    <row r="76" spans="1:32" ht="25.5" customHeight="1">
      <c r="A76" s="496">
        <v>7</v>
      </c>
      <c r="B76" s="497"/>
      <c r="C76" s="104"/>
      <c r="D76" s="423"/>
      <c r="E76" s="420"/>
      <c r="F76" s="498"/>
      <c r="G76" s="499"/>
      <c r="H76" s="499"/>
      <c r="I76" s="499"/>
      <c r="J76" s="500"/>
      <c r="K76" s="501"/>
      <c r="L76" s="501"/>
      <c r="M76" s="51"/>
      <c r="N76" s="502"/>
      <c r="O76" s="502"/>
      <c r="P76" s="503"/>
      <c r="Q76" s="503"/>
      <c r="R76" s="477"/>
      <c r="S76" s="477"/>
      <c r="T76" s="477"/>
      <c r="U76" s="477"/>
      <c r="V76" s="477"/>
      <c r="W76" s="477"/>
      <c r="X76" s="477"/>
      <c r="Y76" s="477"/>
      <c r="Z76" s="477"/>
      <c r="AA76" s="477"/>
      <c r="AB76" s="501"/>
      <c r="AC76" s="501"/>
      <c r="AD76" s="504"/>
      <c r="AF76" s="50"/>
    </row>
    <row r="77" spans="1:32" ht="25.5" customHeight="1">
      <c r="A77" s="496">
        <v>8</v>
      </c>
      <c r="B77" s="497"/>
      <c r="C77" s="104"/>
      <c r="D77" s="423"/>
      <c r="E77" s="420"/>
      <c r="F77" s="505"/>
      <c r="G77" s="501"/>
      <c r="H77" s="501"/>
      <c r="I77" s="501"/>
      <c r="J77" s="501"/>
      <c r="K77" s="501"/>
      <c r="L77" s="501"/>
      <c r="M77" s="51"/>
      <c r="N77" s="502"/>
      <c r="O77" s="502"/>
      <c r="P77" s="503"/>
      <c r="Q77" s="503"/>
      <c r="R77" s="477"/>
      <c r="S77" s="477"/>
      <c r="T77" s="477"/>
      <c r="U77" s="477"/>
      <c r="V77" s="477"/>
      <c r="W77" s="477"/>
      <c r="X77" s="477"/>
      <c r="Y77" s="477"/>
      <c r="Z77" s="477"/>
      <c r="AA77" s="477"/>
      <c r="AB77" s="501"/>
      <c r="AC77" s="501"/>
      <c r="AD77" s="504"/>
      <c r="AF77" s="50"/>
    </row>
    <row r="78" spans="1:32" ht="25.5" customHeight="1">
      <c r="A78" s="496">
        <v>9</v>
      </c>
      <c r="B78" s="497"/>
      <c r="C78" s="104"/>
      <c r="D78" s="423"/>
      <c r="E78" s="420"/>
      <c r="F78" s="505"/>
      <c r="G78" s="501"/>
      <c r="H78" s="501"/>
      <c r="I78" s="501"/>
      <c r="J78" s="501"/>
      <c r="K78" s="501"/>
      <c r="L78" s="501"/>
      <c r="M78" s="51"/>
      <c r="N78" s="502"/>
      <c r="O78" s="502"/>
      <c r="P78" s="503"/>
      <c r="Q78" s="503"/>
      <c r="R78" s="477"/>
      <c r="S78" s="477"/>
      <c r="T78" s="477"/>
      <c r="U78" s="477"/>
      <c r="V78" s="477"/>
      <c r="W78" s="477"/>
      <c r="X78" s="477"/>
      <c r="Y78" s="477"/>
      <c r="Z78" s="477"/>
      <c r="AA78" s="477"/>
      <c r="AB78" s="501"/>
      <c r="AC78" s="501"/>
      <c r="AD78" s="504"/>
      <c r="AF78" s="50"/>
    </row>
    <row r="79" spans="1:32" ht="25.5" customHeight="1">
      <c r="A79" s="496">
        <v>10</v>
      </c>
      <c r="B79" s="497"/>
      <c r="C79" s="104"/>
      <c r="D79" s="423"/>
      <c r="E79" s="420"/>
      <c r="F79" s="505"/>
      <c r="G79" s="501"/>
      <c r="H79" s="501"/>
      <c r="I79" s="501"/>
      <c r="J79" s="501"/>
      <c r="K79" s="501"/>
      <c r="L79" s="501"/>
      <c r="M79" s="51"/>
      <c r="N79" s="502"/>
      <c r="O79" s="502"/>
      <c r="P79" s="503"/>
      <c r="Q79" s="503"/>
      <c r="R79" s="477"/>
      <c r="S79" s="477"/>
      <c r="T79" s="477"/>
      <c r="U79" s="477"/>
      <c r="V79" s="477"/>
      <c r="W79" s="477"/>
      <c r="X79" s="477"/>
      <c r="Y79" s="477"/>
      <c r="Z79" s="477"/>
      <c r="AA79" s="477"/>
      <c r="AB79" s="501"/>
      <c r="AC79" s="501"/>
      <c r="AD79" s="504"/>
      <c r="AF79" s="50"/>
    </row>
    <row r="80" spans="1:32" ht="26.25" customHeight="1" thickBot="1">
      <c r="A80" s="506" t="s">
        <v>652</v>
      </c>
      <c r="B80" s="506"/>
      <c r="C80" s="506"/>
      <c r="D80" s="506"/>
      <c r="E80" s="506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50" t="s">
        <v>111</v>
      </c>
      <c r="B81" s="551"/>
      <c r="C81" s="422" t="s">
        <v>2</v>
      </c>
      <c r="D81" s="422" t="s">
        <v>37</v>
      </c>
      <c r="E81" s="422" t="s">
        <v>125</v>
      </c>
      <c r="F81" s="508" t="s">
        <v>38</v>
      </c>
      <c r="G81" s="508"/>
      <c r="H81" s="508"/>
      <c r="I81" s="508"/>
      <c r="J81" s="508"/>
      <c r="K81" s="509" t="s">
        <v>58</v>
      </c>
      <c r="L81" s="510"/>
      <c r="M81" s="510"/>
      <c r="N81" s="510"/>
      <c r="O81" s="510"/>
      <c r="P81" s="510"/>
      <c r="Q81" s="510"/>
      <c r="R81" s="510"/>
      <c r="S81" s="511"/>
      <c r="T81" s="508" t="s">
        <v>49</v>
      </c>
      <c r="U81" s="508"/>
      <c r="V81" s="509" t="s">
        <v>50</v>
      </c>
      <c r="W81" s="511"/>
      <c r="X81" s="510" t="s">
        <v>51</v>
      </c>
      <c r="Y81" s="510"/>
      <c r="Z81" s="510"/>
      <c r="AA81" s="510"/>
      <c r="AB81" s="510"/>
      <c r="AC81" s="510"/>
      <c r="AD81" s="512"/>
      <c r="AF81" s="50"/>
    </row>
    <row r="82" spans="1:32" ht="33.75" customHeight="1">
      <c r="A82" s="521">
        <v>1</v>
      </c>
      <c r="B82" s="522"/>
      <c r="C82" s="424"/>
      <c r="D82" s="424"/>
      <c r="E82" s="65"/>
      <c r="F82" s="523"/>
      <c r="G82" s="524"/>
      <c r="H82" s="524"/>
      <c r="I82" s="524"/>
      <c r="J82" s="525"/>
      <c r="K82" s="526"/>
      <c r="L82" s="527"/>
      <c r="M82" s="527"/>
      <c r="N82" s="527"/>
      <c r="O82" s="527"/>
      <c r="P82" s="527"/>
      <c r="Q82" s="527"/>
      <c r="R82" s="527"/>
      <c r="S82" s="528"/>
      <c r="T82" s="529"/>
      <c r="U82" s="530"/>
      <c r="V82" s="531"/>
      <c r="W82" s="531"/>
      <c r="X82" s="532"/>
      <c r="Y82" s="532"/>
      <c r="Z82" s="532"/>
      <c r="AA82" s="532"/>
      <c r="AB82" s="532"/>
      <c r="AC82" s="532"/>
      <c r="AD82" s="533"/>
      <c r="AF82" s="50"/>
    </row>
    <row r="83" spans="1:32" ht="30" customHeight="1">
      <c r="A83" s="513">
        <f>A82+1</f>
        <v>2</v>
      </c>
      <c r="B83" s="514"/>
      <c r="C83" s="423"/>
      <c r="D83" s="423"/>
      <c r="E83" s="32"/>
      <c r="F83" s="514"/>
      <c r="G83" s="514"/>
      <c r="H83" s="514"/>
      <c r="I83" s="514"/>
      <c r="J83" s="514"/>
      <c r="K83" s="515"/>
      <c r="L83" s="516"/>
      <c r="M83" s="516"/>
      <c r="N83" s="516"/>
      <c r="O83" s="516"/>
      <c r="P83" s="516"/>
      <c r="Q83" s="516"/>
      <c r="R83" s="516"/>
      <c r="S83" s="517"/>
      <c r="T83" s="518"/>
      <c r="U83" s="518"/>
      <c r="V83" s="518"/>
      <c r="W83" s="518"/>
      <c r="X83" s="519"/>
      <c r="Y83" s="519"/>
      <c r="Z83" s="519"/>
      <c r="AA83" s="519"/>
      <c r="AB83" s="519"/>
      <c r="AC83" s="519"/>
      <c r="AD83" s="520"/>
      <c r="AF83" s="50"/>
    </row>
    <row r="84" spans="1:32" ht="30" customHeight="1">
      <c r="A84" s="513">
        <f t="shared" ref="A84:A88" si="12">A83+1</f>
        <v>3</v>
      </c>
      <c r="B84" s="514"/>
      <c r="C84" s="423"/>
      <c r="D84" s="423"/>
      <c r="E84" s="32"/>
      <c r="F84" s="514"/>
      <c r="G84" s="514"/>
      <c r="H84" s="514"/>
      <c r="I84" s="514"/>
      <c r="J84" s="514"/>
      <c r="K84" s="515"/>
      <c r="L84" s="516"/>
      <c r="M84" s="516"/>
      <c r="N84" s="516"/>
      <c r="O84" s="516"/>
      <c r="P84" s="516"/>
      <c r="Q84" s="516"/>
      <c r="R84" s="516"/>
      <c r="S84" s="517"/>
      <c r="T84" s="518"/>
      <c r="U84" s="518"/>
      <c r="V84" s="518"/>
      <c r="W84" s="518"/>
      <c r="X84" s="519"/>
      <c r="Y84" s="519"/>
      <c r="Z84" s="519"/>
      <c r="AA84" s="519"/>
      <c r="AB84" s="519"/>
      <c r="AC84" s="519"/>
      <c r="AD84" s="520"/>
      <c r="AF84" s="50"/>
    </row>
    <row r="85" spans="1:32" ht="30" customHeight="1">
      <c r="A85" s="513">
        <f t="shared" si="12"/>
        <v>4</v>
      </c>
      <c r="B85" s="514"/>
      <c r="C85" s="423"/>
      <c r="D85" s="423"/>
      <c r="E85" s="32"/>
      <c r="F85" s="514"/>
      <c r="G85" s="514"/>
      <c r="H85" s="514"/>
      <c r="I85" s="514"/>
      <c r="J85" s="514"/>
      <c r="K85" s="515"/>
      <c r="L85" s="516"/>
      <c r="M85" s="516"/>
      <c r="N85" s="516"/>
      <c r="O85" s="516"/>
      <c r="P85" s="516"/>
      <c r="Q85" s="516"/>
      <c r="R85" s="516"/>
      <c r="S85" s="517"/>
      <c r="T85" s="518"/>
      <c r="U85" s="518"/>
      <c r="V85" s="518"/>
      <c r="W85" s="518"/>
      <c r="X85" s="519"/>
      <c r="Y85" s="519"/>
      <c r="Z85" s="519"/>
      <c r="AA85" s="519"/>
      <c r="AB85" s="519"/>
      <c r="AC85" s="519"/>
      <c r="AD85" s="520"/>
      <c r="AF85" s="50"/>
    </row>
    <row r="86" spans="1:32" ht="30" customHeight="1">
      <c r="A86" s="513">
        <f t="shared" si="12"/>
        <v>5</v>
      </c>
      <c r="B86" s="514"/>
      <c r="C86" s="423"/>
      <c r="D86" s="423"/>
      <c r="E86" s="32"/>
      <c r="F86" s="514"/>
      <c r="G86" s="514"/>
      <c r="H86" s="514"/>
      <c r="I86" s="514"/>
      <c r="J86" s="514"/>
      <c r="K86" s="515"/>
      <c r="L86" s="516"/>
      <c r="M86" s="516"/>
      <c r="N86" s="516"/>
      <c r="O86" s="516"/>
      <c r="P86" s="516"/>
      <c r="Q86" s="516"/>
      <c r="R86" s="516"/>
      <c r="S86" s="517"/>
      <c r="T86" s="518"/>
      <c r="U86" s="518"/>
      <c r="V86" s="518"/>
      <c r="W86" s="518"/>
      <c r="X86" s="519"/>
      <c r="Y86" s="519"/>
      <c r="Z86" s="519"/>
      <c r="AA86" s="519"/>
      <c r="AB86" s="519"/>
      <c r="AC86" s="519"/>
      <c r="AD86" s="520"/>
      <c r="AF86" s="50"/>
    </row>
    <row r="87" spans="1:32" ht="30" customHeight="1">
      <c r="A87" s="513">
        <f t="shared" si="12"/>
        <v>6</v>
      </c>
      <c r="B87" s="514"/>
      <c r="C87" s="423"/>
      <c r="D87" s="423"/>
      <c r="E87" s="32"/>
      <c r="F87" s="514"/>
      <c r="G87" s="514"/>
      <c r="H87" s="514"/>
      <c r="I87" s="514"/>
      <c r="J87" s="514"/>
      <c r="K87" s="515"/>
      <c r="L87" s="516"/>
      <c r="M87" s="516"/>
      <c r="N87" s="516"/>
      <c r="O87" s="516"/>
      <c r="P87" s="516"/>
      <c r="Q87" s="516"/>
      <c r="R87" s="516"/>
      <c r="S87" s="517"/>
      <c r="T87" s="518"/>
      <c r="U87" s="518"/>
      <c r="V87" s="518"/>
      <c r="W87" s="518"/>
      <c r="X87" s="519"/>
      <c r="Y87" s="519"/>
      <c r="Z87" s="519"/>
      <c r="AA87" s="519"/>
      <c r="AB87" s="519"/>
      <c r="AC87" s="519"/>
      <c r="AD87" s="520"/>
      <c r="AF87" s="50"/>
    </row>
    <row r="88" spans="1:32" ht="30" customHeight="1">
      <c r="A88" s="513">
        <f t="shared" si="12"/>
        <v>7</v>
      </c>
      <c r="B88" s="514"/>
      <c r="C88" s="423"/>
      <c r="D88" s="423"/>
      <c r="E88" s="32"/>
      <c r="F88" s="514"/>
      <c r="G88" s="514"/>
      <c r="H88" s="514"/>
      <c r="I88" s="514"/>
      <c r="J88" s="514"/>
      <c r="K88" s="515"/>
      <c r="L88" s="516"/>
      <c r="M88" s="516"/>
      <c r="N88" s="516"/>
      <c r="O88" s="516"/>
      <c r="P88" s="516"/>
      <c r="Q88" s="516"/>
      <c r="R88" s="516"/>
      <c r="S88" s="517"/>
      <c r="T88" s="518"/>
      <c r="U88" s="518"/>
      <c r="V88" s="518"/>
      <c r="W88" s="518"/>
      <c r="X88" s="519"/>
      <c r="Y88" s="519"/>
      <c r="Z88" s="519"/>
      <c r="AA88" s="519"/>
      <c r="AB88" s="519"/>
      <c r="AC88" s="519"/>
      <c r="AD88" s="520"/>
      <c r="AF88" s="50"/>
    </row>
    <row r="89" spans="1:32" ht="36" thickBot="1">
      <c r="A89" s="506" t="s">
        <v>653</v>
      </c>
      <c r="B89" s="506"/>
      <c r="C89" s="506"/>
      <c r="D89" s="506"/>
      <c r="E89" s="506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07" t="s">
        <v>111</v>
      </c>
      <c r="B90" s="508"/>
      <c r="C90" s="534" t="s">
        <v>52</v>
      </c>
      <c r="D90" s="534"/>
      <c r="E90" s="534" t="s">
        <v>53</v>
      </c>
      <c r="F90" s="534"/>
      <c r="G90" s="534"/>
      <c r="H90" s="534"/>
      <c r="I90" s="534"/>
      <c r="J90" s="534"/>
      <c r="K90" s="534" t="s">
        <v>54</v>
      </c>
      <c r="L90" s="534"/>
      <c r="M90" s="534"/>
      <c r="N90" s="534"/>
      <c r="O90" s="534"/>
      <c r="P90" s="534"/>
      <c r="Q90" s="534"/>
      <c r="R90" s="534"/>
      <c r="S90" s="534"/>
      <c r="T90" s="534" t="s">
        <v>55</v>
      </c>
      <c r="U90" s="534"/>
      <c r="V90" s="534" t="s">
        <v>56</v>
      </c>
      <c r="W90" s="534"/>
      <c r="X90" s="534"/>
      <c r="Y90" s="534" t="s">
        <v>51</v>
      </c>
      <c r="Z90" s="534"/>
      <c r="AA90" s="534"/>
      <c r="AB90" s="534"/>
      <c r="AC90" s="534"/>
      <c r="AD90" s="535"/>
      <c r="AF90" s="50"/>
    </row>
    <row r="91" spans="1:32" ht="30.75" customHeight="1">
      <c r="A91" s="521">
        <v>1</v>
      </c>
      <c r="B91" s="522"/>
      <c r="C91" s="536">
        <v>9</v>
      </c>
      <c r="D91" s="536"/>
      <c r="E91" s="536" t="s">
        <v>136</v>
      </c>
      <c r="F91" s="536"/>
      <c r="G91" s="536"/>
      <c r="H91" s="536"/>
      <c r="I91" s="536"/>
      <c r="J91" s="536"/>
      <c r="K91" s="536" t="s">
        <v>161</v>
      </c>
      <c r="L91" s="536"/>
      <c r="M91" s="536"/>
      <c r="N91" s="536"/>
      <c r="O91" s="536"/>
      <c r="P91" s="536"/>
      <c r="Q91" s="536"/>
      <c r="R91" s="536"/>
      <c r="S91" s="536"/>
      <c r="T91" s="536" t="s">
        <v>137</v>
      </c>
      <c r="U91" s="536"/>
      <c r="V91" s="537" t="s">
        <v>152</v>
      </c>
      <c r="W91" s="537"/>
      <c r="X91" s="537"/>
      <c r="Y91" s="538"/>
      <c r="Z91" s="538"/>
      <c r="AA91" s="538"/>
      <c r="AB91" s="538"/>
      <c r="AC91" s="538"/>
      <c r="AD91" s="539"/>
      <c r="AF91" s="50"/>
    </row>
    <row r="92" spans="1:32" ht="30.75" customHeight="1">
      <c r="A92" s="513">
        <v>2</v>
      </c>
      <c r="B92" s="514"/>
      <c r="C92" s="547"/>
      <c r="D92" s="547"/>
      <c r="E92" s="547"/>
      <c r="F92" s="547"/>
      <c r="G92" s="547"/>
      <c r="H92" s="547"/>
      <c r="I92" s="547"/>
      <c r="J92" s="547"/>
      <c r="K92" s="547"/>
      <c r="L92" s="547"/>
      <c r="M92" s="547"/>
      <c r="N92" s="547"/>
      <c r="O92" s="547"/>
      <c r="P92" s="547"/>
      <c r="Q92" s="547"/>
      <c r="R92" s="547"/>
      <c r="S92" s="547"/>
      <c r="T92" s="548"/>
      <c r="U92" s="548"/>
      <c r="V92" s="549"/>
      <c r="W92" s="549"/>
      <c r="X92" s="549"/>
      <c r="Y92" s="540"/>
      <c r="Z92" s="540"/>
      <c r="AA92" s="540"/>
      <c r="AB92" s="540"/>
      <c r="AC92" s="540"/>
      <c r="AD92" s="541"/>
      <c r="AF92" s="50"/>
    </row>
    <row r="93" spans="1:32" ht="30.75" customHeight="1" thickBot="1">
      <c r="A93" s="542">
        <v>3</v>
      </c>
      <c r="B93" s="543"/>
      <c r="C93" s="544"/>
      <c r="D93" s="544"/>
      <c r="E93" s="544"/>
      <c r="F93" s="544"/>
      <c r="G93" s="544"/>
      <c r="H93" s="544"/>
      <c r="I93" s="544"/>
      <c r="J93" s="544"/>
      <c r="K93" s="544"/>
      <c r="L93" s="544"/>
      <c r="M93" s="544"/>
      <c r="N93" s="544"/>
      <c r="O93" s="544"/>
      <c r="P93" s="544"/>
      <c r="Q93" s="544"/>
      <c r="R93" s="544"/>
      <c r="S93" s="544"/>
      <c r="T93" s="544"/>
      <c r="U93" s="544"/>
      <c r="V93" s="544"/>
      <c r="W93" s="544"/>
      <c r="X93" s="544"/>
      <c r="Y93" s="545"/>
      <c r="Z93" s="545"/>
      <c r="AA93" s="545"/>
      <c r="AB93" s="545"/>
      <c r="AC93" s="545"/>
      <c r="AD93" s="546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B9D7-1271-400D-AED3-F9348514AEF7}">
  <dimension ref="A1:AF93"/>
  <sheetViews>
    <sheetView tabSelected="1" view="pageBreakPreview" zoomScale="70" zoomScaleNormal="72" zoomScaleSheetLayoutView="70" workbookViewId="0">
      <selection activeCell="F77" sqref="F77:J7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29" t="s">
        <v>654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0"/>
      <c r="B3" s="430"/>
      <c r="C3" s="430"/>
      <c r="D3" s="430"/>
      <c r="E3" s="430"/>
      <c r="F3" s="430"/>
      <c r="G3" s="43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1" t="s">
        <v>0</v>
      </c>
      <c r="B4" s="433" t="s">
        <v>1</v>
      </c>
      <c r="C4" s="433" t="s">
        <v>2</v>
      </c>
      <c r="D4" s="436" t="s">
        <v>3</v>
      </c>
      <c r="E4" s="438" t="s">
        <v>4</v>
      </c>
      <c r="F4" s="436" t="s">
        <v>5</v>
      </c>
      <c r="G4" s="433" t="s">
        <v>6</v>
      </c>
      <c r="H4" s="439" t="s">
        <v>7</v>
      </c>
      <c r="I4" s="459" t="s">
        <v>8</v>
      </c>
      <c r="J4" s="460"/>
      <c r="K4" s="460"/>
      <c r="L4" s="460"/>
      <c r="M4" s="460"/>
      <c r="N4" s="460"/>
      <c r="O4" s="461"/>
      <c r="P4" s="462" t="s">
        <v>9</v>
      </c>
      <c r="Q4" s="463"/>
      <c r="R4" s="464" t="s">
        <v>10</v>
      </c>
      <c r="S4" s="464"/>
      <c r="T4" s="464"/>
      <c r="U4" s="464"/>
      <c r="V4" s="464"/>
      <c r="W4" s="465" t="s">
        <v>11</v>
      </c>
      <c r="X4" s="464"/>
      <c r="Y4" s="464"/>
      <c r="Z4" s="464"/>
      <c r="AA4" s="466"/>
      <c r="AB4" s="467" t="s">
        <v>12</v>
      </c>
      <c r="AC4" s="441" t="s">
        <v>13</v>
      </c>
      <c r="AD4" s="441" t="s">
        <v>14</v>
      </c>
      <c r="AE4" s="54"/>
    </row>
    <row r="5" spans="1:32" ht="51" customHeight="1" thickBot="1">
      <c r="A5" s="432"/>
      <c r="B5" s="434"/>
      <c r="C5" s="435"/>
      <c r="D5" s="437"/>
      <c r="E5" s="437"/>
      <c r="F5" s="437"/>
      <c r="G5" s="434"/>
      <c r="H5" s="440"/>
      <c r="I5" s="55" t="s">
        <v>15</v>
      </c>
      <c r="J5" s="56" t="s">
        <v>16</v>
      </c>
      <c r="K5" s="412" t="s">
        <v>17</v>
      </c>
      <c r="L5" s="412" t="s">
        <v>18</v>
      </c>
      <c r="M5" s="412" t="s">
        <v>19</v>
      </c>
      <c r="N5" s="41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8"/>
      <c r="AC5" s="442"/>
      <c r="AD5" s="442"/>
      <c r="AE5" s="54"/>
    </row>
    <row r="6" spans="1:32" ht="27" customHeight="1">
      <c r="A6" s="112">
        <v>1</v>
      </c>
      <c r="B6" s="11" t="s">
        <v>57</v>
      </c>
      <c r="C6" s="34" t="s">
        <v>118</v>
      </c>
      <c r="D6" s="52" t="s">
        <v>142</v>
      </c>
      <c r="E6" s="53" t="s">
        <v>501</v>
      </c>
      <c r="F6" s="30" t="s">
        <v>232</v>
      </c>
      <c r="G6" s="12">
        <v>2</v>
      </c>
      <c r="H6" s="13">
        <v>24</v>
      </c>
      <c r="I6" s="31">
        <v>174000</v>
      </c>
      <c r="J6" s="14">
        <v>9776</v>
      </c>
      <c r="K6" s="15">
        <f>L6+2384+8412</f>
        <v>20572</v>
      </c>
      <c r="L6" s="15">
        <f>2593*2+2295*2</f>
        <v>9776</v>
      </c>
      <c r="M6" s="15">
        <f t="shared" ref="M6:M27" si="0">L6-N6</f>
        <v>9776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20</v>
      </c>
      <c r="Q6" s="40">
        <f t="shared" ref="Q6:Q27" si="3">SUM(R6:AA6)</f>
        <v>4</v>
      </c>
      <c r="R6" s="7"/>
      <c r="S6" s="6">
        <v>4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0.83333333333333337</v>
      </c>
      <c r="AD6" s="10">
        <f t="shared" ref="AD6:AD27" si="6">AC6*AB6*(1-O6)</f>
        <v>0.83333333333333337</v>
      </c>
      <c r="AE6" s="36">
        <f t="shared" ref="AE6:AE26" si="7">$AD$28</f>
        <v>0.61742424242424254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269</v>
      </c>
      <c r="E7" s="53" t="s">
        <v>270</v>
      </c>
      <c r="F7" s="30" t="s">
        <v>249</v>
      </c>
      <c r="G7" s="12">
        <v>1</v>
      </c>
      <c r="H7" s="13">
        <v>24</v>
      </c>
      <c r="I7" s="31">
        <v>18000</v>
      </c>
      <c r="J7" s="14">
        <v>3687</v>
      </c>
      <c r="K7" s="15">
        <f>L7+3479+6290</f>
        <v>13456</v>
      </c>
      <c r="L7" s="15">
        <f>3208+479</f>
        <v>3687</v>
      </c>
      <c r="M7" s="15">
        <f t="shared" si="0"/>
        <v>3687</v>
      </c>
      <c r="N7" s="15">
        <v>0</v>
      </c>
      <c r="O7" s="58">
        <f t="shared" si="1"/>
        <v>0</v>
      </c>
      <c r="P7" s="39">
        <f t="shared" si="2"/>
        <v>18</v>
      </c>
      <c r="Q7" s="40">
        <f t="shared" si="3"/>
        <v>6</v>
      </c>
      <c r="R7" s="7"/>
      <c r="S7" s="6"/>
      <c r="T7" s="16"/>
      <c r="U7" s="16"/>
      <c r="V7" s="17"/>
      <c r="W7" s="5"/>
      <c r="X7" s="16"/>
      <c r="Y7" s="16"/>
      <c r="Z7" s="16"/>
      <c r="AA7" s="18">
        <v>6</v>
      </c>
      <c r="AB7" s="8">
        <f t="shared" si="4"/>
        <v>1</v>
      </c>
      <c r="AC7" s="9">
        <f t="shared" si="5"/>
        <v>0.75</v>
      </c>
      <c r="AD7" s="10">
        <f t="shared" si="6"/>
        <v>0.75</v>
      </c>
      <c r="AE7" s="36">
        <f t="shared" si="7"/>
        <v>0.61742424242424254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210</v>
      </c>
      <c r="D8" s="52" t="s">
        <v>115</v>
      </c>
      <c r="E8" s="53" t="s">
        <v>606</v>
      </c>
      <c r="F8" s="30" t="s">
        <v>213</v>
      </c>
      <c r="G8" s="12">
        <v>4</v>
      </c>
      <c r="H8" s="13">
        <v>24</v>
      </c>
      <c r="I8" s="7">
        <v>85000</v>
      </c>
      <c r="J8" s="5">
        <v>23732</v>
      </c>
      <c r="K8" s="15">
        <f>L8+21244</f>
        <v>44976</v>
      </c>
      <c r="L8" s="15">
        <f>2949*4+2984*4</f>
        <v>23732</v>
      </c>
      <c r="M8" s="15">
        <f t="shared" si="0"/>
        <v>23732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0.61742424242424254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280</v>
      </c>
      <c r="E9" s="53" t="s">
        <v>498</v>
      </c>
      <c r="F9" s="30" t="s">
        <v>404</v>
      </c>
      <c r="G9" s="12">
        <v>1</v>
      </c>
      <c r="H9" s="13">
        <v>24</v>
      </c>
      <c r="I9" s="7">
        <v>30000</v>
      </c>
      <c r="J9" s="14">
        <v>4446</v>
      </c>
      <c r="K9" s="15">
        <f>L9+3787+4146+4858+5011+4848+4251+4849</f>
        <v>36196</v>
      </c>
      <c r="L9" s="15">
        <f>2068+2378</f>
        <v>4446</v>
      </c>
      <c r="M9" s="15">
        <f t="shared" si="0"/>
        <v>4446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0.61742424242424254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131</v>
      </c>
      <c r="E10" s="53" t="s">
        <v>168</v>
      </c>
      <c r="F10" s="30" t="s">
        <v>144</v>
      </c>
      <c r="G10" s="33">
        <v>1</v>
      </c>
      <c r="H10" s="35">
        <v>24</v>
      </c>
      <c r="I10" s="7">
        <v>27000</v>
      </c>
      <c r="J10" s="14">
        <v>6692</v>
      </c>
      <c r="K10" s="15">
        <f>L10+6380+6789</f>
        <v>19861</v>
      </c>
      <c r="L10" s="15">
        <f>3356+3336</f>
        <v>6692</v>
      </c>
      <c r="M10" s="15">
        <f t="shared" si="0"/>
        <v>6692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0.61742424242424254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210</v>
      </c>
      <c r="D11" s="52" t="s">
        <v>448</v>
      </c>
      <c r="E11" s="53" t="s">
        <v>447</v>
      </c>
      <c r="F11" s="30" t="s">
        <v>213</v>
      </c>
      <c r="G11" s="33">
        <v>1</v>
      </c>
      <c r="H11" s="35">
        <v>24</v>
      </c>
      <c r="I11" s="7">
        <v>7000</v>
      </c>
      <c r="J11" s="14">
        <v>1412</v>
      </c>
      <c r="K11" s="15">
        <f>L11+1004+974+4619+1412</f>
        <v>8009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0.61742424242424254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134</v>
      </c>
      <c r="F12" s="30" t="s">
        <v>640</v>
      </c>
      <c r="G12" s="12">
        <v>1</v>
      </c>
      <c r="H12" s="13">
        <v>22</v>
      </c>
      <c r="I12" s="31">
        <v>100000</v>
      </c>
      <c r="J12" s="5">
        <v>4488</v>
      </c>
      <c r="K12" s="15">
        <f>L12+4676</f>
        <v>9164</v>
      </c>
      <c r="L12" s="15">
        <f>1781+2707</f>
        <v>4488</v>
      </c>
      <c r="M12" s="15">
        <f t="shared" si="0"/>
        <v>4488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>
        <v>4</v>
      </c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6"/>
        <v>0.83333333333333337</v>
      </c>
      <c r="AE12" s="36">
        <f t="shared" si="7"/>
        <v>0.61742424242424254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131</v>
      </c>
      <c r="E13" s="53" t="s">
        <v>644</v>
      </c>
      <c r="F13" s="30" t="s">
        <v>144</v>
      </c>
      <c r="G13" s="33">
        <v>1</v>
      </c>
      <c r="H13" s="35">
        <v>24</v>
      </c>
      <c r="I13" s="7">
        <v>4000</v>
      </c>
      <c r="J13" s="14">
        <v>1346</v>
      </c>
      <c r="K13" s="15">
        <f>L13</f>
        <v>1346</v>
      </c>
      <c r="L13" s="15">
        <v>1346</v>
      </c>
      <c r="M13" s="15">
        <f t="shared" si="0"/>
        <v>1346</v>
      </c>
      <c r="N13" s="15">
        <v>0</v>
      </c>
      <c r="O13" s="58">
        <f t="shared" si="1"/>
        <v>0</v>
      </c>
      <c r="P13" s="39">
        <f t="shared" si="2"/>
        <v>7</v>
      </c>
      <c r="Q13" s="40">
        <f t="shared" si="3"/>
        <v>17</v>
      </c>
      <c r="R13" s="7">
        <v>17</v>
      </c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0.29166666666666669</v>
      </c>
      <c r="AD13" s="10">
        <f t="shared" si="6"/>
        <v>0.29166666666666669</v>
      </c>
      <c r="AE13" s="36">
        <f t="shared" si="7"/>
        <v>0.61742424242424254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491</v>
      </c>
      <c r="F14" s="30" t="s">
        <v>286</v>
      </c>
      <c r="G14" s="33">
        <v>1</v>
      </c>
      <c r="H14" s="35">
        <v>50</v>
      </c>
      <c r="I14" s="7">
        <v>2500</v>
      </c>
      <c r="J14" s="5">
        <v>800</v>
      </c>
      <c r="K14" s="15">
        <f>L14+893+982+1050+800</f>
        <v>3725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0.61742424242424254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129</v>
      </c>
      <c r="E15" s="53" t="s">
        <v>200</v>
      </c>
      <c r="F15" s="30" t="s">
        <v>157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0.61742424242424254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280</v>
      </c>
      <c r="E16" s="53" t="s">
        <v>620</v>
      </c>
      <c r="F16" s="30" t="s">
        <v>217</v>
      </c>
      <c r="G16" s="12">
        <v>1</v>
      </c>
      <c r="H16" s="13">
        <v>24</v>
      </c>
      <c r="I16" s="7">
        <v>90000</v>
      </c>
      <c r="J16" s="14">
        <v>5518</v>
      </c>
      <c r="K16" s="15">
        <f>L16+5223+5599</f>
        <v>16340</v>
      </c>
      <c r="L16" s="15">
        <f>2755+2763</f>
        <v>5518</v>
      </c>
      <c r="M16" s="15">
        <f t="shared" si="0"/>
        <v>5518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0.61742424242424254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210</v>
      </c>
      <c r="D17" s="52" t="s">
        <v>280</v>
      </c>
      <c r="E17" s="53" t="s">
        <v>502</v>
      </c>
      <c r="F17" s="30" t="s">
        <v>358</v>
      </c>
      <c r="G17" s="12">
        <v>3</v>
      </c>
      <c r="H17" s="13">
        <v>24</v>
      </c>
      <c r="I17" s="7">
        <v>260000</v>
      </c>
      <c r="J17" s="14">
        <v>17355</v>
      </c>
      <c r="K17" s="15">
        <f>L17+16128+16857+16941+16140+15960+17466</f>
        <v>116847</v>
      </c>
      <c r="L17" s="15">
        <f>2889*3+2896*3</f>
        <v>17355</v>
      </c>
      <c r="M17" s="15">
        <f t="shared" si="0"/>
        <v>17355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0.61742424242424254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330</v>
      </c>
      <c r="F18" s="30" t="s">
        <v>144</v>
      </c>
      <c r="G18" s="33">
        <v>2</v>
      </c>
      <c r="H18" s="35">
        <v>24</v>
      </c>
      <c r="I18" s="7">
        <v>27200</v>
      </c>
      <c r="J18" s="14">
        <v>2649</v>
      </c>
      <c r="K18" s="15">
        <f>L18+5049+2711+6081</f>
        <v>16490</v>
      </c>
      <c r="L18" s="15">
        <f>2298+351</f>
        <v>2649</v>
      </c>
      <c r="M18" s="15">
        <f t="shared" si="0"/>
        <v>2649</v>
      </c>
      <c r="N18" s="15">
        <v>0</v>
      </c>
      <c r="O18" s="58">
        <f t="shared" si="1"/>
        <v>0</v>
      </c>
      <c r="P18" s="39">
        <f t="shared" si="2"/>
        <v>14</v>
      </c>
      <c r="Q18" s="40">
        <f t="shared" si="3"/>
        <v>10</v>
      </c>
      <c r="R18" s="7"/>
      <c r="S18" s="6">
        <v>10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0.58333333333333337</v>
      </c>
      <c r="AD18" s="10">
        <f t="shared" si="6"/>
        <v>0.58333333333333337</v>
      </c>
      <c r="AE18" s="36">
        <f t="shared" si="7"/>
        <v>0.61742424242424254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208</v>
      </c>
      <c r="E19" s="53" t="s">
        <v>512</v>
      </c>
      <c r="F19" s="30" t="s">
        <v>156</v>
      </c>
      <c r="G19" s="33">
        <v>1</v>
      </c>
      <c r="H19" s="35">
        <v>24</v>
      </c>
      <c r="I19" s="7">
        <v>39000</v>
      </c>
      <c r="J19" s="14">
        <v>3939</v>
      </c>
      <c r="K19" s="15">
        <f>L19+2260+4771+194+2851+3863+3917+3410</f>
        <v>25205</v>
      </c>
      <c r="L19" s="15">
        <f>2632+1307</f>
        <v>3939</v>
      </c>
      <c r="M19" s="15">
        <f t="shared" si="0"/>
        <v>3939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6">
        <f t="shared" si="7"/>
        <v>0.61742424242424254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118</v>
      </c>
      <c r="D20" s="52" t="s">
        <v>115</v>
      </c>
      <c r="E20" s="53" t="s">
        <v>537</v>
      </c>
      <c r="F20" s="30" t="s">
        <v>311</v>
      </c>
      <c r="G20" s="12">
        <v>1</v>
      </c>
      <c r="H20" s="13">
        <v>24</v>
      </c>
      <c r="I20" s="7">
        <v>30000</v>
      </c>
      <c r="J20" s="14">
        <v>2823</v>
      </c>
      <c r="K20" s="15">
        <f>L20+3822+5159+4288+5105+4943+5211</f>
        <v>31351</v>
      </c>
      <c r="L20" s="15">
        <f>525+2298</f>
        <v>2823</v>
      </c>
      <c r="M20" s="15">
        <f t="shared" si="0"/>
        <v>2823</v>
      </c>
      <c r="N20" s="15">
        <v>0</v>
      </c>
      <c r="O20" s="58">
        <f t="shared" si="1"/>
        <v>0</v>
      </c>
      <c r="P20" s="39">
        <f t="shared" si="2"/>
        <v>15</v>
      </c>
      <c r="Q20" s="40">
        <f t="shared" si="3"/>
        <v>9</v>
      </c>
      <c r="R20" s="7"/>
      <c r="S20" s="6">
        <v>9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0.625</v>
      </c>
      <c r="AD20" s="10">
        <f t="shared" si="6"/>
        <v>0.625</v>
      </c>
      <c r="AE20" s="36">
        <f t="shared" si="7"/>
        <v>0.61742424242424254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175</v>
      </c>
      <c r="F21" s="12" t="s">
        <v>114</v>
      </c>
      <c r="G21" s="12">
        <v>3</v>
      </c>
      <c r="H21" s="35">
        <v>20</v>
      </c>
      <c r="I21" s="7">
        <v>1000000</v>
      </c>
      <c r="J21" s="14">
        <v>34220</v>
      </c>
      <c r="K21" s="15">
        <f t="shared" ref="K21" si="9">L21+62008+65280+66156+31132+60100+67104+64940+66996+38324+18548+31820+33244+32052+33372+27132+34220</f>
        <v>732428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0.61742424242424254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0.61742424242424254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0.61742424242424254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118</v>
      </c>
      <c r="D24" s="52" t="s">
        <v>289</v>
      </c>
      <c r="E24" s="53" t="s">
        <v>627</v>
      </c>
      <c r="F24" s="12" t="s">
        <v>156</v>
      </c>
      <c r="G24" s="12">
        <v>4</v>
      </c>
      <c r="H24" s="35">
        <v>20</v>
      </c>
      <c r="I24" s="7">
        <v>240000</v>
      </c>
      <c r="J24" s="14">
        <v>32324</v>
      </c>
      <c r="K24" s="15">
        <f>L24+27572+32268</f>
        <v>92164</v>
      </c>
      <c r="L24" s="15">
        <f>4594*4+3487*4</f>
        <v>32324</v>
      </c>
      <c r="M24" s="15">
        <f t="shared" si="0"/>
        <v>32324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17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1</v>
      </c>
      <c r="AD24" s="10">
        <f t="shared" si="6"/>
        <v>1</v>
      </c>
      <c r="AE24" s="36">
        <f t="shared" si="7"/>
        <v>0.61742424242424254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118</v>
      </c>
      <c r="D25" s="52" t="s">
        <v>280</v>
      </c>
      <c r="E25" s="53" t="s">
        <v>628</v>
      </c>
      <c r="F25" s="12" t="s">
        <v>157</v>
      </c>
      <c r="G25" s="12">
        <v>4</v>
      </c>
      <c r="H25" s="35">
        <v>20</v>
      </c>
      <c r="I25" s="7">
        <v>240000</v>
      </c>
      <c r="J25" s="14">
        <v>29040</v>
      </c>
      <c r="K25" s="15">
        <f>L25+24768+29084</f>
        <v>82892</v>
      </c>
      <c r="L25" s="15">
        <f>4126*4+3134*4</f>
        <v>29040</v>
      </c>
      <c r="M25" s="15">
        <f t="shared" si="0"/>
        <v>29040</v>
      </c>
      <c r="N25" s="15">
        <v>0</v>
      </c>
      <c r="O25" s="58">
        <f t="shared" si="1"/>
        <v>0</v>
      </c>
      <c r="P25" s="39">
        <f t="shared" si="2"/>
        <v>24</v>
      </c>
      <c r="Q25" s="40">
        <f t="shared" si="3"/>
        <v>0</v>
      </c>
      <c r="R25" s="7"/>
      <c r="S25" s="6"/>
      <c r="T25" s="16"/>
      <c r="U25" s="16"/>
      <c r="V25" s="17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1</v>
      </c>
      <c r="AD25" s="10">
        <f t="shared" si="6"/>
        <v>1</v>
      </c>
      <c r="AE25" s="36">
        <f t="shared" si="7"/>
        <v>0.61742424242424254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118</v>
      </c>
      <c r="D26" s="52" t="s">
        <v>129</v>
      </c>
      <c r="E26" s="53" t="s">
        <v>167</v>
      </c>
      <c r="F26" s="12" t="s">
        <v>157</v>
      </c>
      <c r="G26" s="12">
        <v>4</v>
      </c>
      <c r="H26" s="35">
        <v>20</v>
      </c>
      <c r="I26" s="7">
        <v>240000</v>
      </c>
      <c r="J26" s="14">
        <v>31848</v>
      </c>
      <c r="K26" s="15">
        <f>L26+25004+29968</f>
        <v>86820</v>
      </c>
      <c r="L26" s="15">
        <f>3242*4+4720*4</f>
        <v>31848</v>
      </c>
      <c r="M26" s="15">
        <f t="shared" si="0"/>
        <v>31848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17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6"/>
        <v>1</v>
      </c>
      <c r="AE26" s="36">
        <f t="shared" si="7"/>
        <v>0.61742424242424254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118</v>
      </c>
      <c r="D27" s="52" t="s">
        <v>115</v>
      </c>
      <c r="E27" s="53" t="s">
        <v>629</v>
      </c>
      <c r="F27" s="12" t="s">
        <v>128</v>
      </c>
      <c r="G27" s="12">
        <v>4</v>
      </c>
      <c r="H27" s="35">
        <v>20</v>
      </c>
      <c r="I27" s="7">
        <v>240000</v>
      </c>
      <c r="J27" s="14">
        <v>20956</v>
      </c>
      <c r="K27" s="15">
        <f>L27+22152+26340</f>
        <v>69448</v>
      </c>
      <c r="L27" s="15">
        <f>2869*4+2370*4</f>
        <v>20956</v>
      </c>
      <c r="M27" s="15">
        <f t="shared" si="0"/>
        <v>20956</v>
      </c>
      <c r="N27" s="15">
        <v>0</v>
      </c>
      <c r="O27" s="58">
        <f t="shared" si="1"/>
        <v>0</v>
      </c>
      <c r="P27" s="39">
        <f t="shared" si="2"/>
        <v>20</v>
      </c>
      <c r="Q27" s="40">
        <f t="shared" si="3"/>
        <v>4</v>
      </c>
      <c r="R27" s="7"/>
      <c r="S27" s="6">
        <v>4</v>
      </c>
      <c r="T27" s="16"/>
      <c r="U27" s="16"/>
      <c r="V27" s="17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0.83333333333333337</v>
      </c>
      <c r="AD27" s="10">
        <f t="shared" si="6"/>
        <v>0.83333333333333337</v>
      </c>
      <c r="AE27" s="36">
        <f>$AD$28</f>
        <v>0.61742424242424254</v>
      </c>
      <c r="AF27" s="84">
        <f t="shared" si="8"/>
        <v>36</v>
      </c>
    </row>
    <row r="28" spans="1:32" ht="31.5" customHeight="1" thickBot="1">
      <c r="A28" s="443" t="s">
        <v>34</v>
      </c>
      <c r="B28" s="444"/>
      <c r="C28" s="444"/>
      <c r="D28" s="444"/>
      <c r="E28" s="444"/>
      <c r="F28" s="444"/>
      <c r="G28" s="444"/>
      <c r="H28" s="445"/>
      <c r="I28" s="22">
        <f t="shared" ref="I28:N28" si="10">SUM(I6:I27)</f>
        <v>2865700</v>
      </c>
      <c r="J28" s="19">
        <f t="shared" si="10"/>
        <v>249407</v>
      </c>
      <c r="K28" s="20">
        <f t="shared" si="10"/>
        <v>1439646</v>
      </c>
      <c r="L28" s="21">
        <f t="shared" si="10"/>
        <v>200619</v>
      </c>
      <c r="M28" s="20">
        <f t="shared" si="10"/>
        <v>200619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326</v>
      </c>
      <c r="Q28" s="43">
        <f t="shared" si="11"/>
        <v>202</v>
      </c>
      <c r="R28" s="23">
        <f t="shared" si="11"/>
        <v>21</v>
      </c>
      <c r="S28" s="24">
        <f t="shared" si="11"/>
        <v>55</v>
      </c>
      <c r="T28" s="24">
        <f t="shared" si="11"/>
        <v>0</v>
      </c>
      <c r="U28" s="24">
        <f t="shared" si="11"/>
        <v>0</v>
      </c>
      <c r="V28" s="25">
        <f t="shared" si="11"/>
        <v>72</v>
      </c>
      <c r="W28" s="26">
        <f t="shared" si="11"/>
        <v>48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6</v>
      </c>
      <c r="AB28" s="28">
        <f>AVERAGE(AB6:AB27)</f>
        <v>0.8</v>
      </c>
      <c r="AC28" s="4">
        <f>AVERAGE(AC6:AC27)</f>
        <v>0.61742424242424254</v>
      </c>
      <c r="AD28" s="4">
        <f>AVERAGE(AD6:AD27)</f>
        <v>0.61742424242424254</v>
      </c>
      <c r="AE28" s="29"/>
    </row>
    <row r="29" spans="1:32">
      <c r="T29" s="50" t="s">
        <v>500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511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46" t="s">
        <v>45</v>
      </c>
      <c r="B55" s="446"/>
      <c r="C55" s="446"/>
      <c r="D55" s="446"/>
      <c r="E55" s="44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47" t="s">
        <v>655</v>
      </c>
      <c r="B56" s="448"/>
      <c r="C56" s="448"/>
      <c r="D56" s="448"/>
      <c r="E56" s="448"/>
      <c r="F56" s="448"/>
      <c r="G56" s="448"/>
      <c r="H56" s="448"/>
      <c r="I56" s="448"/>
      <c r="J56" s="448"/>
      <c r="K56" s="448"/>
      <c r="L56" s="448"/>
      <c r="M56" s="449"/>
      <c r="N56" s="450" t="s">
        <v>668</v>
      </c>
      <c r="O56" s="451"/>
      <c r="P56" s="451"/>
      <c r="Q56" s="451"/>
      <c r="R56" s="451"/>
      <c r="S56" s="451"/>
      <c r="T56" s="451"/>
      <c r="U56" s="451"/>
      <c r="V56" s="451"/>
      <c r="W56" s="451"/>
      <c r="X56" s="451"/>
      <c r="Y56" s="451"/>
      <c r="Z56" s="451"/>
      <c r="AA56" s="451"/>
      <c r="AB56" s="451"/>
      <c r="AC56" s="451"/>
      <c r="AD56" s="452"/>
    </row>
    <row r="57" spans="1:32" ht="27" customHeight="1">
      <c r="A57" s="453" t="s">
        <v>2</v>
      </c>
      <c r="B57" s="454"/>
      <c r="C57" s="413" t="s">
        <v>46</v>
      </c>
      <c r="D57" s="413" t="s">
        <v>47</v>
      </c>
      <c r="E57" s="413" t="s">
        <v>107</v>
      </c>
      <c r="F57" s="455" t="s">
        <v>106</v>
      </c>
      <c r="G57" s="456"/>
      <c r="H57" s="456"/>
      <c r="I57" s="456"/>
      <c r="J57" s="456"/>
      <c r="K57" s="456"/>
      <c r="L57" s="456"/>
      <c r="M57" s="457"/>
      <c r="N57" s="67" t="s">
        <v>110</v>
      </c>
      <c r="O57" s="413" t="s">
        <v>46</v>
      </c>
      <c r="P57" s="455" t="s">
        <v>47</v>
      </c>
      <c r="Q57" s="458"/>
      <c r="R57" s="455" t="s">
        <v>38</v>
      </c>
      <c r="S57" s="456"/>
      <c r="T57" s="456"/>
      <c r="U57" s="458"/>
      <c r="V57" s="455" t="s">
        <v>48</v>
      </c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69" t="s">
        <v>118</v>
      </c>
      <c r="B58" s="470"/>
      <c r="C58" s="415" t="s">
        <v>147</v>
      </c>
      <c r="D58" s="415" t="s">
        <v>142</v>
      </c>
      <c r="E58" s="415" t="s">
        <v>501</v>
      </c>
      <c r="F58" s="471" t="s">
        <v>552</v>
      </c>
      <c r="G58" s="472"/>
      <c r="H58" s="472"/>
      <c r="I58" s="472"/>
      <c r="J58" s="472"/>
      <c r="K58" s="472"/>
      <c r="L58" s="472"/>
      <c r="M58" s="473"/>
      <c r="N58" s="428" t="s">
        <v>112</v>
      </c>
      <c r="O58" s="425" t="s">
        <v>141</v>
      </c>
      <c r="P58" s="474" t="s">
        <v>184</v>
      </c>
      <c r="Q58" s="475"/>
      <c r="R58" s="474" t="s">
        <v>644</v>
      </c>
      <c r="S58" s="476"/>
      <c r="T58" s="476"/>
      <c r="U58" s="475"/>
      <c r="V58" s="477" t="s">
        <v>669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87" t="s">
        <v>112</v>
      </c>
      <c r="B59" s="488"/>
      <c r="C59" s="426" t="s">
        <v>318</v>
      </c>
      <c r="D59" s="426" t="s">
        <v>208</v>
      </c>
      <c r="E59" s="427" t="s">
        <v>512</v>
      </c>
      <c r="F59" s="471" t="s">
        <v>124</v>
      </c>
      <c r="G59" s="472"/>
      <c r="H59" s="472"/>
      <c r="I59" s="472"/>
      <c r="J59" s="472"/>
      <c r="K59" s="472"/>
      <c r="L59" s="472"/>
      <c r="M59" s="473"/>
      <c r="N59" s="414" t="s">
        <v>672</v>
      </c>
      <c r="O59" s="421" t="s">
        <v>673</v>
      </c>
      <c r="P59" s="474" t="s">
        <v>674</v>
      </c>
      <c r="Q59" s="475"/>
      <c r="R59" s="474" t="s">
        <v>670</v>
      </c>
      <c r="S59" s="476"/>
      <c r="T59" s="476"/>
      <c r="U59" s="475"/>
      <c r="V59" s="477" t="s">
        <v>671</v>
      </c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487" t="s">
        <v>112</v>
      </c>
      <c r="B60" s="488"/>
      <c r="C60" s="426" t="s">
        <v>191</v>
      </c>
      <c r="D60" s="426" t="s">
        <v>115</v>
      </c>
      <c r="E60" s="427" t="s">
        <v>330</v>
      </c>
      <c r="F60" s="471" t="s">
        <v>656</v>
      </c>
      <c r="G60" s="472"/>
      <c r="H60" s="472"/>
      <c r="I60" s="472"/>
      <c r="J60" s="472"/>
      <c r="K60" s="472"/>
      <c r="L60" s="472"/>
      <c r="M60" s="473"/>
      <c r="N60" s="414" t="s">
        <v>672</v>
      </c>
      <c r="O60" s="421" t="s">
        <v>677</v>
      </c>
      <c r="P60" s="474" t="s">
        <v>678</v>
      </c>
      <c r="Q60" s="475"/>
      <c r="R60" s="474" t="s">
        <v>675</v>
      </c>
      <c r="S60" s="476"/>
      <c r="T60" s="476"/>
      <c r="U60" s="475"/>
      <c r="V60" s="477" t="s">
        <v>676</v>
      </c>
      <c r="W60" s="477"/>
      <c r="X60" s="477"/>
      <c r="Y60" s="477"/>
      <c r="Z60" s="477"/>
      <c r="AA60" s="477"/>
      <c r="AB60" s="477"/>
      <c r="AC60" s="477"/>
      <c r="AD60" s="478"/>
    </row>
    <row r="61" spans="1:32" ht="27" customHeight="1">
      <c r="A61" s="487" t="s">
        <v>118</v>
      </c>
      <c r="B61" s="488"/>
      <c r="C61" s="426" t="s">
        <v>386</v>
      </c>
      <c r="D61" s="426" t="s">
        <v>115</v>
      </c>
      <c r="E61" s="427" t="s">
        <v>134</v>
      </c>
      <c r="F61" s="471" t="s">
        <v>657</v>
      </c>
      <c r="G61" s="472"/>
      <c r="H61" s="472"/>
      <c r="I61" s="472"/>
      <c r="J61" s="472"/>
      <c r="K61" s="472"/>
      <c r="L61" s="472"/>
      <c r="M61" s="473"/>
      <c r="N61" s="414" t="s">
        <v>672</v>
      </c>
      <c r="O61" s="421" t="s">
        <v>680</v>
      </c>
      <c r="P61" s="474" t="s">
        <v>184</v>
      </c>
      <c r="Q61" s="475"/>
      <c r="R61" s="474" t="s">
        <v>679</v>
      </c>
      <c r="S61" s="476"/>
      <c r="T61" s="476"/>
      <c r="U61" s="475"/>
      <c r="V61" s="477" t="s">
        <v>676</v>
      </c>
      <c r="W61" s="477"/>
      <c r="X61" s="477"/>
      <c r="Y61" s="477"/>
      <c r="Z61" s="477"/>
      <c r="AA61" s="477"/>
      <c r="AB61" s="477"/>
      <c r="AC61" s="477"/>
      <c r="AD61" s="478"/>
    </row>
    <row r="62" spans="1:32" ht="27" customHeight="1">
      <c r="A62" s="487" t="s">
        <v>112</v>
      </c>
      <c r="B62" s="488"/>
      <c r="C62" s="418" t="s">
        <v>659</v>
      </c>
      <c r="D62" s="418" t="s">
        <v>660</v>
      </c>
      <c r="E62" s="415" t="s">
        <v>658</v>
      </c>
      <c r="F62" s="471" t="s">
        <v>132</v>
      </c>
      <c r="G62" s="472"/>
      <c r="H62" s="472"/>
      <c r="I62" s="472"/>
      <c r="J62" s="472"/>
      <c r="K62" s="472"/>
      <c r="L62" s="472"/>
      <c r="M62" s="473"/>
      <c r="N62" s="414"/>
      <c r="O62" s="421"/>
      <c r="P62" s="474"/>
      <c r="Q62" s="475"/>
      <c r="R62" s="474"/>
      <c r="S62" s="476"/>
      <c r="T62" s="476"/>
      <c r="U62" s="475"/>
      <c r="V62" s="477"/>
      <c r="W62" s="477"/>
      <c r="X62" s="477"/>
      <c r="Y62" s="477"/>
      <c r="Z62" s="477"/>
      <c r="AA62" s="477"/>
      <c r="AB62" s="477"/>
      <c r="AC62" s="477"/>
      <c r="AD62" s="478"/>
    </row>
    <row r="63" spans="1:32" ht="27" customHeight="1">
      <c r="A63" s="487" t="s">
        <v>112</v>
      </c>
      <c r="B63" s="488"/>
      <c r="C63" s="418" t="s">
        <v>663</v>
      </c>
      <c r="D63" s="418" t="s">
        <v>664</v>
      </c>
      <c r="E63" s="415" t="s">
        <v>661</v>
      </c>
      <c r="F63" s="471" t="s">
        <v>662</v>
      </c>
      <c r="G63" s="472"/>
      <c r="H63" s="472"/>
      <c r="I63" s="472"/>
      <c r="J63" s="472"/>
      <c r="K63" s="472"/>
      <c r="L63" s="472"/>
      <c r="M63" s="473"/>
      <c r="N63" s="414"/>
      <c r="O63" s="421"/>
      <c r="P63" s="474"/>
      <c r="Q63" s="475"/>
      <c r="R63" s="474"/>
      <c r="S63" s="476"/>
      <c r="T63" s="476"/>
      <c r="U63" s="475"/>
      <c r="V63" s="477"/>
      <c r="W63" s="477"/>
      <c r="X63" s="477"/>
      <c r="Y63" s="477"/>
      <c r="Z63" s="477"/>
      <c r="AA63" s="477"/>
      <c r="AB63" s="477"/>
      <c r="AC63" s="477"/>
      <c r="AD63" s="478"/>
    </row>
    <row r="64" spans="1:32" ht="27" customHeight="1">
      <c r="A64" s="469" t="s">
        <v>118</v>
      </c>
      <c r="B64" s="470"/>
      <c r="C64" s="415" t="s">
        <v>667</v>
      </c>
      <c r="D64" s="415" t="s">
        <v>115</v>
      </c>
      <c r="E64" s="415" t="s">
        <v>665</v>
      </c>
      <c r="F64" s="471" t="s">
        <v>666</v>
      </c>
      <c r="G64" s="472"/>
      <c r="H64" s="472"/>
      <c r="I64" s="472"/>
      <c r="J64" s="472"/>
      <c r="K64" s="472"/>
      <c r="L64" s="472"/>
      <c r="M64" s="473"/>
      <c r="N64" s="414"/>
      <c r="O64" s="421"/>
      <c r="P64" s="474"/>
      <c r="Q64" s="475"/>
      <c r="R64" s="474"/>
      <c r="S64" s="476"/>
      <c r="T64" s="476"/>
      <c r="U64" s="475"/>
      <c r="V64" s="477"/>
      <c r="W64" s="477"/>
      <c r="X64" s="477"/>
      <c r="Y64" s="477"/>
      <c r="Z64" s="477"/>
      <c r="AA64" s="477"/>
      <c r="AB64" s="477"/>
      <c r="AC64" s="477"/>
      <c r="AD64" s="478"/>
    </row>
    <row r="65" spans="1:32" ht="27" customHeight="1">
      <c r="A65" s="487"/>
      <c r="B65" s="488"/>
      <c r="C65" s="418"/>
      <c r="D65" s="418"/>
      <c r="E65" s="415"/>
      <c r="F65" s="471"/>
      <c r="G65" s="472"/>
      <c r="H65" s="472"/>
      <c r="I65" s="472"/>
      <c r="J65" s="472"/>
      <c r="K65" s="472"/>
      <c r="L65" s="472"/>
      <c r="M65" s="473"/>
      <c r="N65" s="414"/>
      <c r="O65" s="421"/>
      <c r="P65" s="474"/>
      <c r="Q65" s="475"/>
      <c r="R65" s="474"/>
      <c r="S65" s="476"/>
      <c r="T65" s="476"/>
      <c r="U65" s="475"/>
      <c r="V65" s="477"/>
      <c r="W65" s="477"/>
      <c r="X65" s="477"/>
      <c r="Y65" s="477"/>
      <c r="Z65" s="477"/>
      <c r="AA65" s="477"/>
      <c r="AB65" s="477"/>
      <c r="AC65" s="477"/>
      <c r="AD65" s="478"/>
    </row>
    <row r="66" spans="1:32" ht="27" customHeight="1">
      <c r="A66" s="487"/>
      <c r="B66" s="488"/>
      <c r="C66" s="418"/>
      <c r="D66" s="418"/>
      <c r="E66" s="415"/>
      <c r="F66" s="471"/>
      <c r="G66" s="472"/>
      <c r="H66" s="472"/>
      <c r="I66" s="472"/>
      <c r="J66" s="472"/>
      <c r="K66" s="472"/>
      <c r="L66" s="472"/>
      <c r="M66" s="473"/>
      <c r="N66" s="414"/>
      <c r="O66" s="421"/>
      <c r="P66" s="470"/>
      <c r="Q66" s="470"/>
      <c r="R66" s="470"/>
      <c r="S66" s="470"/>
      <c r="T66" s="470"/>
      <c r="U66" s="470"/>
      <c r="V66" s="477"/>
      <c r="W66" s="477"/>
      <c r="X66" s="477"/>
      <c r="Y66" s="477"/>
      <c r="Z66" s="477"/>
      <c r="AA66" s="477"/>
      <c r="AB66" s="477"/>
      <c r="AC66" s="477"/>
      <c r="AD66" s="478"/>
      <c r="AF66" s="84">
        <f>8*3000</f>
        <v>24000</v>
      </c>
    </row>
    <row r="67" spans="1:32" ht="27" customHeight="1" thickBot="1">
      <c r="A67" s="479"/>
      <c r="B67" s="480"/>
      <c r="C67" s="416"/>
      <c r="D67" s="417"/>
      <c r="E67" s="416"/>
      <c r="F67" s="481"/>
      <c r="G67" s="482"/>
      <c r="H67" s="482"/>
      <c r="I67" s="482"/>
      <c r="J67" s="482"/>
      <c r="K67" s="482"/>
      <c r="L67" s="482"/>
      <c r="M67" s="483"/>
      <c r="N67" s="111"/>
      <c r="O67" s="103"/>
      <c r="P67" s="484"/>
      <c r="Q67" s="484"/>
      <c r="R67" s="484"/>
      <c r="S67" s="484"/>
      <c r="T67" s="484"/>
      <c r="U67" s="484"/>
      <c r="V67" s="485"/>
      <c r="W67" s="485"/>
      <c r="X67" s="485"/>
      <c r="Y67" s="485"/>
      <c r="Z67" s="485"/>
      <c r="AA67" s="485"/>
      <c r="AB67" s="485"/>
      <c r="AC67" s="485"/>
      <c r="AD67" s="486"/>
      <c r="AF67" s="84">
        <f>16*3000</f>
        <v>48000</v>
      </c>
    </row>
    <row r="68" spans="1:32" ht="27.75" thickBot="1">
      <c r="A68" s="489" t="s">
        <v>681</v>
      </c>
      <c r="B68" s="489"/>
      <c r="C68" s="489"/>
      <c r="D68" s="489"/>
      <c r="E68" s="489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490" t="s">
        <v>111</v>
      </c>
      <c r="B69" s="491"/>
      <c r="C69" s="419" t="s">
        <v>2</v>
      </c>
      <c r="D69" s="419" t="s">
        <v>37</v>
      </c>
      <c r="E69" s="419" t="s">
        <v>3</v>
      </c>
      <c r="F69" s="491" t="s">
        <v>109</v>
      </c>
      <c r="G69" s="491"/>
      <c r="H69" s="491"/>
      <c r="I69" s="491"/>
      <c r="J69" s="491"/>
      <c r="K69" s="491" t="s">
        <v>39</v>
      </c>
      <c r="L69" s="491"/>
      <c r="M69" s="419" t="s">
        <v>40</v>
      </c>
      <c r="N69" s="491" t="s">
        <v>41</v>
      </c>
      <c r="O69" s="491"/>
      <c r="P69" s="492" t="s">
        <v>42</v>
      </c>
      <c r="Q69" s="493"/>
      <c r="R69" s="492" t="s">
        <v>43</v>
      </c>
      <c r="S69" s="494"/>
      <c r="T69" s="494"/>
      <c r="U69" s="494"/>
      <c r="V69" s="494"/>
      <c r="W69" s="494"/>
      <c r="X69" s="494"/>
      <c r="Y69" s="494"/>
      <c r="Z69" s="494"/>
      <c r="AA69" s="493"/>
      <c r="AB69" s="491" t="s">
        <v>44</v>
      </c>
      <c r="AC69" s="491"/>
      <c r="AD69" s="495"/>
      <c r="AF69" s="84">
        <f>SUM(AF66:AF68)</f>
        <v>96000</v>
      </c>
    </row>
    <row r="70" spans="1:32" ht="25.5" customHeight="1">
      <c r="A70" s="496">
        <v>1</v>
      </c>
      <c r="B70" s="497"/>
      <c r="C70" s="104" t="s">
        <v>672</v>
      </c>
      <c r="D70" s="423"/>
      <c r="E70" s="420" t="s">
        <v>674</v>
      </c>
      <c r="F70" s="498" t="s">
        <v>682</v>
      </c>
      <c r="G70" s="499"/>
      <c r="H70" s="499"/>
      <c r="I70" s="499"/>
      <c r="J70" s="500"/>
      <c r="K70" s="501" t="s">
        <v>683</v>
      </c>
      <c r="L70" s="501"/>
      <c r="M70" s="51" t="s">
        <v>684</v>
      </c>
      <c r="N70" s="502" t="s">
        <v>659</v>
      </c>
      <c r="O70" s="502"/>
      <c r="P70" s="503">
        <v>240</v>
      </c>
      <c r="Q70" s="503"/>
      <c r="R70" s="477"/>
      <c r="S70" s="477"/>
      <c r="T70" s="477"/>
      <c r="U70" s="477"/>
      <c r="V70" s="477"/>
      <c r="W70" s="477"/>
      <c r="X70" s="477"/>
      <c r="Y70" s="477"/>
      <c r="Z70" s="477"/>
      <c r="AA70" s="477"/>
      <c r="AB70" s="501"/>
      <c r="AC70" s="501"/>
      <c r="AD70" s="504"/>
      <c r="AF70" s="50"/>
    </row>
    <row r="71" spans="1:32" ht="25.5" customHeight="1">
      <c r="A71" s="496">
        <v>2</v>
      </c>
      <c r="B71" s="497"/>
      <c r="C71" s="104" t="s">
        <v>686</v>
      </c>
      <c r="D71" s="423"/>
      <c r="E71" s="420" t="s">
        <v>687</v>
      </c>
      <c r="F71" s="498" t="s">
        <v>685</v>
      </c>
      <c r="G71" s="499"/>
      <c r="H71" s="499"/>
      <c r="I71" s="499"/>
      <c r="J71" s="500"/>
      <c r="K71" s="501" t="s">
        <v>688</v>
      </c>
      <c r="L71" s="501"/>
      <c r="M71" s="51" t="s">
        <v>684</v>
      </c>
      <c r="N71" s="502" t="s">
        <v>689</v>
      </c>
      <c r="O71" s="502"/>
      <c r="P71" s="503">
        <v>120</v>
      </c>
      <c r="Q71" s="503"/>
      <c r="R71" s="477"/>
      <c r="S71" s="477"/>
      <c r="T71" s="477"/>
      <c r="U71" s="477"/>
      <c r="V71" s="477"/>
      <c r="W71" s="477"/>
      <c r="X71" s="477"/>
      <c r="Y71" s="477"/>
      <c r="Z71" s="477"/>
      <c r="AA71" s="477"/>
      <c r="AB71" s="501"/>
      <c r="AC71" s="501"/>
      <c r="AD71" s="504"/>
      <c r="AF71" s="50"/>
    </row>
    <row r="72" spans="1:32" ht="25.5" customHeight="1">
      <c r="A72" s="496">
        <v>3</v>
      </c>
      <c r="B72" s="497"/>
      <c r="C72" s="104" t="s">
        <v>672</v>
      </c>
      <c r="D72" s="423"/>
      <c r="E72" s="420" t="s">
        <v>691</v>
      </c>
      <c r="F72" s="498" t="s">
        <v>690</v>
      </c>
      <c r="G72" s="499"/>
      <c r="H72" s="499"/>
      <c r="I72" s="499"/>
      <c r="J72" s="500"/>
      <c r="K72" s="501" t="s">
        <v>692</v>
      </c>
      <c r="L72" s="501"/>
      <c r="M72" s="51" t="s">
        <v>684</v>
      </c>
      <c r="N72" s="502" t="s">
        <v>689</v>
      </c>
      <c r="O72" s="502"/>
      <c r="P72" s="503">
        <v>240</v>
      </c>
      <c r="Q72" s="503"/>
      <c r="R72" s="477" t="s">
        <v>693</v>
      </c>
      <c r="S72" s="477"/>
      <c r="T72" s="477"/>
      <c r="U72" s="477"/>
      <c r="V72" s="477"/>
      <c r="W72" s="477"/>
      <c r="X72" s="477"/>
      <c r="Y72" s="477"/>
      <c r="Z72" s="477"/>
      <c r="AA72" s="477"/>
      <c r="AB72" s="501"/>
      <c r="AC72" s="501"/>
      <c r="AD72" s="504"/>
      <c r="AF72" s="50"/>
    </row>
    <row r="73" spans="1:32" ht="25.5" customHeight="1">
      <c r="A73" s="496">
        <v>4</v>
      </c>
      <c r="B73" s="497"/>
      <c r="C73" s="104"/>
      <c r="D73" s="423"/>
      <c r="E73" s="420"/>
      <c r="F73" s="498"/>
      <c r="G73" s="499"/>
      <c r="H73" s="499"/>
      <c r="I73" s="499"/>
      <c r="J73" s="500"/>
      <c r="K73" s="501"/>
      <c r="L73" s="501"/>
      <c r="M73" s="51"/>
      <c r="N73" s="502"/>
      <c r="O73" s="502"/>
      <c r="P73" s="503"/>
      <c r="Q73" s="503"/>
      <c r="R73" s="477"/>
      <c r="S73" s="477"/>
      <c r="T73" s="477"/>
      <c r="U73" s="477"/>
      <c r="V73" s="477"/>
      <c r="W73" s="477"/>
      <c r="X73" s="477"/>
      <c r="Y73" s="477"/>
      <c r="Z73" s="477"/>
      <c r="AA73" s="477"/>
      <c r="AB73" s="501"/>
      <c r="AC73" s="501"/>
      <c r="AD73" s="504"/>
      <c r="AF73" s="50"/>
    </row>
    <row r="74" spans="1:32" ht="25.5" customHeight="1">
      <c r="A74" s="496">
        <v>5</v>
      </c>
      <c r="B74" s="497"/>
      <c r="C74" s="104"/>
      <c r="D74" s="423"/>
      <c r="E74" s="420"/>
      <c r="F74" s="498"/>
      <c r="G74" s="499"/>
      <c r="H74" s="499"/>
      <c r="I74" s="499"/>
      <c r="J74" s="500"/>
      <c r="K74" s="501"/>
      <c r="L74" s="501"/>
      <c r="M74" s="51"/>
      <c r="N74" s="502"/>
      <c r="O74" s="502"/>
      <c r="P74" s="503"/>
      <c r="Q74" s="503"/>
      <c r="R74" s="477"/>
      <c r="S74" s="477"/>
      <c r="T74" s="477"/>
      <c r="U74" s="477"/>
      <c r="V74" s="477"/>
      <c r="W74" s="477"/>
      <c r="X74" s="477"/>
      <c r="Y74" s="477"/>
      <c r="Z74" s="477"/>
      <c r="AA74" s="477"/>
      <c r="AB74" s="501"/>
      <c r="AC74" s="501"/>
      <c r="AD74" s="504"/>
      <c r="AF74" s="50"/>
    </row>
    <row r="75" spans="1:32" ht="25.5" customHeight="1">
      <c r="A75" s="496">
        <v>6</v>
      </c>
      <c r="B75" s="497"/>
      <c r="C75" s="104"/>
      <c r="D75" s="423"/>
      <c r="E75" s="420"/>
      <c r="F75" s="498"/>
      <c r="G75" s="499"/>
      <c r="H75" s="499"/>
      <c r="I75" s="499"/>
      <c r="J75" s="500"/>
      <c r="K75" s="501"/>
      <c r="L75" s="501"/>
      <c r="M75" s="51"/>
      <c r="N75" s="502"/>
      <c r="O75" s="502"/>
      <c r="P75" s="503"/>
      <c r="Q75" s="503"/>
      <c r="R75" s="477"/>
      <c r="S75" s="477"/>
      <c r="T75" s="477"/>
      <c r="U75" s="477"/>
      <c r="V75" s="477"/>
      <c r="W75" s="477"/>
      <c r="X75" s="477"/>
      <c r="Y75" s="477"/>
      <c r="Z75" s="477"/>
      <c r="AA75" s="477"/>
      <c r="AB75" s="501"/>
      <c r="AC75" s="501"/>
      <c r="AD75" s="504"/>
      <c r="AF75" s="50"/>
    </row>
    <row r="76" spans="1:32" ht="25.5" customHeight="1">
      <c r="A76" s="496">
        <v>7</v>
      </c>
      <c r="B76" s="497"/>
      <c r="C76" s="104"/>
      <c r="D76" s="423"/>
      <c r="E76" s="420"/>
      <c r="F76" s="498"/>
      <c r="G76" s="499"/>
      <c r="H76" s="499"/>
      <c r="I76" s="499"/>
      <c r="J76" s="500"/>
      <c r="K76" s="501"/>
      <c r="L76" s="501"/>
      <c r="M76" s="51"/>
      <c r="N76" s="502"/>
      <c r="O76" s="502"/>
      <c r="P76" s="503"/>
      <c r="Q76" s="503"/>
      <c r="R76" s="477"/>
      <c r="S76" s="477"/>
      <c r="T76" s="477"/>
      <c r="U76" s="477"/>
      <c r="V76" s="477"/>
      <c r="W76" s="477"/>
      <c r="X76" s="477"/>
      <c r="Y76" s="477"/>
      <c r="Z76" s="477"/>
      <c r="AA76" s="477"/>
      <c r="AB76" s="501"/>
      <c r="AC76" s="501"/>
      <c r="AD76" s="504"/>
      <c r="AF76" s="50"/>
    </row>
    <row r="77" spans="1:32" ht="25.5" customHeight="1">
      <c r="A77" s="496">
        <v>8</v>
      </c>
      <c r="B77" s="497"/>
      <c r="C77" s="104"/>
      <c r="D77" s="423"/>
      <c r="E77" s="420"/>
      <c r="F77" s="505"/>
      <c r="G77" s="501"/>
      <c r="H77" s="501"/>
      <c r="I77" s="501"/>
      <c r="J77" s="501"/>
      <c r="K77" s="501"/>
      <c r="L77" s="501"/>
      <c r="M77" s="51"/>
      <c r="N77" s="502"/>
      <c r="O77" s="502"/>
      <c r="P77" s="503"/>
      <c r="Q77" s="503"/>
      <c r="R77" s="477"/>
      <c r="S77" s="477"/>
      <c r="T77" s="477"/>
      <c r="U77" s="477"/>
      <c r="V77" s="477"/>
      <c r="W77" s="477"/>
      <c r="X77" s="477"/>
      <c r="Y77" s="477"/>
      <c r="Z77" s="477"/>
      <c r="AA77" s="477"/>
      <c r="AB77" s="501"/>
      <c r="AC77" s="501"/>
      <c r="AD77" s="504"/>
      <c r="AF77" s="50"/>
    </row>
    <row r="78" spans="1:32" ht="25.5" customHeight="1">
      <c r="A78" s="496">
        <v>9</v>
      </c>
      <c r="B78" s="497"/>
      <c r="C78" s="104"/>
      <c r="D78" s="423"/>
      <c r="E78" s="420"/>
      <c r="F78" s="505"/>
      <c r="G78" s="501"/>
      <c r="H78" s="501"/>
      <c r="I78" s="501"/>
      <c r="J78" s="501"/>
      <c r="K78" s="501"/>
      <c r="L78" s="501"/>
      <c r="M78" s="51"/>
      <c r="N78" s="502"/>
      <c r="O78" s="502"/>
      <c r="P78" s="503"/>
      <c r="Q78" s="503"/>
      <c r="R78" s="477"/>
      <c r="S78" s="477"/>
      <c r="T78" s="477"/>
      <c r="U78" s="477"/>
      <c r="V78" s="477"/>
      <c r="W78" s="477"/>
      <c r="X78" s="477"/>
      <c r="Y78" s="477"/>
      <c r="Z78" s="477"/>
      <c r="AA78" s="477"/>
      <c r="AB78" s="501"/>
      <c r="AC78" s="501"/>
      <c r="AD78" s="504"/>
      <c r="AF78" s="50"/>
    </row>
    <row r="79" spans="1:32" ht="25.5" customHeight="1">
      <c r="A79" s="496">
        <v>10</v>
      </c>
      <c r="B79" s="497"/>
      <c r="C79" s="104"/>
      <c r="D79" s="423"/>
      <c r="E79" s="420"/>
      <c r="F79" s="505"/>
      <c r="G79" s="501"/>
      <c r="H79" s="501"/>
      <c r="I79" s="501"/>
      <c r="J79" s="501"/>
      <c r="K79" s="501"/>
      <c r="L79" s="501"/>
      <c r="M79" s="51"/>
      <c r="N79" s="502"/>
      <c r="O79" s="502"/>
      <c r="P79" s="503"/>
      <c r="Q79" s="503"/>
      <c r="R79" s="477"/>
      <c r="S79" s="477"/>
      <c r="T79" s="477"/>
      <c r="U79" s="477"/>
      <c r="V79" s="477"/>
      <c r="W79" s="477"/>
      <c r="X79" s="477"/>
      <c r="Y79" s="477"/>
      <c r="Z79" s="477"/>
      <c r="AA79" s="477"/>
      <c r="AB79" s="501"/>
      <c r="AC79" s="501"/>
      <c r="AD79" s="504"/>
      <c r="AF79" s="50"/>
    </row>
    <row r="80" spans="1:32" ht="26.25" customHeight="1" thickBot="1">
      <c r="A80" s="506" t="s">
        <v>694</v>
      </c>
      <c r="B80" s="506"/>
      <c r="C80" s="506"/>
      <c r="D80" s="506"/>
      <c r="E80" s="506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50" t="s">
        <v>111</v>
      </c>
      <c r="B81" s="551"/>
      <c r="C81" s="422" t="s">
        <v>2</v>
      </c>
      <c r="D81" s="422" t="s">
        <v>37</v>
      </c>
      <c r="E81" s="422" t="s">
        <v>125</v>
      </c>
      <c r="F81" s="508" t="s">
        <v>38</v>
      </c>
      <c r="G81" s="508"/>
      <c r="H81" s="508"/>
      <c r="I81" s="508"/>
      <c r="J81" s="508"/>
      <c r="K81" s="509" t="s">
        <v>58</v>
      </c>
      <c r="L81" s="510"/>
      <c r="M81" s="510"/>
      <c r="N81" s="510"/>
      <c r="O81" s="510"/>
      <c r="P81" s="510"/>
      <c r="Q81" s="510"/>
      <c r="R81" s="510"/>
      <c r="S81" s="511"/>
      <c r="T81" s="508" t="s">
        <v>49</v>
      </c>
      <c r="U81" s="508"/>
      <c r="V81" s="509" t="s">
        <v>50</v>
      </c>
      <c r="W81" s="511"/>
      <c r="X81" s="510" t="s">
        <v>51</v>
      </c>
      <c r="Y81" s="510"/>
      <c r="Z81" s="510"/>
      <c r="AA81" s="510"/>
      <c r="AB81" s="510"/>
      <c r="AC81" s="510"/>
      <c r="AD81" s="512"/>
      <c r="AF81" s="50"/>
    </row>
    <row r="82" spans="1:32" ht="33.75" customHeight="1">
      <c r="A82" s="521">
        <v>1</v>
      </c>
      <c r="B82" s="522"/>
      <c r="C82" s="424"/>
      <c r="D82" s="424"/>
      <c r="E82" s="65"/>
      <c r="F82" s="523"/>
      <c r="G82" s="524"/>
      <c r="H82" s="524"/>
      <c r="I82" s="524"/>
      <c r="J82" s="525"/>
      <c r="K82" s="526"/>
      <c r="L82" s="527"/>
      <c r="M82" s="527"/>
      <c r="N82" s="527"/>
      <c r="O82" s="527"/>
      <c r="P82" s="527"/>
      <c r="Q82" s="527"/>
      <c r="R82" s="527"/>
      <c r="S82" s="528"/>
      <c r="T82" s="529"/>
      <c r="U82" s="530"/>
      <c r="V82" s="531"/>
      <c r="W82" s="531"/>
      <c r="X82" s="532"/>
      <c r="Y82" s="532"/>
      <c r="Z82" s="532"/>
      <c r="AA82" s="532"/>
      <c r="AB82" s="532"/>
      <c r="AC82" s="532"/>
      <c r="AD82" s="533"/>
      <c r="AF82" s="50"/>
    </row>
    <row r="83" spans="1:32" ht="30" customHeight="1">
      <c r="A83" s="513">
        <f>A82+1</f>
        <v>2</v>
      </c>
      <c r="B83" s="514"/>
      <c r="C83" s="423"/>
      <c r="D83" s="423"/>
      <c r="E83" s="32"/>
      <c r="F83" s="514"/>
      <c r="G83" s="514"/>
      <c r="H83" s="514"/>
      <c r="I83" s="514"/>
      <c r="J83" s="514"/>
      <c r="K83" s="515"/>
      <c r="L83" s="516"/>
      <c r="M83" s="516"/>
      <c r="N83" s="516"/>
      <c r="O83" s="516"/>
      <c r="P83" s="516"/>
      <c r="Q83" s="516"/>
      <c r="R83" s="516"/>
      <c r="S83" s="517"/>
      <c r="T83" s="518"/>
      <c r="U83" s="518"/>
      <c r="V83" s="518"/>
      <c r="W83" s="518"/>
      <c r="X83" s="519"/>
      <c r="Y83" s="519"/>
      <c r="Z83" s="519"/>
      <c r="AA83" s="519"/>
      <c r="AB83" s="519"/>
      <c r="AC83" s="519"/>
      <c r="AD83" s="520"/>
      <c r="AF83" s="50"/>
    </row>
    <row r="84" spans="1:32" ht="30" customHeight="1">
      <c r="A84" s="513">
        <f t="shared" ref="A84:A88" si="12">A83+1</f>
        <v>3</v>
      </c>
      <c r="B84" s="514"/>
      <c r="C84" s="423"/>
      <c r="D84" s="423"/>
      <c r="E84" s="32"/>
      <c r="F84" s="514"/>
      <c r="G84" s="514"/>
      <c r="H84" s="514"/>
      <c r="I84" s="514"/>
      <c r="J84" s="514"/>
      <c r="K84" s="515"/>
      <c r="L84" s="516"/>
      <c r="M84" s="516"/>
      <c r="N84" s="516"/>
      <c r="O84" s="516"/>
      <c r="P84" s="516"/>
      <c r="Q84" s="516"/>
      <c r="R84" s="516"/>
      <c r="S84" s="517"/>
      <c r="T84" s="518"/>
      <c r="U84" s="518"/>
      <c r="V84" s="518"/>
      <c r="W84" s="518"/>
      <c r="X84" s="519"/>
      <c r="Y84" s="519"/>
      <c r="Z84" s="519"/>
      <c r="AA84" s="519"/>
      <c r="AB84" s="519"/>
      <c r="AC84" s="519"/>
      <c r="AD84" s="520"/>
      <c r="AF84" s="50"/>
    </row>
    <row r="85" spans="1:32" ht="30" customHeight="1">
      <c r="A85" s="513">
        <f t="shared" si="12"/>
        <v>4</v>
      </c>
      <c r="B85" s="514"/>
      <c r="C85" s="423"/>
      <c r="D85" s="423"/>
      <c r="E85" s="32"/>
      <c r="F85" s="514"/>
      <c r="G85" s="514"/>
      <c r="H85" s="514"/>
      <c r="I85" s="514"/>
      <c r="J85" s="514"/>
      <c r="K85" s="515"/>
      <c r="L85" s="516"/>
      <c r="M85" s="516"/>
      <c r="N85" s="516"/>
      <c r="O85" s="516"/>
      <c r="P85" s="516"/>
      <c r="Q85" s="516"/>
      <c r="R85" s="516"/>
      <c r="S85" s="517"/>
      <c r="T85" s="518"/>
      <c r="U85" s="518"/>
      <c r="V85" s="518"/>
      <c r="W85" s="518"/>
      <c r="X85" s="519"/>
      <c r="Y85" s="519"/>
      <c r="Z85" s="519"/>
      <c r="AA85" s="519"/>
      <c r="AB85" s="519"/>
      <c r="AC85" s="519"/>
      <c r="AD85" s="520"/>
      <c r="AF85" s="50"/>
    </row>
    <row r="86" spans="1:32" ht="30" customHeight="1">
      <c r="A86" s="513">
        <f t="shared" si="12"/>
        <v>5</v>
      </c>
      <c r="B86" s="514"/>
      <c r="C86" s="423"/>
      <c r="D86" s="423"/>
      <c r="E86" s="32"/>
      <c r="F86" s="514"/>
      <c r="G86" s="514"/>
      <c r="H86" s="514"/>
      <c r="I86" s="514"/>
      <c r="J86" s="514"/>
      <c r="K86" s="515"/>
      <c r="L86" s="516"/>
      <c r="M86" s="516"/>
      <c r="N86" s="516"/>
      <c r="O86" s="516"/>
      <c r="P86" s="516"/>
      <c r="Q86" s="516"/>
      <c r="R86" s="516"/>
      <c r="S86" s="517"/>
      <c r="T86" s="518"/>
      <c r="U86" s="518"/>
      <c r="V86" s="518"/>
      <c r="W86" s="518"/>
      <c r="X86" s="519"/>
      <c r="Y86" s="519"/>
      <c r="Z86" s="519"/>
      <c r="AA86" s="519"/>
      <c r="AB86" s="519"/>
      <c r="AC86" s="519"/>
      <c r="AD86" s="520"/>
      <c r="AF86" s="50"/>
    </row>
    <row r="87" spans="1:32" ht="30" customHeight="1">
      <c r="A87" s="513">
        <f t="shared" si="12"/>
        <v>6</v>
      </c>
      <c r="B87" s="514"/>
      <c r="C87" s="423"/>
      <c r="D87" s="423"/>
      <c r="E87" s="32"/>
      <c r="F87" s="514"/>
      <c r="G87" s="514"/>
      <c r="H87" s="514"/>
      <c r="I87" s="514"/>
      <c r="J87" s="514"/>
      <c r="K87" s="515"/>
      <c r="L87" s="516"/>
      <c r="M87" s="516"/>
      <c r="N87" s="516"/>
      <c r="O87" s="516"/>
      <c r="P87" s="516"/>
      <c r="Q87" s="516"/>
      <c r="R87" s="516"/>
      <c r="S87" s="517"/>
      <c r="T87" s="518"/>
      <c r="U87" s="518"/>
      <c r="V87" s="518"/>
      <c r="W87" s="518"/>
      <c r="X87" s="519"/>
      <c r="Y87" s="519"/>
      <c r="Z87" s="519"/>
      <c r="AA87" s="519"/>
      <c r="AB87" s="519"/>
      <c r="AC87" s="519"/>
      <c r="AD87" s="520"/>
      <c r="AF87" s="50"/>
    </row>
    <row r="88" spans="1:32" ht="30" customHeight="1">
      <c r="A88" s="513">
        <f t="shared" si="12"/>
        <v>7</v>
      </c>
      <c r="B88" s="514"/>
      <c r="C88" s="423"/>
      <c r="D88" s="423"/>
      <c r="E88" s="32"/>
      <c r="F88" s="514"/>
      <c r="G88" s="514"/>
      <c r="H88" s="514"/>
      <c r="I88" s="514"/>
      <c r="J88" s="514"/>
      <c r="K88" s="515"/>
      <c r="L88" s="516"/>
      <c r="M88" s="516"/>
      <c r="N88" s="516"/>
      <c r="O88" s="516"/>
      <c r="P88" s="516"/>
      <c r="Q88" s="516"/>
      <c r="R88" s="516"/>
      <c r="S88" s="517"/>
      <c r="T88" s="518"/>
      <c r="U88" s="518"/>
      <c r="V88" s="518"/>
      <c r="W88" s="518"/>
      <c r="X88" s="519"/>
      <c r="Y88" s="519"/>
      <c r="Z88" s="519"/>
      <c r="AA88" s="519"/>
      <c r="AB88" s="519"/>
      <c r="AC88" s="519"/>
      <c r="AD88" s="520"/>
      <c r="AF88" s="50"/>
    </row>
    <row r="89" spans="1:32" ht="36" thickBot="1">
      <c r="A89" s="506" t="s">
        <v>695</v>
      </c>
      <c r="B89" s="506"/>
      <c r="C89" s="506"/>
      <c r="D89" s="506"/>
      <c r="E89" s="506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07" t="s">
        <v>111</v>
      </c>
      <c r="B90" s="508"/>
      <c r="C90" s="534" t="s">
        <v>52</v>
      </c>
      <c r="D90" s="534"/>
      <c r="E90" s="534" t="s">
        <v>53</v>
      </c>
      <c r="F90" s="534"/>
      <c r="G90" s="534"/>
      <c r="H90" s="534"/>
      <c r="I90" s="534"/>
      <c r="J90" s="534"/>
      <c r="K90" s="534" t="s">
        <v>54</v>
      </c>
      <c r="L90" s="534"/>
      <c r="M90" s="534"/>
      <c r="N90" s="534"/>
      <c r="O90" s="534"/>
      <c r="P90" s="534"/>
      <c r="Q90" s="534"/>
      <c r="R90" s="534"/>
      <c r="S90" s="534"/>
      <c r="T90" s="534" t="s">
        <v>55</v>
      </c>
      <c r="U90" s="534"/>
      <c r="V90" s="534" t="s">
        <v>56</v>
      </c>
      <c r="W90" s="534"/>
      <c r="X90" s="534"/>
      <c r="Y90" s="534" t="s">
        <v>51</v>
      </c>
      <c r="Z90" s="534"/>
      <c r="AA90" s="534"/>
      <c r="AB90" s="534"/>
      <c r="AC90" s="534"/>
      <c r="AD90" s="535"/>
      <c r="AF90" s="50"/>
    </row>
    <row r="91" spans="1:32" ht="30.75" customHeight="1">
      <c r="A91" s="521">
        <v>1</v>
      </c>
      <c r="B91" s="522"/>
      <c r="C91" s="536">
        <v>9</v>
      </c>
      <c r="D91" s="536"/>
      <c r="E91" s="536" t="s">
        <v>136</v>
      </c>
      <c r="F91" s="536"/>
      <c r="G91" s="536"/>
      <c r="H91" s="536"/>
      <c r="I91" s="536"/>
      <c r="J91" s="536"/>
      <c r="K91" s="536" t="s">
        <v>161</v>
      </c>
      <c r="L91" s="536"/>
      <c r="M91" s="536"/>
      <c r="N91" s="536"/>
      <c r="O91" s="536"/>
      <c r="P91" s="536"/>
      <c r="Q91" s="536"/>
      <c r="R91" s="536"/>
      <c r="S91" s="536"/>
      <c r="T91" s="536" t="s">
        <v>137</v>
      </c>
      <c r="U91" s="536"/>
      <c r="V91" s="537" t="s">
        <v>152</v>
      </c>
      <c r="W91" s="537"/>
      <c r="X91" s="537"/>
      <c r="Y91" s="538"/>
      <c r="Z91" s="538"/>
      <c r="AA91" s="538"/>
      <c r="AB91" s="538"/>
      <c r="AC91" s="538"/>
      <c r="AD91" s="539"/>
      <c r="AF91" s="50"/>
    </row>
    <row r="92" spans="1:32" ht="30.75" customHeight="1">
      <c r="A92" s="513">
        <v>2</v>
      </c>
      <c r="B92" s="514"/>
      <c r="C92" s="547"/>
      <c r="D92" s="547"/>
      <c r="E92" s="547"/>
      <c r="F92" s="547"/>
      <c r="G92" s="547"/>
      <c r="H92" s="547"/>
      <c r="I92" s="547"/>
      <c r="J92" s="547"/>
      <c r="K92" s="547"/>
      <c r="L92" s="547"/>
      <c r="M92" s="547"/>
      <c r="N92" s="547"/>
      <c r="O92" s="547"/>
      <c r="P92" s="547"/>
      <c r="Q92" s="547"/>
      <c r="R92" s="547"/>
      <c r="S92" s="547"/>
      <c r="T92" s="548"/>
      <c r="U92" s="548"/>
      <c r="V92" s="549"/>
      <c r="W92" s="549"/>
      <c r="X92" s="549"/>
      <c r="Y92" s="540"/>
      <c r="Z92" s="540"/>
      <c r="AA92" s="540"/>
      <c r="AB92" s="540"/>
      <c r="AC92" s="540"/>
      <c r="AD92" s="541"/>
      <c r="AF92" s="50"/>
    </row>
    <row r="93" spans="1:32" ht="30.75" customHeight="1" thickBot="1">
      <c r="A93" s="542">
        <v>3</v>
      </c>
      <c r="B93" s="543"/>
      <c r="C93" s="544"/>
      <c r="D93" s="544"/>
      <c r="E93" s="544"/>
      <c r="F93" s="544"/>
      <c r="G93" s="544"/>
      <c r="H93" s="544"/>
      <c r="I93" s="544"/>
      <c r="J93" s="544"/>
      <c r="K93" s="544"/>
      <c r="L93" s="544"/>
      <c r="M93" s="544"/>
      <c r="N93" s="544"/>
      <c r="O93" s="544"/>
      <c r="P93" s="544"/>
      <c r="Q93" s="544"/>
      <c r="R93" s="544"/>
      <c r="S93" s="544"/>
      <c r="T93" s="544"/>
      <c r="U93" s="544"/>
      <c r="V93" s="544"/>
      <c r="W93" s="544"/>
      <c r="X93" s="544"/>
      <c r="Y93" s="545"/>
      <c r="Z93" s="545"/>
      <c r="AA93" s="545"/>
      <c r="AB93" s="545"/>
      <c r="AC93" s="545"/>
      <c r="AD93" s="546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0"/>
  <sheetViews>
    <sheetView view="pageBreakPreview" zoomScaleNormal="100" zoomScaleSheetLayoutView="100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AD47" sqref="AD47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552" t="s">
        <v>177</v>
      </c>
      <c r="B1" s="552"/>
      <c r="C1" s="552"/>
      <c r="D1" s="552"/>
      <c r="E1" s="552"/>
      <c r="F1" s="552"/>
      <c r="G1" s="552"/>
      <c r="H1" s="552"/>
    </row>
    <row r="2" spans="1:33" ht="21.75" customHeight="1" thickBot="1">
      <c r="A2" s="86" t="s">
        <v>59</v>
      </c>
      <c r="B2" s="88" t="s">
        <v>73</v>
      </c>
      <c r="C2" s="89" t="s">
        <v>74</v>
      </c>
      <c r="D2" s="89" t="s">
        <v>75</v>
      </c>
      <c r="E2" s="89" t="s">
        <v>76</v>
      </c>
      <c r="F2" s="89" t="s">
        <v>77</v>
      </c>
      <c r="G2" s="89" t="s">
        <v>78</v>
      </c>
      <c r="H2" s="89" t="s">
        <v>79</v>
      </c>
      <c r="I2" s="89" t="s">
        <v>80</v>
      </c>
      <c r="J2" s="89" t="s">
        <v>81</v>
      </c>
      <c r="K2" s="89" t="s">
        <v>82</v>
      </c>
      <c r="L2" s="89" t="s">
        <v>83</v>
      </c>
      <c r="M2" s="89" t="s">
        <v>84</v>
      </c>
      <c r="N2" s="89" t="s">
        <v>85</v>
      </c>
      <c r="O2" s="89" t="s">
        <v>86</v>
      </c>
      <c r="P2" s="89" t="s">
        <v>87</v>
      </c>
      <c r="Q2" s="89" t="s">
        <v>88</v>
      </c>
      <c r="R2" s="89" t="s">
        <v>89</v>
      </c>
      <c r="S2" s="89" t="s">
        <v>90</v>
      </c>
      <c r="T2" s="89" t="s">
        <v>91</v>
      </c>
      <c r="U2" s="89" t="s">
        <v>92</v>
      </c>
      <c r="V2" s="89" t="s">
        <v>93</v>
      </c>
      <c r="W2" s="89" t="s">
        <v>94</v>
      </c>
      <c r="X2" s="89" t="s">
        <v>95</v>
      </c>
      <c r="Y2" s="89" t="s">
        <v>96</v>
      </c>
      <c r="Z2" s="89" t="s">
        <v>97</v>
      </c>
      <c r="AA2" s="89" t="s">
        <v>98</v>
      </c>
      <c r="AB2" s="89" t="s">
        <v>99</v>
      </c>
      <c r="AC2" s="89" t="s">
        <v>100</v>
      </c>
      <c r="AD2" s="89" t="s">
        <v>101</v>
      </c>
      <c r="AE2" s="89" t="s">
        <v>102</v>
      </c>
      <c r="AF2" s="90" t="s">
        <v>103</v>
      </c>
      <c r="AG2" s="86" t="s">
        <v>105</v>
      </c>
    </row>
    <row r="3" spans="1:33" ht="21.75" customHeight="1">
      <c r="A3" s="113" t="s">
        <v>60</v>
      </c>
      <c r="B3" s="114"/>
      <c r="C3" s="114">
        <f>'02'!AD6</f>
        <v>0.20833333333333334</v>
      </c>
      <c r="D3" s="115">
        <f>'03'!AD6</f>
        <v>0.66666666666666663</v>
      </c>
      <c r="E3" s="115">
        <f>'04'!AD6+'04'!AD7</f>
        <v>0.70833333333333337</v>
      </c>
      <c r="F3" s="115">
        <f>'05'!AD6</f>
        <v>0</v>
      </c>
      <c r="G3" s="115"/>
      <c r="H3" s="115"/>
      <c r="I3" s="115">
        <f>'08'!AD6</f>
        <v>1</v>
      </c>
      <c r="J3" s="115">
        <f>'09'!AD6</f>
        <v>0.58333333333333337</v>
      </c>
      <c r="K3" s="115">
        <f>'10'!AD6</f>
        <v>0.29166666666666669</v>
      </c>
      <c r="L3" s="115">
        <f>'11'!AD6</f>
        <v>0.875</v>
      </c>
      <c r="M3" s="115">
        <f>'12'!AD6</f>
        <v>0.875</v>
      </c>
      <c r="N3" s="116">
        <f>'13'!AD6</f>
        <v>0.375</v>
      </c>
      <c r="O3" s="115"/>
      <c r="P3" s="115">
        <f>'15'!AD6</f>
        <v>0.875</v>
      </c>
      <c r="Q3" s="115">
        <f>'16'!AD6</f>
        <v>1</v>
      </c>
      <c r="R3" s="115">
        <f>'17'!AD6</f>
        <v>0.16666666666666666</v>
      </c>
      <c r="S3" s="115">
        <f>'18'!AD6</f>
        <v>0.58333333333333337</v>
      </c>
      <c r="T3" s="115">
        <f>'19'!AD6</f>
        <v>1</v>
      </c>
      <c r="U3" s="115">
        <f>'20'!AD6</f>
        <v>0.375</v>
      </c>
      <c r="V3" s="115"/>
      <c r="W3" s="116">
        <f>'22'!AD6</f>
        <v>0</v>
      </c>
      <c r="X3" s="115">
        <f>'23'!AD6</f>
        <v>0.58333333333333337</v>
      </c>
      <c r="Y3" s="115">
        <f>'24'!AD6</f>
        <v>0.79166666666666663</v>
      </c>
      <c r="Z3" s="115">
        <f>'25'!AD6</f>
        <v>0.45833333333333331</v>
      </c>
      <c r="AA3" s="115">
        <f>'26'!AD6</f>
        <v>1</v>
      </c>
      <c r="AB3" s="115">
        <f>'27'!AD6</f>
        <v>1</v>
      </c>
      <c r="AC3" s="115"/>
      <c r="AD3" s="115">
        <f>'29'!AD6</f>
        <v>0.45833333333333331</v>
      </c>
      <c r="AE3" s="115">
        <f>'30'!AD6</f>
        <v>0.79166666666666663</v>
      </c>
      <c r="AF3" s="117">
        <f>'31'!AD6</f>
        <v>0.83333333333333337</v>
      </c>
      <c r="AG3" s="118">
        <f>SUM(B3:AF3)/31</f>
        <v>0.50000000000000011</v>
      </c>
    </row>
    <row r="4" spans="1:33" ht="21.75" customHeight="1">
      <c r="A4" s="101" t="s">
        <v>61</v>
      </c>
      <c r="B4" s="98"/>
      <c r="C4" s="98">
        <f>'02'!AD7</f>
        <v>0</v>
      </c>
      <c r="D4" s="77">
        <f>'03'!AD7</f>
        <v>0</v>
      </c>
      <c r="E4" s="77">
        <f>'04'!AD8</f>
        <v>0.875</v>
      </c>
      <c r="F4" s="77">
        <f>'05'!AD7</f>
        <v>0</v>
      </c>
      <c r="G4" s="119"/>
      <c r="H4" s="77"/>
      <c r="I4" s="77">
        <f>'08'!AD7</f>
        <v>0.58333333333333337</v>
      </c>
      <c r="J4" s="77">
        <f>'09'!AD7</f>
        <v>0.33333333333333331</v>
      </c>
      <c r="K4" s="77">
        <f>'10'!AD7</f>
        <v>0.91666666666666663</v>
      </c>
      <c r="L4" s="77">
        <f>'11'!AD7</f>
        <v>1</v>
      </c>
      <c r="M4" s="77">
        <f>'12'!AD7</f>
        <v>1</v>
      </c>
      <c r="N4" s="77">
        <f>'13'!AD7</f>
        <v>0.75</v>
      </c>
      <c r="O4" s="77"/>
      <c r="P4" s="77">
        <f>'15'!AD7</f>
        <v>1</v>
      </c>
      <c r="Q4" s="77">
        <f>'16'!AD7</f>
        <v>1</v>
      </c>
      <c r="R4" s="77">
        <f>'17'!AD7</f>
        <v>1</v>
      </c>
      <c r="S4" s="77">
        <f>'18'!AD7</f>
        <v>0.79166666666666663</v>
      </c>
      <c r="T4" s="77">
        <f>'19'!AD7</f>
        <v>1</v>
      </c>
      <c r="U4" s="77">
        <f>'20'!AD7</f>
        <v>0.875</v>
      </c>
      <c r="V4" s="77"/>
      <c r="W4" s="77">
        <f>'22'!AD7</f>
        <v>1</v>
      </c>
      <c r="X4" s="77">
        <f>'23'!AD7+'23'!AD8</f>
        <v>0.625</v>
      </c>
      <c r="Y4" s="77">
        <f>'24'!AD7</f>
        <v>0.75</v>
      </c>
      <c r="Z4" s="77">
        <f>'25'!AD7</f>
        <v>0.41666666666666669</v>
      </c>
      <c r="AA4" s="77">
        <f>'26'!AD7</f>
        <v>0.66666666666666663</v>
      </c>
      <c r="AB4" s="77">
        <f>'27'!AD7</f>
        <v>0.66666666666666663</v>
      </c>
      <c r="AC4" s="77"/>
      <c r="AD4" s="77">
        <f>'29'!AD7</f>
        <v>1</v>
      </c>
      <c r="AE4" s="77">
        <f>'30'!AD7</f>
        <v>0</v>
      </c>
      <c r="AF4" s="78">
        <f>'31'!AD7</f>
        <v>0.75</v>
      </c>
      <c r="AG4" s="79">
        <f t="shared" ref="AG4:AG19" si="0">SUM(B4:AF4)/31</f>
        <v>0.54838709677419351</v>
      </c>
    </row>
    <row r="5" spans="1:33" ht="21.75" customHeight="1">
      <c r="A5" s="101" t="s">
        <v>62</v>
      </c>
      <c r="B5" s="98"/>
      <c r="C5" s="98">
        <f>'02'!AD8+'02'!AD9</f>
        <v>0.54166666666666674</v>
      </c>
      <c r="D5" s="77">
        <f>'03'!AD8+'03'!AD9</f>
        <v>0.70833333333333337</v>
      </c>
      <c r="E5" s="77">
        <f>'04'!AD9+'04'!AD10</f>
        <v>0.25</v>
      </c>
      <c r="F5" s="77">
        <f>'05'!AD8</f>
        <v>0</v>
      </c>
      <c r="G5" s="77"/>
      <c r="H5" s="77"/>
      <c r="I5" s="77">
        <f>'08'!AD8</f>
        <v>0.58333333333333337</v>
      </c>
      <c r="J5" s="77">
        <f>'09'!AD8</f>
        <v>0.16666666666666666</v>
      </c>
      <c r="K5" s="77">
        <f>'10'!AD8</f>
        <v>0</v>
      </c>
      <c r="L5" s="77">
        <f>'11'!AD8</f>
        <v>0.58333333333333337</v>
      </c>
      <c r="M5" s="77">
        <f>'12'!AD8</f>
        <v>0.79166666666666663</v>
      </c>
      <c r="N5" s="77">
        <f>'13'!AD8</f>
        <v>0.41666666666666669</v>
      </c>
      <c r="O5" s="77"/>
      <c r="P5" s="77">
        <f>'15'!AD8</f>
        <v>0.70833333333333337</v>
      </c>
      <c r="Q5" s="77">
        <f>'16'!AD8</f>
        <v>0.79166666666666663</v>
      </c>
      <c r="R5" s="77">
        <f>'17'!AD8</f>
        <v>0.875</v>
      </c>
      <c r="S5" s="77">
        <f>'18'!AD8</f>
        <v>0.70833333333333337</v>
      </c>
      <c r="T5" s="77">
        <f>'19'!AD8</f>
        <v>1</v>
      </c>
      <c r="U5" s="77">
        <f>'20'!AD8</f>
        <v>0.75</v>
      </c>
      <c r="V5" s="77"/>
      <c r="W5" s="119">
        <f>'22'!AD8+'22'!AD9</f>
        <v>0.95833333333333337</v>
      </c>
      <c r="X5" s="77">
        <f>'23'!AD9</f>
        <v>1</v>
      </c>
      <c r="Y5" s="77">
        <f>'24'!AD8</f>
        <v>0.66666666666666663</v>
      </c>
      <c r="Z5" s="77">
        <f>'25'!AD8</f>
        <v>1</v>
      </c>
      <c r="AA5" s="77">
        <f>'26'!AD8+'26'!AD9</f>
        <v>0.66666666666666674</v>
      </c>
      <c r="AB5" s="77">
        <f>'27'!AD8</f>
        <v>0.29166666666666669</v>
      </c>
      <c r="AC5" s="77"/>
      <c r="AD5" s="77">
        <f>'29'!AD8</f>
        <v>0.83333333333333337</v>
      </c>
      <c r="AE5" s="77">
        <f>'30'!AD8</f>
        <v>0.95833333333333337</v>
      </c>
      <c r="AF5" s="78">
        <f>'31'!AD8</f>
        <v>1</v>
      </c>
      <c r="AG5" s="79">
        <f t="shared" si="0"/>
        <v>0.52419354838709675</v>
      </c>
    </row>
    <row r="6" spans="1:33" ht="21.75" customHeight="1">
      <c r="A6" s="101" t="s">
        <v>63</v>
      </c>
      <c r="B6" s="98"/>
      <c r="C6" s="98">
        <f>'02'!AD10</f>
        <v>1</v>
      </c>
      <c r="D6" s="77">
        <f>'03'!AD10</f>
        <v>1</v>
      </c>
      <c r="E6" s="77">
        <f>'04'!AD11</f>
        <v>1</v>
      </c>
      <c r="F6" s="77">
        <f>'05'!AD9</f>
        <v>0.21364926039275692</v>
      </c>
      <c r="G6" s="77"/>
      <c r="H6" s="77"/>
      <c r="I6" s="77">
        <f>'08'!AD9</f>
        <v>0.54166666666666663</v>
      </c>
      <c r="J6" s="77">
        <f>'09'!AD9</f>
        <v>0</v>
      </c>
      <c r="K6" s="77">
        <f>'10'!AD9</f>
        <v>0.75</v>
      </c>
      <c r="L6" s="77">
        <f>'11'!AD9</f>
        <v>1</v>
      </c>
      <c r="M6" s="77">
        <f>'12'!AD9</f>
        <v>1</v>
      </c>
      <c r="N6" s="77">
        <f>'13'!AD9</f>
        <v>1</v>
      </c>
      <c r="O6" s="77"/>
      <c r="P6" s="77">
        <f>'15'!AD9+'15'!AD10</f>
        <v>0.5</v>
      </c>
      <c r="Q6" s="77">
        <f>'16'!AD9</f>
        <v>0.625</v>
      </c>
      <c r="R6" s="77">
        <f>'17'!AD9</f>
        <v>0.79166666666666663</v>
      </c>
      <c r="S6" s="77">
        <f>'18'!AD9</f>
        <v>0.875</v>
      </c>
      <c r="T6" s="77">
        <f>'19'!AD9</f>
        <v>0.83333333333333337</v>
      </c>
      <c r="U6" s="77">
        <f>'20'!AD9</f>
        <v>0.91666666666666663</v>
      </c>
      <c r="V6" s="77"/>
      <c r="W6" s="77">
        <f>'22'!AD10</f>
        <v>0.33333333333333331</v>
      </c>
      <c r="X6" s="77">
        <f>'23'!AD10</f>
        <v>0.79166666666666663</v>
      </c>
      <c r="Y6" s="77">
        <f>'24'!AD9</f>
        <v>0.91666666666666663</v>
      </c>
      <c r="Z6" s="77">
        <f>'25'!AD9</f>
        <v>1</v>
      </c>
      <c r="AA6" s="77">
        <f>'26'!AD10</f>
        <v>1</v>
      </c>
      <c r="AB6" s="77">
        <f>'27'!AD9</f>
        <v>1</v>
      </c>
      <c r="AC6" s="77"/>
      <c r="AD6" s="77">
        <f>'29'!AD9</f>
        <v>1</v>
      </c>
      <c r="AE6" s="77">
        <f>'30'!AD9</f>
        <v>1</v>
      </c>
      <c r="AF6" s="78">
        <f>'31'!AD9</f>
        <v>1</v>
      </c>
      <c r="AG6" s="79">
        <f t="shared" si="0"/>
        <v>0.64802094388363729</v>
      </c>
    </row>
    <row r="7" spans="1:33" ht="21.75" customHeight="1">
      <c r="A7" s="101" t="s">
        <v>64</v>
      </c>
      <c r="B7" s="98"/>
      <c r="C7" s="98">
        <f>'02'!AD11</f>
        <v>1</v>
      </c>
      <c r="D7" s="77">
        <f>'03'!AD11</f>
        <v>1</v>
      </c>
      <c r="E7" s="77">
        <f>'04'!AD12</f>
        <v>1</v>
      </c>
      <c r="F7" s="77">
        <f>'05'!AD10</f>
        <v>0.45833333333333331</v>
      </c>
      <c r="G7" s="77"/>
      <c r="H7" s="77"/>
      <c r="I7" s="77">
        <f>'08'!AD10</f>
        <v>1</v>
      </c>
      <c r="J7" s="77">
        <f>'09'!AD10</f>
        <v>1</v>
      </c>
      <c r="K7" s="77">
        <f>'10'!AD10</f>
        <v>1</v>
      </c>
      <c r="L7" s="77">
        <f>'11'!AD10</f>
        <v>1</v>
      </c>
      <c r="M7" s="77">
        <f>'12'!AD10</f>
        <v>0.66666666666666663</v>
      </c>
      <c r="N7" s="77">
        <f>'13'!AD10</f>
        <v>0</v>
      </c>
      <c r="O7" s="77"/>
      <c r="P7" s="77">
        <f>'15'!AD11</f>
        <v>0.91666666666666663</v>
      </c>
      <c r="Q7" s="77">
        <f>'16'!AD10</f>
        <v>0.58333333333333337</v>
      </c>
      <c r="R7" s="77">
        <f>'17'!AD10</f>
        <v>0</v>
      </c>
      <c r="S7" s="77">
        <f>'18'!AD10</f>
        <v>0</v>
      </c>
      <c r="T7" s="77">
        <f>'19'!AD10</f>
        <v>0</v>
      </c>
      <c r="U7" s="77">
        <f>'20'!AD10</f>
        <v>0</v>
      </c>
      <c r="V7" s="77"/>
      <c r="W7" s="77">
        <f>'22'!AD11</f>
        <v>0.58333333333333337</v>
      </c>
      <c r="X7" s="77">
        <f>'23'!AD11</f>
        <v>1</v>
      </c>
      <c r="Y7" s="77">
        <f>'24'!AD10</f>
        <v>1</v>
      </c>
      <c r="Z7" s="77">
        <f>'25'!AD10</f>
        <v>1</v>
      </c>
      <c r="AA7" s="77">
        <f>'26'!AD11</f>
        <v>1</v>
      </c>
      <c r="AB7" s="77">
        <f>'27'!AD10</f>
        <v>1</v>
      </c>
      <c r="AC7" s="77"/>
      <c r="AD7" s="77">
        <f>'29'!AD10</f>
        <v>1</v>
      </c>
      <c r="AE7" s="77">
        <f>'30'!AD10</f>
        <v>1</v>
      </c>
      <c r="AF7" s="78">
        <f>'31'!AD10</f>
        <v>1</v>
      </c>
      <c r="AG7" s="79">
        <f t="shared" si="0"/>
        <v>0.5873655913978495</v>
      </c>
    </row>
    <row r="8" spans="1:33" ht="21.75" customHeight="1">
      <c r="A8" s="101" t="s">
        <v>65</v>
      </c>
      <c r="B8" s="98"/>
      <c r="C8" s="98">
        <f>'02'!AD12</f>
        <v>0</v>
      </c>
      <c r="D8" s="77">
        <f>'03'!AD12</f>
        <v>0</v>
      </c>
      <c r="E8" s="77">
        <f>'04'!AD13</f>
        <v>0</v>
      </c>
      <c r="F8" s="77">
        <f>'05'!AD11</f>
        <v>0</v>
      </c>
      <c r="G8" s="77"/>
      <c r="H8" s="77"/>
      <c r="I8" s="77">
        <f>'08'!AD11</f>
        <v>0</v>
      </c>
      <c r="J8" s="77">
        <f>'09'!AD11</f>
        <v>0</v>
      </c>
      <c r="K8" s="77">
        <f>'10'!AD11</f>
        <v>0</v>
      </c>
      <c r="L8" s="77">
        <f>'11'!AD11</f>
        <v>0</v>
      </c>
      <c r="M8" s="77">
        <f>'12'!AD11</f>
        <v>0</v>
      </c>
      <c r="N8" s="77">
        <f>'13'!AD11</f>
        <v>0</v>
      </c>
      <c r="O8" s="77"/>
      <c r="P8" s="77">
        <f>'15'!AD12</f>
        <v>0.66666666666666663</v>
      </c>
      <c r="Q8" s="77">
        <f>'16'!AD11</f>
        <v>0.375</v>
      </c>
      <c r="R8" s="77">
        <f>'17'!AD11</f>
        <v>0</v>
      </c>
      <c r="S8" s="77">
        <f>'18'!AD11</f>
        <v>0.5</v>
      </c>
      <c r="T8" s="77">
        <f>'19'!AD11</f>
        <v>0.45833333333333331</v>
      </c>
      <c r="U8" s="77">
        <f>'20'!AD11</f>
        <v>0</v>
      </c>
      <c r="V8" s="77"/>
      <c r="W8" s="77">
        <f>'22'!AD12</f>
        <v>0</v>
      </c>
      <c r="X8" s="77">
        <f>'23'!AD12</f>
        <v>0.58333333333333337</v>
      </c>
      <c r="Y8" s="77">
        <f>'24'!AD11</f>
        <v>0.20833333333333334</v>
      </c>
      <c r="Z8" s="77">
        <f>'25'!AD11</f>
        <v>0.16666666666666666</v>
      </c>
      <c r="AA8" s="77">
        <f>'26'!AD12</f>
        <v>0.875</v>
      </c>
      <c r="AB8" s="77">
        <f>'27'!AD11</f>
        <v>0.33333333333333331</v>
      </c>
      <c r="AC8" s="77"/>
      <c r="AD8" s="77">
        <f>'29'!AD11</f>
        <v>0</v>
      </c>
      <c r="AE8" s="77">
        <f>'30'!AD11</f>
        <v>0</v>
      </c>
      <c r="AF8" s="78">
        <f>'31'!AD11</f>
        <v>0</v>
      </c>
      <c r="AG8" s="79">
        <f t="shared" si="0"/>
        <v>0.13440860215053763</v>
      </c>
    </row>
    <row r="9" spans="1:33" ht="21.75" customHeight="1">
      <c r="A9" s="101" t="s">
        <v>66</v>
      </c>
      <c r="B9" s="98"/>
      <c r="C9" s="98">
        <f>'02'!AD13</f>
        <v>1</v>
      </c>
      <c r="D9" s="77">
        <f>'03'!AD13</f>
        <v>1</v>
      </c>
      <c r="E9" s="77">
        <f>'04'!AD14</f>
        <v>1</v>
      </c>
      <c r="F9" s="77">
        <f>'05'!AD12</f>
        <v>0.45833333333333331</v>
      </c>
      <c r="G9" s="77"/>
      <c r="H9" s="77"/>
      <c r="I9" s="77">
        <f>'08'!AD12</f>
        <v>1</v>
      </c>
      <c r="J9" s="77">
        <f>'09'!AD12</f>
        <v>1</v>
      </c>
      <c r="K9" s="77">
        <f>'10'!AD12</f>
        <v>0.75</v>
      </c>
      <c r="L9" s="77">
        <f>'11'!AD12</f>
        <v>1</v>
      </c>
      <c r="M9" s="77">
        <f>'12'!AD12</f>
        <v>1</v>
      </c>
      <c r="N9" s="77">
        <f>'13'!AD12</f>
        <v>0.91666666666666663</v>
      </c>
      <c r="O9" s="77"/>
      <c r="P9" s="77">
        <f>'15'!AD13</f>
        <v>1</v>
      </c>
      <c r="Q9" s="77">
        <f>'16'!AD12</f>
        <v>0.875</v>
      </c>
      <c r="R9" s="77">
        <f>'17'!AD12</f>
        <v>0.875</v>
      </c>
      <c r="S9" s="77">
        <f>'18'!AD12</f>
        <v>0.58333333333333337</v>
      </c>
      <c r="T9" s="77">
        <f>'19'!AD12</f>
        <v>1</v>
      </c>
      <c r="U9" s="77">
        <f>'20'!AD12</f>
        <v>1</v>
      </c>
      <c r="V9" s="77"/>
      <c r="W9" s="77">
        <f>'22'!AD13</f>
        <v>0.41666666666666669</v>
      </c>
      <c r="X9" s="77">
        <f>'23'!AD13</f>
        <v>0.375</v>
      </c>
      <c r="Y9" s="77">
        <f>'24'!AD12</f>
        <v>0.58333333333333337</v>
      </c>
      <c r="Z9" s="77">
        <f>'25'!AD12</f>
        <v>0.75</v>
      </c>
      <c r="AA9" s="77">
        <f>'26'!AD13</f>
        <v>0.58333333333333337</v>
      </c>
      <c r="AB9" s="77">
        <f>'27'!AD12</f>
        <v>0</v>
      </c>
      <c r="AC9" s="77"/>
      <c r="AD9" s="77">
        <f>'29'!AD12</f>
        <v>0</v>
      </c>
      <c r="AE9" s="77">
        <f>'30'!AD12</f>
        <v>0.83333333333333337</v>
      </c>
      <c r="AF9" s="78">
        <f>'31'!AD12</f>
        <v>0.83333333333333337</v>
      </c>
      <c r="AG9" s="79">
        <f t="shared" si="0"/>
        <v>0.60752688172043012</v>
      </c>
    </row>
    <row r="10" spans="1:33" ht="21.75" customHeight="1">
      <c r="A10" s="101" t="s">
        <v>67</v>
      </c>
      <c r="B10" s="98"/>
      <c r="C10" s="98">
        <f>'02'!AD14</f>
        <v>0</v>
      </c>
      <c r="D10" s="77">
        <f>'03'!AD14</f>
        <v>0.91666666666666663</v>
      </c>
      <c r="E10" s="77">
        <f>'04'!AD15</f>
        <v>0</v>
      </c>
      <c r="F10" s="77">
        <f>'05'!AD13</f>
        <v>0</v>
      </c>
      <c r="G10" s="77"/>
      <c r="H10" s="77"/>
      <c r="I10" s="77">
        <f>'08'!AD13</f>
        <v>0.95833333333333337</v>
      </c>
      <c r="J10" s="77">
        <f>'09'!AD13</f>
        <v>1</v>
      </c>
      <c r="K10" s="77">
        <f>'10'!AD13</f>
        <v>0</v>
      </c>
      <c r="L10" s="77">
        <f>'11'!AD13</f>
        <v>0.58333333333333337</v>
      </c>
      <c r="M10" s="77">
        <f>'12'!AD13</f>
        <v>0.625</v>
      </c>
      <c r="N10" s="77">
        <f>'13'!AD13</f>
        <v>1</v>
      </c>
      <c r="O10" s="77"/>
      <c r="P10" s="77">
        <f>'15'!AD14</f>
        <v>1</v>
      </c>
      <c r="Q10" s="77">
        <f>'16'!AD13</f>
        <v>0.95833333333333337</v>
      </c>
      <c r="R10" s="77">
        <f>'17'!AD13</f>
        <v>1</v>
      </c>
      <c r="S10" s="77">
        <f>'18'!AD13</f>
        <v>1</v>
      </c>
      <c r="T10" s="77">
        <f>'19'!AD13</f>
        <v>1</v>
      </c>
      <c r="U10" s="77">
        <f>'20'!AD13</f>
        <v>1</v>
      </c>
      <c r="V10" s="77"/>
      <c r="W10" s="77">
        <f>'22'!AD14</f>
        <v>1</v>
      </c>
      <c r="X10" s="77">
        <f>'23'!AD14</f>
        <v>1</v>
      </c>
      <c r="Y10" s="77">
        <f>'24'!AD13</f>
        <v>0.33333333333333331</v>
      </c>
      <c r="Z10" s="77">
        <f>'25'!AD13</f>
        <v>0</v>
      </c>
      <c r="AA10" s="77">
        <f>'26'!AD14</f>
        <v>0.25</v>
      </c>
      <c r="AB10" s="77">
        <f>'27'!AD13</f>
        <v>1</v>
      </c>
      <c r="AC10" s="77"/>
      <c r="AD10" s="77">
        <f>'29'!AD13</f>
        <v>1</v>
      </c>
      <c r="AE10" s="77">
        <f>'30'!AD13</f>
        <v>1</v>
      </c>
      <c r="AF10" s="78">
        <f>'31'!AD13</f>
        <v>0.29166666666666669</v>
      </c>
      <c r="AG10" s="79">
        <f t="shared" si="0"/>
        <v>0.54569892473118287</v>
      </c>
    </row>
    <row r="11" spans="1:33" ht="21.75" customHeight="1">
      <c r="A11" s="106" t="s">
        <v>68</v>
      </c>
      <c r="B11" s="107"/>
      <c r="C11" s="107">
        <f>'02'!AD15</f>
        <v>0</v>
      </c>
      <c r="D11" s="108">
        <f>'03'!AD15</f>
        <v>0</v>
      </c>
      <c r="E11" s="108">
        <f>'04'!AD16</f>
        <v>0</v>
      </c>
      <c r="F11" s="108">
        <f>'05'!AD14</f>
        <v>0.33333333333333331</v>
      </c>
      <c r="G11" s="108"/>
      <c r="H11" s="108"/>
      <c r="I11" s="108">
        <f>'08'!AD14</f>
        <v>0</v>
      </c>
      <c r="J11" s="108">
        <f>'09'!AD14</f>
        <v>0.45833333333333331</v>
      </c>
      <c r="K11" s="108">
        <f>'10'!AD14</f>
        <v>0.375</v>
      </c>
      <c r="L11" s="108">
        <f>'11'!AD14</f>
        <v>0</v>
      </c>
      <c r="M11" s="108">
        <f>'12'!AD14</f>
        <v>0</v>
      </c>
      <c r="N11" s="108">
        <f>'13'!AD14</f>
        <v>0</v>
      </c>
      <c r="O11" s="108"/>
      <c r="P11" s="108">
        <f>'15'!AD15</f>
        <v>0</v>
      </c>
      <c r="Q11" s="108">
        <f>'16'!AD14</f>
        <v>0</v>
      </c>
      <c r="R11" s="108">
        <f>'17'!AD14</f>
        <v>0</v>
      </c>
      <c r="S11" s="108">
        <f>'18'!AD14</f>
        <v>0</v>
      </c>
      <c r="T11" s="108">
        <f>'19'!AD14</f>
        <v>0</v>
      </c>
      <c r="U11" s="108">
        <f>'20'!AD14</f>
        <v>0.16666666666666666</v>
      </c>
      <c r="V11" s="108"/>
      <c r="W11" s="108">
        <f>'22'!AD15</f>
        <v>0.41666666666666669</v>
      </c>
      <c r="X11" s="108">
        <f>'23'!AD15</f>
        <v>0.45833333333333331</v>
      </c>
      <c r="Y11" s="108">
        <f>'24'!AD14</f>
        <v>0.5</v>
      </c>
      <c r="Z11" s="108">
        <f>'25'!AD14</f>
        <v>0</v>
      </c>
      <c r="AA11" s="108">
        <f>'26'!AD15</f>
        <v>0</v>
      </c>
      <c r="AB11" s="108">
        <f>'27'!AD14</f>
        <v>0</v>
      </c>
      <c r="AC11" s="108"/>
      <c r="AD11" s="108">
        <f>'29'!AD14</f>
        <v>0</v>
      </c>
      <c r="AE11" s="108">
        <f>'30'!AD14</f>
        <v>0.41666666666666669</v>
      </c>
      <c r="AF11" s="109">
        <f>'31'!AD14</f>
        <v>0</v>
      </c>
      <c r="AG11" s="110">
        <f t="shared" si="0"/>
        <v>0.10080645161290322</v>
      </c>
    </row>
    <row r="12" spans="1:33" ht="21.75" customHeight="1">
      <c r="A12" s="100" t="s">
        <v>69</v>
      </c>
      <c r="B12" s="97"/>
      <c r="C12" s="97">
        <f>'02'!AD16</f>
        <v>0</v>
      </c>
      <c r="D12" s="74">
        <f>'03'!AD16</f>
        <v>0.70833333333333337</v>
      </c>
      <c r="E12" s="74">
        <f>'04'!AD17</f>
        <v>0</v>
      </c>
      <c r="F12" s="74">
        <f>'05'!AD15</f>
        <v>0</v>
      </c>
      <c r="G12" s="74"/>
      <c r="H12" s="74"/>
      <c r="I12" s="74">
        <f>'08'!AD15</f>
        <v>0</v>
      </c>
      <c r="J12" s="74">
        <f>'09'!AD15</f>
        <v>0</v>
      </c>
      <c r="K12" s="74">
        <f>'10'!AD15</f>
        <v>0</v>
      </c>
      <c r="L12" s="74">
        <f>'11'!AD15</f>
        <v>0</v>
      </c>
      <c r="M12" s="74">
        <f>'12'!AD15</f>
        <v>0</v>
      </c>
      <c r="N12" s="74">
        <f>'13'!AD15</f>
        <v>0</v>
      </c>
      <c r="O12" s="74"/>
      <c r="P12" s="74">
        <f>'15'!AD16</f>
        <v>0</v>
      </c>
      <c r="Q12" s="74">
        <f>'16'!AD15</f>
        <v>0</v>
      </c>
      <c r="R12" s="74">
        <f>'17'!AD15</f>
        <v>0</v>
      </c>
      <c r="S12" s="74">
        <f>'18'!AD15</f>
        <v>0</v>
      </c>
      <c r="T12" s="74">
        <f>'19'!AD15</f>
        <v>0</v>
      </c>
      <c r="U12" s="74">
        <f>'20'!AD15</f>
        <v>0</v>
      </c>
      <c r="V12" s="74"/>
      <c r="W12" s="74">
        <f>'22'!AD16</f>
        <v>0</v>
      </c>
      <c r="X12" s="74">
        <f>'23'!AD16</f>
        <v>0</v>
      </c>
      <c r="Y12" s="74">
        <f>'24'!AD15</f>
        <v>0</v>
      </c>
      <c r="Z12" s="74">
        <f>'25'!AD15</f>
        <v>0</v>
      </c>
      <c r="AA12" s="74">
        <f>'26'!AD16</f>
        <v>0</v>
      </c>
      <c r="AB12" s="74">
        <f>'27'!AD15</f>
        <v>0</v>
      </c>
      <c r="AC12" s="74"/>
      <c r="AD12" s="74">
        <f>'29'!AD15</f>
        <v>0</v>
      </c>
      <c r="AE12" s="74">
        <f>'30'!AD15</f>
        <v>0</v>
      </c>
      <c r="AF12" s="75">
        <f>'31'!AD15</f>
        <v>0</v>
      </c>
      <c r="AG12" s="76">
        <f t="shared" si="0"/>
        <v>2.2849462365591398E-2</v>
      </c>
    </row>
    <row r="13" spans="1:33" ht="21.75" customHeight="1">
      <c r="A13" s="101" t="s">
        <v>70</v>
      </c>
      <c r="B13" s="98"/>
      <c r="C13" s="98">
        <f>'02'!AD17</f>
        <v>1</v>
      </c>
      <c r="D13" s="77">
        <f>'03'!AD17</f>
        <v>1.0255326965466569</v>
      </c>
      <c r="E13" s="77">
        <f>'04'!AD18</f>
        <v>1</v>
      </c>
      <c r="F13" s="77">
        <f>'05'!AD16</f>
        <v>0</v>
      </c>
      <c r="G13" s="77"/>
      <c r="H13" s="77"/>
      <c r="I13" s="77">
        <f>'08'!AD16</f>
        <v>0.58333333333333337</v>
      </c>
      <c r="J13" s="77">
        <f>'09'!AD16</f>
        <v>0.75</v>
      </c>
      <c r="K13" s="77">
        <f>'10'!AD16+'10'!AD17</f>
        <v>0.91666666666666663</v>
      </c>
      <c r="L13" s="77">
        <f>'11'!AD16</f>
        <v>1</v>
      </c>
      <c r="M13" s="77">
        <f>'12'!AD16</f>
        <v>0.625</v>
      </c>
      <c r="N13" s="77">
        <f>'13'!AD16</f>
        <v>0.91666666666666663</v>
      </c>
      <c r="O13" s="77"/>
      <c r="P13" s="77">
        <f>'15'!AD17</f>
        <v>0.45833333333333331</v>
      </c>
      <c r="Q13" s="77">
        <f>'16'!AD16</f>
        <v>0.54166666666666663</v>
      </c>
      <c r="R13" s="77">
        <f>'17'!AD16</f>
        <v>1</v>
      </c>
      <c r="S13" s="77">
        <f>'18'!AD16</f>
        <v>1</v>
      </c>
      <c r="T13" s="77">
        <f>'19'!AD16</f>
        <v>1</v>
      </c>
      <c r="U13" s="77">
        <f>'20'!AD16</f>
        <v>0.75</v>
      </c>
      <c r="V13" s="77"/>
      <c r="W13" s="77">
        <f>'22'!AD17</f>
        <v>0.41666666666666669</v>
      </c>
      <c r="X13" s="77">
        <f>'23'!AD17</f>
        <v>0.20833333333333334</v>
      </c>
      <c r="Y13" s="77">
        <f>'24'!AD16</f>
        <v>0.79166666666666663</v>
      </c>
      <c r="Z13" s="77">
        <f>'25'!AD16</f>
        <v>1</v>
      </c>
      <c r="AA13" s="77">
        <f>'26'!AD17+'26'!AD18</f>
        <v>0.54166666666666674</v>
      </c>
      <c r="AB13" s="77">
        <f>'27'!AD16</f>
        <v>0.75</v>
      </c>
      <c r="AC13" s="77"/>
      <c r="AD13" s="77">
        <f>'29'!AD16</f>
        <v>1</v>
      </c>
      <c r="AE13" s="77">
        <f>'30'!AD16</f>
        <v>1</v>
      </c>
      <c r="AF13" s="78">
        <f>'31'!AD16</f>
        <v>1</v>
      </c>
      <c r="AG13" s="79">
        <f t="shared" si="0"/>
        <v>0.62179137730795664</v>
      </c>
    </row>
    <row r="14" spans="1:33" ht="21.75" customHeight="1">
      <c r="A14" s="100" t="s">
        <v>71</v>
      </c>
      <c r="B14" s="97"/>
      <c r="C14" s="97">
        <f>'02'!AD18</f>
        <v>0</v>
      </c>
      <c r="D14" s="74">
        <f>'03'!AD18</f>
        <v>0.75</v>
      </c>
      <c r="E14" s="74">
        <f>'04'!AD19+'04'!AD20</f>
        <v>0.91666666666666674</v>
      </c>
      <c r="F14" s="74">
        <f>'05'!AD17</f>
        <v>0</v>
      </c>
      <c r="G14" s="74"/>
      <c r="H14" s="74"/>
      <c r="I14" s="74">
        <f>'08'!AD17</f>
        <v>0</v>
      </c>
      <c r="J14" s="74">
        <f>'09'!AD17</f>
        <v>0</v>
      </c>
      <c r="K14" s="74">
        <f>'10'!AD18</f>
        <v>0</v>
      </c>
      <c r="L14" s="74">
        <f>'11'!AD17</f>
        <v>0.20833333333333334</v>
      </c>
      <c r="M14" s="74">
        <f>'12'!AD17</f>
        <v>0.25</v>
      </c>
      <c r="N14" s="74">
        <f>'13'!AD17</f>
        <v>0.79166666666666663</v>
      </c>
      <c r="O14" s="74"/>
      <c r="P14" s="74">
        <f>'15'!AD18</f>
        <v>0</v>
      </c>
      <c r="Q14" s="74">
        <f>'16'!AD17</f>
        <v>0.20833333333333334</v>
      </c>
      <c r="R14" s="74">
        <f>'17'!AD17</f>
        <v>0.79166666666666663</v>
      </c>
      <c r="S14" s="74">
        <f>'18'!AD17</f>
        <v>0.66666666666666663</v>
      </c>
      <c r="T14" s="74">
        <f>'19'!AD17</f>
        <v>0</v>
      </c>
      <c r="U14" s="74">
        <f>'20'!AD17</f>
        <v>0</v>
      </c>
      <c r="V14" s="74"/>
      <c r="W14" s="74">
        <f>'22'!AD18</f>
        <v>0</v>
      </c>
      <c r="X14" s="74">
        <f>'23'!AD18</f>
        <v>0</v>
      </c>
      <c r="Y14" s="74">
        <f>'24'!AD17</f>
        <v>0.875</v>
      </c>
      <c r="Z14" s="74">
        <f>'25'!AD17</f>
        <v>1</v>
      </c>
      <c r="AA14" s="74">
        <f>'26'!AD19</f>
        <v>1</v>
      </c>
      <c r="AB14" s="74">
        <f>'27'!AD17</f>
        <v>1</v>
      </c>
      <c r="AC14" s="74"/>
      <c r="AD14" s="74">
        <f>'29'!AD17</f>
        <v>1</v>
      </c>
      <c r="AE14" s="74">
        <f>'30'!AD17</f>
        <v>1</v>
      </c>
      <c r="AF14" s="75">
        <f>'31'!AD17</f>
        <v>1</v>
      </c>
      <c r="AG14" s="76">
        <f t="shared" si="0"/>
        <v>0.36962365591397844</v>
      </c>
    </row>
    <row r="15" spans="1:33" ht="21.75" customHeight="1">
      <c r="A15" s="101" t="s">
        <v>72</v>
      </c>
      <c r="B15" s="98"/>
      <c r="C15" s="98">
        <f>'02'!AD19</f>
        <v>0.95833333333333337</v>
      </c>
      <c r="D15" s="77">
        <f>'03'!AD19</f>
        <v>1</v>
      </c>
      <c r="E15" s="77">
        <f>'04'!AD21</f>
        <v>1</v>
      </c>
      <c r="F15" s="77">
        <f>'05'!AD18</f>
        <v>0.16666666666666666</v>
      </c>
      <c r="G15" s="77"/>
      <c r="H15" s="77"/>
      <c r="I15" s="77">
        <f>'08'!AD18</f>
        <v>0.83333333333333337</v>
      </c>
      <c r="J15" s="77">
        <f>'09'!AD18</f>
        <v>1</v>
      </c>
      <c r="K15" s="77">
        <f>'10'!AD19</f>
        <v>1</v>
      </c>
      <c r="L15" s="77">
        <f>'11'!AD18</f>
        <v>1</v>
      </c>
      <c r="M15" s="77">
        <f>'12'!AD18</f>
        <v>0.83333333333333337</v>
      </c>
      <c r="N15" s="77">
        <f>'13'!AD18</f>
        <v>1</v>
      </c>
      <c r="O15" s="77"/>
      <c r="P15" s="77">
        <f>'15'!AD19</f>
        <v>1</v>
      </c>
      <c r="Q15" s="77">
        <f>'16'!AD18</f>
        <v>0.58333333333333337</v>
      </c>
      <c r="R15" s="77">
        <f>'17'!AD18</f>
        <v>0.16666666666666666</v>
      </c>
      <c r="S15" s="77">
        <f>'18'!AD18</f>
        <v>0.16666666666666666</v>
      </c>
      <c r="T15" s="77">
        <f>'19'!AD18</f>
        <v>0.91666666666666663</v>
      </c>
      <c r="U15" s="77">
        <f>'20'!AD18</f>
        <v>1</v>
      </c>
      <c r="V15" s="77"/>
      <c r="W15" s="77">
        <f>'22'!AD19</f>
        <v>0.75</v>
      </c>
      <c r="X15" s="77">
        <f>'23'!AD19</f>
        <v>1</v>
      </c>
      <c r="Y15" s="77">
        <f>'24'!AD18</f>
        <v>0.91666666666666663</v>
      </c>
      <c r="Z15" s="77">
        <f>'25'!AD18</f>
        <v>0.16666666666666666</v>
      </c>
      <c r="AA15" s="77">
        <f>'26'!AD20</f>
        <v>0.58333333333333337</v>
      </c>
      <c r="AB15" s="77">
        <f>'27'!AD18</f>
        <v>0.70833333333333337</v>
      </c>
      <c r="AC15" s="77"/>
      <c r="AD15" s="77">
        <f>'29'!AD18</f>
        <v>0.5</v>
      </c>
      <c r="AE15" s="77">
        <f>'30'!AD18</f>
        <v>0.79166666666666663</v>
      </c>
      <c r="AF15" s="78">
        <f>'31'!AD18</f>
        <v>0.58333333333333337</v>
      </c>
      <c r="AG15" s="79">
        <f t="shared" si="0"/>
        <v>0.60080645161290314</v>
      </c>
    </row>
    <row r="16" spans="1:33" ht="21.75" customHeight="1">
      <c r="A16" s="101" t="s">
        <v>121</v>
      </c>
      <c r="B16" s="98"/>
      <c r="C16" s="98">
        <f>'02'!AD20</f>
        <v>1</v>
      </c>
      <c r="D16" s="77">
        <f>'03'!AD20</f>
        <v>1</v>
      </c>
      <c r="E16" s="77">
        <f>'04'!AD22</f>
        <v>1</v>
      </c>
      <c r="F16" s="77">
        <f>'05'!AD19</f>
        <v>0.45833333333333331</v>
      </c>
      <c r="G16" s="77"/>
      <c r="H16" s="77"/>
      <c r="I16" s="77">
        <f>'08'!AD19</f>
        <v>1</v>
      </c>
      <c r="J16" s="77">
        <f>'09'!AD19</f>
        <v>1</v>
      </c>
      <c r="K16" s="77">
        <f>'10'!AD20</f>
        <v>0.20833333333333334</v>
      </c>
      <c r="L16" s="77">
        <f>'11'!AD19</f>
        <v>0.16666666666666666</v>
      </c>
      <c r="M16" s="77">
        <f>'12'!AD19</f>
        <v>0.79166666666666663</v>
      </c>
      <c r="N16" s="77">
        <f>'13'!AD19</f>
        <v>1</v>
      </c>
      <c r="O16" s="77"/>
      <c r="P16" s="77">
        <f>'15'!AD20</f>
        <v>0.875</v>
      </c>
      <c r="Q16" s="77">
        <f>'16'!AD19</f>
        <v>0</v>
      </c>
      <c r="R16" s="77">
        <f>'17'!AD19</f>
        <v>0.29166666666666669</v>
      </c>
      <c r="S16" s="77">
        <f>'18'!AD19</f>
        <v>0.66666666666666663</v>
      </c>
      <c r="T16" s="77">
        <f>'19'!AD19</f>
        <v>0.83333333333333337</v>
      </c>
      <c r="U16" s="77">
        <f>'20'!AD19</f>
        <v>1</v>
      </c>
      <c r="V16" s="77"/>
      <c r="W16" s="77">
        <f>'22'!AD20</f>
        <v>0.625</v>
      </c>
      <c r="X16" s="77">
        <f>'23'!AD20</f>
        <v>0.625</v>
      </c>
      <c r="Y16" s="77">
        <f>'24'!AD19</f>
        <v>1</v>
      </c>
      <c r="Z16" s="77">
        <f>'25'!AD19</f>
        <v>8.3333333333333329E-2</v>
      </c>
      <c r="AA16" s="77">
        <f>'26'!AD21</f>
        <v>0.66666666666666663</v>
      </c>
      <c r="AB16" s="77">
        <f>'27'!AD19</f>
        <v>0.79166666666666663</v>
      </c>
      <c r="AC16" s="77"/>
      <c r="AD16" s="77">
        <f>'29'!AD19</f>
        <v>0.83333333333333337</v>
      </c>
      <c r="AE16" s="77">
        <f>'30'!AD19</f>
        <v>0.70833333333333337</v>
      </c>
      <c r="AF16" s="78">
        <f>'31'!AD19</f>
        <v>0.83333333333333337</v>
      </c>
      <c r="AG16" s="79">
        <f t="shared" si="0"/>
        <v>0.56317204301075263</v>
      </c>
    </row>
    <row r="17" spans="1:33" ht="21.75" customHeight="1">
      <c r="A17" s="101" t="s">
        <v>122</v>
      </c>
      <c r="B17" s="98"/>
      <c r="C17" s="98">
        <f>'02'!AD21</f>
        <v>0</v>
      </c>
      <c r="D17" s="77">
        <f>'03'!AD21</f>
        <v>0.20833333333333334</v>
      </c>
      <c r="E17" s="77">
        <f>'04'!AD23</f>
        <v>0</v>
      </c>
      <c r="F17" s="77">
        <f>'05'!AD20</f>
        <v>0.33333333333333331</v>
      </c>
      <c r="G17" s="77"/>
      <c r="H17" s="77"/>
      <c r="I17" s="77">
        <f>'08'!AD20</f>
        <v>0.83333333333333337</v>
      </c>
      <c r="J17" s="77">
        <f>'09'!AD20</f>
        <v>0.625</v>
      </c>
      <c r="K17" s="77">
        <f>'10'!AD21</f>
        <v>0</v>
      </c>
      <c r="L17" s="77">
        <f>'11'!AD20</f>
        <v>0.54166666666666663</v>
      </c>
      <c r="M17" s="77">
        <f>'12'!AD20</f>
        <v>0.79166666666666663</v>
      </c>
      <c r="N17" s="77">
        <f>'13'!AD20</f>
        <v>1</v>
      </c>
      <c r="O17" s="77"/>
      <c r="P17" s="77">
        <f>'15'!AD21</f>
        <v>0.375</v>
      </c>
      <c r="Q17" s="77">
        <f>'16'!AD20</f>
        <v>0</v>
      </c>
      <c r="R17" s="77">
        <f>'17'!AD20</f>
        <v>0</v>
      </c>
      <c r="S17" s="77">
        <f>'18'!AD20</f>
        <v>0.41666666666666669</v>
      </c>
      <c r="T17" s="77">
        <f>'19'!AD20</f>
        <v>0.41666666666666669</v>
      </c>
      <c r="U17" s="77">
        <f>'20'!AD20</f>
        <v>0.375</v>
      </c>
      <c r="V17" s="77"/>
      <c r="W17" s="77">
        <f>'22'!AD21</f>
        <v>0</v>
      </c>
      <c r="X17" s="77">
        <f>'23'!AD21</f>
        <v>0</v>
      </c>
      <c r="Y17" s="77">
        <f>'24'!AD20</f>
        <v>0.875</v>
      </c>
      <c r="Z17" s="77">
        <f>'25'!AD20</f>
        <v>1</v>
      </c>
      <c r="AA17" s="77">
        <f>'26'!AD22</f>
        <v>0.875</v>
      </c>
      <c r="AB17" s="77">
        <f>'27'!AD20</f>
        <v>1</v>
      </c>
      <c r="AC17" s="77"/>
      <c r="AD17" s="77">
        <f>'29'!AD20</f>
        <v>1</v>
      </c>
      <c r="AE17" s="77">
        <f>'30'!AD20</f>
        <v>1</v>
      </c>
      <c r="AF17" s="78">
        <f>'31'!AD20</f>
        <v>0.625</v>
      </c>
      <c r="AG17" s="79">
        <f t="shared" si="0"/>
        <v>0.39650537634408606</v>
      </c>
    </row>
    <row r="18" spans="1:33" ht="21.75" customHeight="1" thickBot="1">
      <c r="A18" s="102" t="s">
        <v>123</v>
      </c>
      <c r="B18" s="99"/>
      <c r="C18" s="99">
        <f>'02'!AD22</f>
        <v>0.91666666666666663</v>
      </c>
      <c r="D18" s="80">
        <f>'03'!AD22</f>
        <v>1</v>
      </c>
      <c r="E18" s="80">
        <f>'04'!AD24</f>
        <v>1</v>
      </c>
      <c r="F18" s="80">
        <f>'05'!AD21</f>
        <v>0.45833333333333331</v>
      </c>
      <c r="G18" s="80"/>
      <c r="H18" s="80"/>
      <c r="I18" s="80">
        <f>'08'!AD21</f>
        <v>0.91666666666666663</v>
      </c>
      <c r="J18" s="80">
        <f>'09'!AD21</f>
        <v>1</v>
      </c>
      <c r="K18" s="80">
        <f>'10'!AD22</f>
        <v>1</v>
      </c>
      <c r="L18" s="80">
        <f>'11'!AD21</f>
        <v>1</v>
      </c>
      <c r="M18" s="80">
        <f>'12'!AD21</f>
        <v>0.58333333333333337</v>
      </c>
      <c r="N18" s="80">
        <f>'13'!AD21</f>
        <v>0</v>
      </c>
      <c r="O18" s="80"/>
      <c r="P18" s="80">
        <f>'15'!AD22</f>
        <v>0.375</v>
      </c>
      <c r="Q18" s="80">
        <f>'16'!AD21</f>
        <v>0.54166666666666663</v>
      </c>
      <c r="R18" s="80">
        <f>'17'!AD21</f>
        <v>0.54166666666666663</v>
      </c>
      <c r="S18" s="80">
        <f>'18'!AD21</f>
        <v>0.54166666666666663</v>
      </c>
      <c r="T18" s="80">
        <f>'19'!AD21</f>
        <v>0.54166666666666663</v>
      </c>
      <c r="U18" s="80">
        <f>'20'!AD21</f>
        <v>0</v>
      </c>
      <c r="V18" s="80"/>
      <c r="W18" s="80">
        <f>'22'!AD22</f>
        <v>0.375</v>
      </c>
      <c r="X18" s="80">
        <f>'23'!AD22</f>
        <v>0.54166666666666663</v>
      </c>
      <c r="Y18" s="80">
        <f>'24'!AD21</f>
        <v>0</v>
      </c>
      <c r="Z18" s="80">
        <f>'25'!AD21</f>
        <v>0</v>
      </c>
      <c r="AA18" s="80">
        <f>'26'!AD23</f>
        <v>0</v>
      </c>
      <c r="AB18" s="80">
        <f>'27'!AD21</f>
        <v>0</v>
      </c>
      <c r="AC18" s="80"/>
      <c r="AD18" s="80">
        <f>'29'!AD21</f>
        <v>0</v>
      </c>
      <c r="AE18" s="80">
        <f>'30'!AD21</f>
        <v>0</v>
      </c>
      <c r="AF18" s="81">
        <f>'31'!AD21</f>
        <v>0</v>
      </c>
      <c r="AG18" s="82">
        <f t="shared" si="0"/>
        <v>0.36559139784946226</v>
      </c>
    </row>
    <row r="19" spans="1:33" s="83" customFormat="1" ht="21.75" customHeight="1">
      <c r="A19" s="87" t="s">
        <v>104</v>
      </c>
      <c r="B19" s="91"/>
      <c r="C19" s="91">
        <f>'02'!AD23</f>
        <v>0.4485294117647059</v>
      </c>
      <c r="D19" s="92">
        <f>'03'!AD23</f>
        <v>0.64610976646352891</v>
      </c>
      <c r="E19" s="92">
        <f>'04'!AD25</f>
        <v>0.51315789473684215</v>
      </c>
      <c r="F19" s="92">
        <f>'05'!AD22</f>
        <v>0.18001974544121399</v>
      </c>
      <c r="G19" s="92"/>
      <c r="H19" s="92"/>
      <c r="I19" s="92">
        <f>'08'!AD22</f>
        <v>0.61458333333333326</v>
      </c>
      <c r="J19" s="92">
        <f>'09'!AD22</f>
        <v>0.55729166666666674</v>
      </c>
      <c r="K19" s="92">
        <f>'10'!AD23</f>
        <v>0.42401960784313725</v>
      </c>
      <c r="L19" s="92">
        <f>'11'!AD22</f>
        <v>0.62239583333333326</v>
      </c>
      <c r="M19" s="92">
        <f>'12'!AD22</f>
        <v>0.61458333333333326</v>
      </c>
      <c r="N19" s="92">
        <f>'13'!AD22</f>
        <v>0.57291666666666674</v>
      </c>
      <c r="O19" s="92"/>
      <c r="P19" s="92">
        <f>'15'!AD23</f>
        <v>0.57352941176470584</v>
      </c>
      <c r="Q19" s="92">
        <f>'16'!AD22</f>
        <v>0.50520833333333326</v>
      </c>
      <c r="R19" s="92">
        <f>'17'!AD22</f>
        <v>0.46875000000000011</v>
      </c>
      <c r="S19" s="92">
        <f>'18'!AD22</f>
        <v>0.53125000000000011</v>
      </c>
      <c r="T19" s="92">
        <f>'19'!AD22</f>
        <v>0.625</v>
      </c>
      <c r="U19" s="92">
        <f>'20'!AD22</f>
        <v>0.51302083333333326</v>
      </c>
      <c r="V19" s="92"/>
      <c r="W19" s="92">
        <f>'22'!AD23</f>
        <v>0.40441176470588241</v>
      </c>
      <c r="X19" s="92">
        <f>'23'!AD23</f>
        <v>0.51715686274509798</v>
      </c>
      <c r="Y19" s="92">
        <f>'24'!AD22</f>
        <v>0.63802083333333326</v>
      </c>
      <c r="Z19" s="92">
        <f>'25'!AD22</f>
        <v>0.50260416666666674</v>
      </c>
      <c r="AA19" s="92">
        <f>'26'!AD24</f>
        <v>0.53935185185185175</v>
      </c>
      <c r="AB19" s="92">
        <f>'27'!AD22</f>
        <v>0.59635416666666663</v>
      </c>
      <c r="AC19" s="92"/>
      <c r="AD19" s="92">
        <f>'29'!AD28</f>
        <v>0.60416666666666652</v>
      </c>
      <c r="AE19" s="92">
        <f>'30'!AD28</f>
        <v>0.65909090909090906</v>
      </c>
      <c r="AF19" s="93">
        <f>'31'!AD28</f>
        <v>0.61742424242424254</v>
      </c>
      <c r="AG19" s="94">
        <f t="shared" si="0"/>
        <v>0.43512733232791767</v>
      </c>
    </row>
    <row r="20" spans="1:33" ht="21.75" customHeight="1" thickBot="1">
      <c r="A20" s="69" t="s">
        <v>108</v>
      </c>
      <c r="B20" s="70">
        <v>0.62</v>
      </c>
      <c r="C20" s="71">
        <v>0.62</v>
      </c>
      <c r="D20" s="71">
        <v>0.62</v>
      </c>
      <c r="E20" s="71">
        <v>0.62</v>
      </c>
      <c r="F20" s="71">
        <v>0.62</v>
      </c>
      <c r="G20" s="71">
        <v>0.62</v>
      </c>
      <c r="H20" s="71">
        <v>0.62</v>
      </c>
      <c r="I20" s="71">
        <v>0.62</v>
      </c>
      <c r="J20" s="71">
        <v>0.62</v>
      </c>
      <c r="K20" s="71">
        <v>0.62</v>
      </c>
      <c r="L20" s="71">
        <v>0.62</v>
      </c>
      <c r="M20" s="71">
        <v>0.62</v>
      </c>
      <c r="N20" s="71">
        <v>0.62</v>
      </c>
      <c r="O20" s="71">
        <v>0.62</v>
      </c>
      <c r="P20" s="71">
        <v>0.62</v>
      </c>
      <c r="Q20" s="71">
        <v>0.62</v>
      </c>
      <c r="R20" s="71">
        <v>0.62</v>
      </c>
      <c r="S20" s="71">
        <v>0.62</v>
      </c>
      <c r="T20" s="71">
        <v>0.62</v>
      </c>
      <c r="U20" s="71">
        <v>0.62</v>
      </c>
      <c r="V20" s="71">
        <v>0.62</v>
      </c>
      <c r="W20" s="71">
        <v>0.62</v>
      </c>
      <c r="X20" s="71">
        <v>0.62</v>
      </c>
      <c r="Y20" s="71">
        <v>0.62</v>
      </c>
      <c r="Z20" s="71">
        <v>0.62</v>
      </c>
      <c r="AA20" s="71">
        <v>0.62</v>
      </c>
      <c r="AB20" s="71">
        <v>0.62</v>
      </c>
      <c r="AC20" s="71">
        <v>0.62</v>
      </c>
      <c r="AD20" s="71">
        <v>0.62</v>
      </c>
      <c r="AE20" s="71">
        <v>0.62</v>
      </c>
      <c r="AF20" s="72">
        <v>0.62</v>
      </c>
      <c r="AG20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26</vt:i4>
      </vt:variant>
      <vt:variant>
        <vt:lpstr>이름 지정된 범위</vt:lpstr>
      </vt:variant>
      <vt:variant>
        <vt:i4>50</vt:i4>
      </vt:variant>
    </vt:vector>
  </HeadingPairs>
  <TitlesOfParts>
    <vt:vector size="76" baseType="lpstr">
      <vt:lpstr>02</vt:lpstr>
      <vt:lpstr>03</vt:lpstr>
      <vt:lpstr>04</vt:lpstr>
      <vt:lpstr>05</vt:lpstr>
      <vt:lpstr>08</vt:lpstr>
      <vt:lpstr>09</vt:lpstr>
      <vt:lpstr>10</vt:lpstr>
      <vt:lpstr>11</vt:lpstr>
      <vt:lpstr>12</vt:lpstr>
      <vt:lpstr>13</vt:lpstr>
      <vt:lpstr>15</vt:lpstr>
      <vt:lpstr>16</vt:lpstr>
      <vt:lpstr>17</vt:lpstr>
      <vt:lpstr>18</vt:lpstr>
      <vt:lpstr>19</vt:lpstr>
      <vt:lpstr>20</vt:lpstr>
      <vt:lpstr>22</vt:lpstr>
      <vt:lpstr>23</vt:lpstr>
      <vt:lpstr>24</vt:lpstr>
      <vt:lpstr>25</vt:lpstr>
      <vt:lpstr>26</vt:lpstr>
      <vt:lpstr>27</vt:lpstr>
      <vt:lpstr>29</vt:lpstr>
      <vt:lpstr>30</vt:lpstr>
      <vt:lpstr>31</vt:lpstr>
      <vt:lpstr>총괄</vt:lpstr>
      <vt:lpstr>'02'!Print_Area</vt:lpstr>
      <vt:lpstr>'03'!Print_Area</vt:lpstr>
      <vt:lpstr>'04'!Print_Area</vt:lpstr>
      <vt:lpstr>'05'!Print_Area</vt:lpstr>
      <vt:lpstr>'08'!Print_Area</vt:lpstr>
      <vt:lpstr>'09'!Print_Area</vt:lpstr>
      <vt:lpstr>'10'!Print_Area</vt:lpstr>
      <vt:lpstr>'11'!Print_Area</vt:lpstr>
      <vt:lpstr>'12'!Print_Area</vt:lpstr>
      <vt:lpstr>'13'!Print_Area</vt:lpstr>
      <vt:lpstr>'15'!Print_Area</vt:lpstr>
      <vt:lpstr>'16'!Print_Area</vt:lpstr>
      <vt:lpstr>'17'!Print_Area</vt:lpstr>
      <vt:lpstr>'18'!Print_Area</vt:lpstr>
      <vt:lpstr>'19'!Print_Area</vt:lpstr>
      <vt:lpstr>'20'!Print_Area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'29'!Print_Area</vt:lpstr>
      <vt:lpstr>'30'!Print_Area</vt:lpstr>
      <vt:lpstr>'31'!Print_Area</vt:lpstr>
      <vt:lpstr>'02'!ㅁ1</vt:lpstr>
      <vt:lpstr>'03'!ㅁ1</vt:lpstr>
      <vt:lpstr>'04'!ㅁ1</vt:lpstr>
      <vt:lpstr>'05'!ㅁ1</vt:lpstr>
      <vt:lpstr>'08'!ㅁ1</vt:lpstr>
      <vt:lpstr>'09'!ㅁ1</vt:lpstr>
      <vt:lpstr>'10'!ㅁ1</vt:lpstr>
      <vt:lpstr>'11'!ㅁ1</vt:lpstr>
      <vt:lpstr>'12'!ㅁ1</vt:lpstr>
      <vt:lpstr>'13'!ㅁ1</vt:lpstr>
      <vt:lpstr>'15'!ㅁ1</vt:lpstr>
      <vt:lpstr>'16'!ㅁ1</vt:lpstr>
      <vt:lpstr>'17'!ㅁ1</vt:lpstr>
      <vt:lpstr>'18'!ㅁ1</vt:lpstr>
      <vt:lpstr>'19'!ㅁ1</vt:lpstr>
      <vt:lpstr>'20'!ㅁ1</vt:lpstr>
      <vt:lpstr>'22'!ㅁ1</vt:lpstr>
      <vt:lpstr>'23'!ㅁ1</vt:lpstr>
      <vt:lpstr>'24'!ㅁ1</vt:lpstr>
      <vt:lpstr>'25'!ㅁ1</vt:lpstr>
      <vt:lpstr>'26'!ㅁ1</vt:lpstr>
      <vt:lpstr>'27'!ㅁ1</vt:lpstr>
      <vt:lpstr>'29'!ㅁ1</vt:lpstr>
      <vt:lpstr>'30'!ㅁ1</vt:lpstr>
      <vt:lpstr>'31'!ㅁ1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2021-03-30T09:21:04Z</cp:lastPrinted>
  <dcterms:created xsi:type="dcterms:W3CDTF">2014-05-16T00:06:55Z</dcterms:created>
  <dcterms:modified xsi:type="dcterms:W3CDTF">2021-04-01T07:51:43Z</dcterms:modified>
</cp:coreProperties>
</file>