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drawings/drawing48.xml" ContentType="application/vnd.openxmlformats-officedocument.drawingml.chartshapes+xml"/>
  <Override PartName="/xl/drawings/drawing49.xml" ContentType="application/vnd.openxmlformats-officedocument.drawing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drawings/drawing50.xml" ContentType="application/vnd.openxmlformats-officedocument.drawingml.chartshapes+xml"/>
  <Override PartName="/xl/drawings/drawing51.xml" ContentType="application/vnd.openxmlformats-officedocument.drawing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drawings/drawing52.xml" ContentType="application/vnd.openxmlformats-officedocument.drawingml.chartshapes+xml"/>
  <Override PartName="/xl/drawings/drawing53.xml" ContentType="application/vnd.openxmlformats-officedocument.drawing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21년도\일일업무\생산일보\"/>
    </mc:Choice>
  </mc:AlternateContent>
  <xr:revisionPtr revIDLastSave="0" documentId="13_ncr:1_{CA12932F-89CC-46B7-8E66-ED129DDD3802}" xr6:coauthVersionLast="46" xr6:coauthVersionMax="46" xr10:uidLastSave="{00000000-0000-0000-0000-000000000000}"/>
  <bookViews>
    <workbookView xWindow="-120" yWindow="-120" windowWidth="29040" windowHeight="15840" firstSheet="3" activeTab="25" xr2:uid="{00000000-000D-0000-FFFF-FFFF00000000}"/>
  </bookViews>
  <sheets>
    <sheet name="01" sheetId="1975" r:id="rId1"/>
    <sheet name="02" sheetId="1976" r:id="rId2"/>
    <sheet name="03" sheetId="1977" r:id="rId3"/>
    <sheet name="05" sheetId="1978" r:id="rId4"/>
    <sheet name="06" sheetId="1979" r:id="rId5"/>
    <sheet name="07" sheetId="1980" r:id="rId6"/>
    <sheet name="08" sheetId="1981" r:id="rId7"/>
    <sheet name="09" sheetId="1982" r:id="rId8"/>
    <sheet name="10" sheetId="1983" r:id="rId9"/>
    <sheet name="12" sheetId="1984" r:id="rId10"/>
    <sheet name="13" sheetId="1985" r:id="rId11"/>
    <sheet name="14" sheetId="1986" r:id="rId12"/>
    <sheet name="15" sheetId="1987" r:id="rId13"/>
    <sheet name="16" sheetId="1988" r:id="rId14"/>
    <sheet name="17" sheetId="1989" r:id="rId15"/>
    <sheet name="19" sheetId="1990" r:id="rId16"/>
    <sheet name="20" sheetId="1991" r:id="rId17"/>
    <sheet name="21" sheetId="1992" r:id="rId18"/>
    <sheet name="22" sheetId="1993" r:id="rId19"/>
    <sheet name="23" sheetId="1994" r:id="rId20"/>
    <sheet name="24" sheetId="1995" r:id="rId21"/>
    <sheet name="26" sheetId="1996" r:id="rId22"/>
    <sheet name="27" sheetId="1997" r:id="rId23"/>
    <sheet name="28" sheetId="1998" r:id="rId24"/>
    <sheet name="29" sheetId="1999" r:id="rId25"/>
    <sheet name="30" sheetId="2000" r:id="rId26"/>
    <sheet name="총괄" sheetId="16" r:id="rId27"/>
  </sheets>
  <definedNames>
    <definedName name="_xlnm.Print_Area" localSheetId="0">'01'!$A$1:$AD$93</definedName>
    <definedName name="_xlnm.Print_Area" localSheetId="1">'02'!$A$1:$AD$93</definedName>
    <definedName name="_xlnm.Print_Area" localSheetId="2">'03'!$A$1:$AD$93</definedName>
    <definedName name="_xlnm.Print_Area" localSheetId="3">'05'!$A$1:$AD$94</definedName>
    <definedName name="_xlnm.Print_Area" localSheetId="4">'06'!$A$1:$AD$93</definedName>
    <definedName name="_xlnm.Print_Area" localSheetId="5">'07'!$A$1:$AD$94</definedName>
    <definedName name="_xlnm.Print_Area" localSheetId="6">'08'!$A$1:$AD$94</definedName>
    <definedName name="_xlnm.Print_Area" localSheetId="7">'09'!$A$1:$AD$98</definedName>
    <definedName name="_xlnm.Print_Area" localSheetId="8">'10'!$A$1:$AD$93</definedName>
    <definedName name="_xlnm.Print_Area" localSheetId="9">'12'!$A$1:$AD$93</definedName>
    <definedName name="_xlnm.Print_Area" localSheetId="10">'13'!$A$1:$AD$93</definedName>
    <definedName name="_xlnm.Print_Area" localSheetId="11">'14'!$A$1:$AD$94</definedName>
    <definedName name="_xlnm.Print_Area" localSheetId="12">'15'!$A$1:$AD$93</definedName>
    <definedName name="_xlnm.Print_Area" localSheetId="13">'16'!$A$1:$AD$94</definedName>
    <definedName name="_xlnm.Print_Area" localSheetId="14">'17'!$A$1:$AD$93</definedName>
    <definedName name="_xlnm.Print_Area" localSheetId="15">'19'!$A$1:$AD$93</definedName>
    <definedName name="_xlnm.Print_Area" localSheetId="16">'20'!$A$1:$AD$94</definedName>
    <definedName name="_xlnm.Print_Area" localSheetId="17">'21'!$A$1:$AD$94</definedName>
    <definedName name="_xlnm.Print_Area" localSheetId="18">'22'!$A$1:$AD$93</definedName>
    <definedName name="_xlnm.Print_Area" localSheetId="19">'23'!$A$1:$AD$93</definedName>
    <definedName name="_xlnm.Print_Area" localSheetId="20">'24'!$A$1:$AD$94</definedName>
    <definedName name="_xlnm.Print_Area" localSheetId="21">'26'!$A$1:$AD$95</definedName>
    <definedName name="_xlnm.Print_Area" localSheetId="22">'27'!$A$1:$AD$93</definedName>
    <definedName name="_xlnm.Print_Area" localSheetId="23">'28'!$A$1:$AD$93</definedName>
    <definedName name="_xlnm.Print_Area" localSheetId="24">'29'!$A$1:$AD$93</definedName>
    <definedName name="_xlnm.Print_Area" localSheetId="25">'30'!$A$1:$AD$93</definedName>
    <definedName name="ㅁ1" localSheetId="0">'01'!$M$1048528:$M$1048576</definedName>
    <definedName name="ㅁ1" localSheetId="1">'02'!$M$1048528:$M$1048576</definedName>
    <definedName name="ㅁ1" localSheetId="2">'03'!$M$1048528:$M$1048576</definedName>
    <definedName name="ㅁ1" localSheetId="3">'05'!$M$1048529:$M$1048576</definedName>
    <definedName name="ㅁ1" localSheetId="4">'06'!$M$1048528:$M$1048576</definedName>
    <definedName name="ㅁ1" localSheetId="5">'07'!$M$1048529:$M$1048576</definedName>
    <definedName name="ㅁ1" localSheetId="6">'08'!$M$1048529:$M$1048576</definedName>
    <definedName name="ㅁ1" localSheetId="7">'09'!$M$1048533:$M$1048576</definedName>
    <definedName name="ㅁ1" localSheetId="8">'10'!$M$1048528:$M$1048576</definedName>
    <definedName name="ㅁ1" localSheetId="9">'12'!$M$1048528:$M$1048576</definedName>
    <definedName name="ㅁ1" localSheetId="10">'13'!$M$1048528:$M$1048576</definedName>
    <definedName name="ㅁ1" localSheetId="11">'14'!$M$1048529:$M$1048576</definedName>
    <definedName name="ㅁ1" localSheetId="12">'15'!$M$1048528:$M$1048576</definedName>
    <definedName name="ㅁ1" localSheetId="13">'16'!$M$1048529:$M$1048576</definedName>
    <definedName name="ㅁ1" localSheetId="14">'17'!$M$1048528:$M$1048576</definedName>
    <definedName name="ㅁ1" localSheetId="15">'19'!$M$1048528:$M$1048576</definedName>
    <definedName name="ㅁ1" localSheetId="16">'20'!$M$1048529:$M$1048576</definedName>
    <definedName name="ㅁ1" localSheetId="17">'21'!$M$1048529:$M$1048576</definedName>
    <definedName name="ㅁ1" localSheetId="18">'22'!$M$1048528:$M$1048576</definedName>
    <definedName name="ㅁ1" localSheetId="19">'23'!$M$1048528:$M$1048576</definedName>
    <definedName name="ㅁ1" localSheetId="20">'24'!$M$1048529:$M$1048576</definedName>
    <definedName name="ㅁ1" localSheetId="21">'26'!$M$1048530:$M$1048576</definedName>
    <definedName name="ㅁ1" localSheetId="22">'27'!$M$1048528:$M$1048576</definedName>
    <definedName name="ㅁ1" localSheetId="23">'28'!$M$1048528:$M$1048576</definedName>
    <definedName name="ㅁ1" localSheetId="24">'29'!$M$1048528:$M$1048576</definedName>
    <definedName name="ㅁ1" localSheetId="25">'30'!$M$1048528:$M$1048576</definedName>
    <definedName name="ㅁ1">#REF!</definedName>
  </definedNames>
  <calcPr calcId="181029"/>
</workbook>
</file>

<file path=xl/calcChain.xml><?xml version="1.0" encoding="utf-8"?>
<calcChain xmlns="http://schemas.openxmlformats.org/spreadsheetml/2006/main">
  <c r="AE25" i="16" l="1"/>
  <c r="AE24" i="16"/>
  <c r="AE23" i="16"/>
  <c r="AE22" i="16"/>
  <c r="AE21" i="16"/>
  <c r="AE20" i="16"/>
  <c r="AE19" i="16"/>
  <c r="AE18" i="16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L21" i="2000"/>
  <c r="L20" i="2000"/>
  <c r="L19" i="2000"/>
  <c r="L18" i="2000"/>
  <c r="K18" i="2000"/>
  <c r="L16" i="2000"/>
  <c r="L14" i="2000"/>
  <c r="K14" i="2000" s="1"/>
  <c r="L12" i="2000"/>
  <c r="L10" i="2000"/>
  <c r="L9" i="2000"/>
  <c r="K9" i="2000" s="1"/>
  <c r="L8" i="2000"/>
  <c r="K8" i="2000" s="1"/>
  <c r="L7" i="2000"/>
  <c r="K7" i="2000"/>
  <c r="L6" i="2000"/>
  <c r="K6" i="2000" s="1"/>
  <c r="L24" i="2000"/>
  <c r="O24" i="2000" s="1"/>
  <c r="K24" i="2000"/>
  <c r="K21" i="2000"/>
  <c r="K20" i="2000"/>
  <c r="K16" i="2000"/>
  <c r="K13" i="2000"/>
  <c r="K12" i="2000"/>
  <c r="K10" i="2000"/>
  <c r="A83" i="2000"/>
  <c r="A84" i="2000" s="1"/>
  <c r="A85" i="2000" s="1"/>
  <c r="A86" i="2000" s="1"/>
  <c r="A87" i="2000" s="1"/>
  <c r="A88" i="2000" s="1"/>
  <c r="AF69" i="2000"/>
  <c r="AF67" i="2000"/>
  <c r="AF66" i="2000"/>
  <c r="AA28" i="2000"/>
  <c r="Z28" i="2000"/>
  <c r="Y28" i="2000"/>
  <c r="X28" i="2000"/>
  <c r="W28" i="2000"/>
  <c r="V28" i="2000"/>
  <c r="U28" i="2000"/>
  <c r="T28" i="2000"/>
  <c r="S28" i="2000"/>
  <c r="R28" i="2000"/>
  <c r="N28" i="2000"/>
  <c r="J28" i="2000"/>
  <c r="I28" i="2000"/>
  <c r="AF27" i="2000"/>
  <c r="AB27" i="2000"/>
  <c r="Q27" i="2000"/>
  <c r="P27" i="2000"/>
  <c r="AC27" i="2000" s="1"/>
  <c r="AD27" i="2000" s="1"/>
  <c r="O27" i="2000"/>
  <c r="M27" i="2000"/>
  <c r="K27" i="2000"/>
  <c r="AF26" i="2000"/>
  <c r="AC26" i="2000"/>
  <c r="AD26" i="2000" s="1"/>
  <c r="AB26" i="2000"/>
  <c r="Q26" i="2000"/>
  <c r="P26" i="2000"/>
  <c r="O26" i="2000"/>
  <c r="M26" i="2000"/>
  <c r="K26" i="2000"/>
  <c r="AF25" i="2000"/>
  <c r="AB25" i="2000"/>
  <c r="Q25" i="2000"/>
  <c r="P25" i="2000"/>
  <c r="AC25" i="2000" s="1"/>
  <c r="AD25" i="2000" s="1"/>
  <c r="O25" i="2000"/>
  <c r="M25" i="2000"/>
  <c r="K25" i="2000"/>
  <c r="AF24" i="2000"/>
  <c r="AB24" i="2000"/>
  <c r="Q24" i="2000"/>
  <c r="P24" i="2000"/>
  <c r="AC24" i="2000" s="1"/>
  <c r="AF23" i="2000"/>
  <c r="AB23" i="2000"/>
  <c r="Q23" i="2000"/>
  <c r="P23" i="2000"/>
  <c r="AC23" i="2000" s="1"/>
  <c r="AD23" i="2000" s="1"/>
  <c r="O23" i="2000"/>
  <c r="M23" i="2000"/>
  <c r="K23" i="2000"/>
  <c r="AF22" i="2000"/>
  <c r="AB22" i="2000"/>
  <c r="Q22" i="2000"/>
  <c r="P22" i="2000"/>
  <c r="AC22" i="2000" s="1"/>
  <c r="AD22" i="2000" s="1"/>
  <c r="O22" i="2000"/>
  <c r="M22" i="2000"/>
  <c r="K22" i="2000"/>
  <c r="AF21" i="2000"/>
  <c r="AB21" i="2000"/>
  <c r="Q21" i="2000"/>
  <c r="M21" i="2000"/>
  <c r="P21" i="2000"/>
  <c r="AC21" i="2000" s="1"/>
  <c r="AF20" i="2000"/>
  <c r="Q20" i="2000"/>
  <c r="P20" i="2000"/>
  <c r="AC20" i="2000" s="1"/>
  <c r="AF19" i="2000"/>
  <c r="AB19" i="2000"/>
  <c r="Q19" i="2000"/>
  <c r="P19" i="2000"/>
  <c r="AC19" i="2000" s="1"/>
  <c r="O19" i="2000"/>
  <c r="M19" i="2000"/>
  <c r="K19" i="2000"/>
  <c r="AF18" i="2000"/>
  <c r="AB18" i="2000"/>
  <c r="Q18" i="2000"/>
  <c r="P18" i="2000" s="1"/>
  <c r="AC18" i="2000" s="1"/>
  <c r="O18" i="2000"/>
  <c r="M18" i="2000"/>
  <c r="AF17" i="2000"/>
  <c r="AB17" i="2000"/>
  <c r="Q17" i="2000"/>
  <c r="P17" i="2000"/>
  <c r="AC17" i="2000" s="1"/>
  <c r="O17" i="2000"/>
  <c r="M17" i="2000"/>
  <c r="K17" i="2000"/>
  <c r="AF16" i="2000"/>
  <c r="AB16" i="2000"/>
  <c r="Q16" i="2000"/>
  <c r="M16" i="2000"/>
  <c r="P16" i="2000"/>
  <c r="AC16" i="2000" s="1"/>
  <c r="AF15" i="2000"/>
  <c r="AB15" i="2000"/>
  <c r="Q15" i="2000"/>
  <c r="P15" i="2000"/>
  <c r="AC15" i="2000" s="1"/>
  <c r="O15" i="2000"/>
  <c r="M15" i="2000"/>
  <c r="K15" i="2000"/>
  <c r="AF14" i="2000"/>
  <c r="AB14" i="2000"/>
  <c r="Q14" i="2000"/>
  <c r="O14" i="2000"/>
  <c r="M14" i="2000"/>
  <c r="P14" i="2000"/>
  <c r="AC14" i="2000" s="1"/>
  <c r="AD14" i="2000" s="1"/>
  <c r="AF13" i="2000"/>
  <c r="AB13" i="2000"/>
  <c r="Q13" i="2000"/>
  <c r="M13" i="2000"/>
  <c r="P13" i="2000"/>
  <c r="AC13" i="2000" s="1"/>
  <c r="AF12" i="2000"/>
  <c r="Q12" i="2000"/>
  <c r="P12" i="2000" s="1"/>
  <c r="AC12" i="2000" s="1"/>
  <c r="AF11" i="2000"/>
  <c r="AB11" i="2000"/>
  <c r="Q11" i="2000"/>
  <c r="P11" i="2000"/>
  <c r="AC11" i="2000" s="1"/>
  <c r="AD11" i="2000" s="1"/>
  <c r="O11" i="2000"/>
  <c r="M11" i="2000"/>
  <c r="K11" i="2000"/>
  <c r="AF10" i="2000"/>
  <c r="AB10" i="2000"/>
  <c r="Q10" i="2000"/>
  <c r="P10" i="2000" s="1"/>
  <c r="AC10" i="2000" s="1"/>
  <c r="M10" i="2000"/>
  <c r="AF9" i="2000"/>
  <c r="Q9" i="2000"/>
  <c r="P9" i="2000" s="1"/>
  <c r="AC9" i="2000" s="1"/>
  <c r="AF8" i="2000"/>
  <c r="AB8" i="2000"/>
  <c r="Q8" i="2000"/>
  <c r="P8" i="2000"/>
  <c r="AC8" i="2000" s="1"/>
  <c r="O8" i="2000"/>
  <c r="M8" i="2000"/>
  <c r="AF7" i="2000"/>
  <c r="AB7" i="2000"/>
  <c r="Q7" i="2000"/>
  <c r="P7" i="2000" s="1"/>
  <c r="AC7" i="2000" s="1"/>
  <c r="O7" i="2000"/>
  <c r="M7" i="2000"/>
  <c r="AF6" i="2000"/>
  <c r="Q6" i="2000"/>
  <c r="AD25" i="16"/>
  <c r="AD24" i="16"/>
  <c r="AD23" i="16"/>
  <c r="AD22" i="16"/>
  <c r="AD21" i="16"/>
  <c r="AD20" i="16"/>
  <c r="AD19" i="16"/>
  <c r="AD18" i="16"/>
  <c r="AD17" i="16"/>
  <c r="AD16" i="16"/>
  <c r="AD15" i="16"/>
  <c r="AD14" i="16"/>
  <c r="AD13" i="16"/>
  <c r="AD12" i="16"/>
  <c r="AD11" i="16"/>
  <c r="AD10" i="16"/>
  <c r="AD9" i="16"/>
  <c r="AD8" i="16"/>
  <c r="AD7" i="16"/>
  <c r="AD6" i="16"/>
  <c r="AD5" i="16"/>
  <c r="AD4" i="16"/>
  <c r="AD3" i="16"/>
  <c r="L21" i="1999"/>
  <c r="K21" i="1999" s="1"/>
  <c r="L20" i="1999"/>
  <c r="K20" i="1999" s="1"/>
  <c r="K18" i="1999"/>
  <c r="K17" i="1999"/>
  <c r="L16" i="1999"/>
  <c r="K14" i="1999"/>
  <c r="L14" i="1999"/>
  <c r="L13" i="1999"/>
  <c r="K13" i="1999" s="1"/>
  <c r="L12" i="1999"/>
  <c r="K12" i="1999" s="1"/>
  <c r="L10" i="1999"/>
  <c r="K10" i="1999" s="1"/>
  <c r="L9" i="1999"/>
  <c r="K9" i="1999" s="1"/>
  <c r="L8" i="1999"/>
  <c r="K8" i="1999" s="1"/>
  <c r="L6" i="1999"/>
  <c r="K6" i="1999" s="1"/>
  <c r="L24" i="1999"/>
  <c r="K24" i="1999" s="1"/>
  <c r="K19" i="1999"/>
  <c r="K16" i="1999"/>
  <c r="K11" i="1999"/>
  <c r="Q28" i="2000" l="1"/>
  <c r="P6" i="2000"/>
  <c r="AC6" i="2000" s="1"/>
  <c r="M24" i="2000"/>
  <c r="AD24" i="2000"/>
  <c r="AD7" i="2000"/>
  <c r="AD8" i="2000"/>
  <c r="AD17" i="2000"/>
  <c r="AD19" i="2000"/>
  <c r="AD15" i="2000"/>
  <c r="AD18" i="2000"/>
  <c r="M6" i="2000"/>
  <c r="AB6" i="2000"/>
  <c r="M9" i="2000"/>
  <c r="AB9" i="2000"/>
  <c r="O10" i="2000"/>
  <c r="AD10" i="2000" s="1"/>
  <c r="M12" i="2000"/>
  <c r="AB12" i="2000"/>
  <c r="O13" i="2000"/>
  <c r="AD13" i="2000" s="1"/>
  <c r="O16" i="2000"/>
  <c r="AD16" i="2000" s="1"/>
  <c r="M20" i="2000"/>
  <c r="AB20" i="2000"/>
  <c r="O21" i="2000"/>
  <c r="AD21" i="2000" s="1"/>
  <c r="L28" i="2000"/>
  <c r="O28" i="2000" s="1"/>
  <c r="O6" i="2000"/>
  <c r="O9" i="2000"/>
  <c r="O12" i="2000"/>
  <c r="O20" i="2000"/>
  <c r="K28" i="2000"/>
  <c r="A83" i="1999"/>
  <c r="A84" i="1999" s="1"/>
  <c r="A85" i="1999" s="1"/>
  <c r="A86" i="1999" s="1"/>
  <c r="A87" i="1999" s="1"/>
  <c r="A88" i="1999" s="1"/>
  <c r="AF67" i="1999"/>
  <c r="AF66" i="1999"/>
  <c r="AF69" i="1999" s="1"/>
  <c r="AA28" i="1999"/>
  <c r="Z28" i="1999"/>
  <c r="Y28" i="1999"/>
  <c r="X28" i="1999"/>
  <c r="W28" i="1999"/>
  <c r="V28" i="1999"/>
  <c r="U28" i="1999"/>
  <c r="T28" i="1999"/>
  <c r="S28" i="1999"/>
  <c r="R28" i="1999"/>
  <c r="N28" i="1999"/>
  <c r="J28" i="1999"/>
  <c r="I28" i="1999"/>
  <c r="AF27" i="1999"/>
  <c r="AB27" i="1999"/>
  <c r="Q27" i="1999"/>
  <c r="P27" i="1999"/>
  <c r="AC27" i="1999" s="1"/>
  <c r="AD27" i="1999" s="1"/>
  <c r="O27" i="1999"/>
  <c r="M27" i="1999"/>
  <c r="K27" i="1999"/>
  <c r="AF26" i="1999"/>
  <c r="AC26" i="1999"/>
  <c r="AD26" i="1999" s="1"/>
  <c r="AB26" i="1999"/>
  <c r="Q26" i="1999"/>
  <c r="P26" i="1999"/>
  <c r="O26" i="1999"/>
  <c r="M26" i="1999"/>
  <c r="K26" i="1999"/>
  <c r="AF25" i="1999"/>
  <c r="AB25" i="1999"/>
  <c r="Q25" i="1999"/>
  <c r="P25" i="1999"/>
  <c r="AC25" i="1999" s="1"/>
  <c r="AD25" i="1999" s="1"/>
  <c r="O25" i="1999"/>
  <c r="M25" i="1999"/>
  <c r="K25" i="1999"/>
  <c r="AF24" i="1999"/>
  <c r="AB24" i="1999"/>
  <c r="Q24" i="1999"/>
  <c r="O24" i="1999"/>
  <c r="M24" i="1999"/>
  <c r="P24" i="1999"/>
  <c r="AC24" i="1999" s="1"/>
  <c r="AF23" i="1999"/>
  <c r="AB23" i="1999"/>
  <c r="Q23" i="1999"/>
  <c r="P23" i="1999"/>
  <c r="AC23" i="1999" s="1"/>
  <c r="AD23" i="1999" s="1"/>
  <c r="O23" i="1999"/>
  <c r="M23" i="1999"/>
  <c r="K23" i="1999"/>
  <c r="AF22" i="1999"/>
  <c r="AB22" i="1999"/>
  <c r="Q22" i="1999"/>
  <c r="P22" i="1999"/>
  <c r="AC22" i="1999" s="1"/>
  <c r="AD22" i="1999" s="1"/>
  <c r="O22" i="1999"/>
  <c r="M22" i="1999"/>
  <c r="K22" i="1999"/>
  <c r="AF21" i="1999"/>
  <c r="Q21" i="1999"/>
  <c r="AB21" i="1999"/>
  <c r="AF20" i="1999"/>
  <c r="Q20" i="1999"/>
  <c r="P20" i="1999"/>
  <c r="AC20" i="1999" s="1"/>
  <c r="O20" i="1999"/>
  <c r="AF19" i="1999"/>
  <c r="AB19" i="1999"/>
  <c r="Q19" i="1999"/>
  <c r="P19" i="1999"/>
  <c r="AC19" i="1999" s="1"/>
  <c r="O19" i="1999"/>
  <c r="M19" i="1999"/>
  <c r="AF18" i="1999"/>
  <c r="AB18" i="1999"/>
  <c r="Q18" i="1999"/>
  <c r="P18" i="1999"/>
  <c r="AC18" i="1999" s="1"/>
  <c r="O18" i="1999"/>
  <c r="M18" i="1999"/>
  <c r="AF17" i="1999"/>
  <c r="AB17" i="1999"/>
  <c r="Q17" i="1999"/>
  <c r="P17" i="1999"/>
  <c r="AC17" i="1999" s="1"/>
  <c r="O17" i="1999"/>
  <c r="M17" i="1999"/>
  <c r="AF16" i="1999"/>
  <c r="AB16" i="1999"/>
  <c r="Q16" i="1999"/>
  <c r="O16" i="1999"/>
  <c r="M16" i="1999"/>
  <c r="P16" i="1999"/>
  <c r="AC16" i="1999" s="1"/>
  <c r="AF15" i="1999"/>
  <c r="AB15" i="1999"/>
  <c r="Q15" i="1999"/>
  <c r="P15" i="1999"/>
  <c r="AC15" i="1999" s="1"/>
  <c r="O15" i="1999"/>
  <c r="M15" i="1999"/>
  <c r="K15" i="1999"/>
  <c r="AF14" i="1999"/>
  <c r="AB14" i="1999"/>
  <c r="Q14" i="1999"/>
  <c r="P14" i="1999"/>
  <c r="AC14" i="1999" s="1"/>
  <c r="O14" i="1999"/>
  <c r="M14" i="1999"/>
  <c r="AF13" i="1999"/>
  <c r="AB13" i="1999"/>
  <c r="Q13" i="1999"/>
  <c r="P13" i="1999" s="1"/>
  <c r="AC13" i="1999" s="1"/>
  <c r="O13" i="1999"/>
  <c r="M13" i="1999"/>
  <c r="AF12" i="1999"/>
  <c r="Q12" i="1999"/>
  <c r="P12" i="1999" s="1"/>
  <c r="AC12" i="1999" s="1"/>
  <c r="O12" i="1999"/>
  <c r="AF11" i="1999"/>
  <c r="Q11" i="1999"/>
  <c r="P11" i="1999"/>
  <c r="AC11" i="1999" s="1"/>
  <c r="O11" i="1999"/>
  <c r="AB11" i="1999"/>
  <c r="AF10" i="1999"/>
  <c r="AB10" i="1999"/>
  <c r="Q10" i="1999"/>
  <c r="P10" i="1999" s="1"/>
  <c r="AC10" i="1999" s="1"/>
  <c r="O10" i="1999"/>
  <c r="M10" i="1999"/>
  <c r="AF9" i="1999"/>
  <c r="Q9" i="1999"/>
  <c r="AB9" i="1999"/>
  <c r="AF8" i="1999"/>
  <c r="Q8" i="1999"/>
  <c r="P8" i="1999" s="1"/>
  <c r="AC8" i="1999" s="1"/>
  <c r="O8" i="1999"/>
  <c r="AF7" i="1999"/>
  <c r="AB7" i="1999"/>
  <c r="Q7" i="1999"/>
  <c r="P7" i="1999"/>
  <c r="AC7" i="1999" s="1"/>
  <c r="AD7" i="1999" s="1"/>
  <c r="O7" i="1999"/>
  <c r="M7" i="1999"/>
  <c r="K7" i="1999"/>
  <c r="AF6" i="1999"/>
  <c r="Q6" i="1999"/>
  <c r="M6" i="1999"/>
  <c r="AC25" i="16"/>
  <c r="AC24" i="16"/>
  <c r="AC23" i="16"/>
  <c r="AC22" i="16"/>
  <c r="AC21" i="16"/>
  <c r="AC20" i="16"/>
  <c r="AC19" i="16"/>
  <c r="AC18" i="16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C4" i="16"/>
  <c r="AC3" i="16"/>
  <c r="L24" i="1998"/>
  <c r="L21" i="1998"/>
  <c r="L20" i="1998"/>
  <c r="L19" i="1998"/>
  <c r="K17" i="1998"/>
  <c r="L16" i="1998"/>
  <c r="L14" i="1998"/>
  <c r="K14" i="1998"/>
  <c r="AD9" i="2000" l="1"/>
  <c r="P28" i="2000"/>
  <c r="AD20" i="2000"/>
  <c r="AD12" i="2000"/>
  <c r="AB28" i="2000"/>
  <c r="AD6" i="2000"/>
  <c r="AC28" i="2000"/>
  <c r="M28" i="2000"/>
  <c r="AD14" i="1999"/>
  <c r="AD13" i="1999"/>
  <c r="Q28" i="1999"/>
  <c r="AD24" i="1999"/>
  <c r="AD18" i="1999"/>
  <c r="AD19" i="1999"/>
  <c r="AD10" i="1999"/>
  <c r="AD15" i="1999"/>
  <c r="AD16" i="1999"/>
  <c r="AD17" i="1999"/>
  <c r="AD11" i="1999"/>
  <c r="M20" i="1999"/>
  <c r="AB20" i="1999"/>
  <c r="AD20" i="1999" s="1"/>
  <c r="O21" i="1999"/>
  <c r="L28" i="1999"/>
  <c r="O28" i="1999" s="1"/>
  <c r="AB6" i="1999"/>
  <c r="M9" i="1999"/>
  <c r="O6" i="1999"/>
  <c r="M8" i="1999"/>
  <c r="AB8" i="1999"/>
  <c r="AD8" i="1999" s="1"/>
  <c r="O9" i="1999"/>
  <c r="M12" i="1999"/>
  <c r="AB12" i="1999"/>
  <c r="AD12" i="1999" s="1"/>
  <c r="K28" i="1999"/>
  <c r="P6" i="1999"/>
  <c r="P9" i="1999"/>
  <c r="AC9" i="1999" s="1"/>
  <c r="M11" i="1999"/>
  <c r="P21" i="1999"/>
  <c r="AC21" i="1999" s="1"/>
  <c r="AD21" i="1999" s="1"/>
  <c r="M21" i="1999"/>
  <c r="L12" i="1998"/>
  <c r="O12" i="1998" s="1"/>
  <c r="L11" i="1998"/>
  <c r="L10" i="1998"/>
  <c r="AB10" i="1998" s="1"/>
  <c r="L9" i="1998"/>
  <c r="M9" i="1998" s="1"/>
  <c r="L8" i="1998"/>
  <c r="K8" i="1998"/>
  <c r="L6" i="1998"/>
  <c r="K6" i="1998" s="1"/>
  <c r="K24" i="1998"/>
  <c r="K21" i="1998"/>
  <c r="K20" i="1998"/>
  <c r="K19" i="1998"/>
  <c r="K18" i="1998"/>
  <c r="K16" i="1998"/>
  <c r="K13" i="1998"/>
  <c r="K12" i="1998"/>
  <c r="K11" i="1998"/>
  <c r="K10" i="1998"/>
  <c r="K9" i="1998"/>
  <c r="A83" i="1998"/>
  <c r="A84" i="1998" s="1"/>
  <c r="A85" i="1998" s="1"/>
  <c r="A86" i="1998" s="1"/>
  <c r="A87" i="1998" s="1"/>
  <c r="A88" i="1998" s="1"/>
  <c r="AF67" i="1998"/>
  <c r="AF66" i="1998"/>
  <c r="AF69" i="1998" s="1"/>
  <c r="AA28" i="1998"/>
  <c r="Z28" i="1998"/>
  <c r="Y28" i="1998"/>
  <c r="X28" i="1998"/>
  <c r="W28" i="1998"/>
  <c r="V28" i="1998"/>
  <c r="U28" i="1998"/>
  <c r="T28" i="1998"/>
  <c r="S28" i="1998"/>
  <c r="R28" i="1998"/>
  <c r="N28" i="1998"/>
  <c r="J28" i="1998"/>
  <c r="I28" i="1998"/>
  <c r="AF27" i="1998"/>
  <c r="AB27" i="1998"/>
  <c r="Q27" i="1998"/>
  <c r="P27" i="1998"/>
  <c r="AC27" i="1998" s="1"/>
  <c r="AD27" i="1998" s="1"/>
  <c r="O27" i="1998"/>
  <c r="M27" i="1998"/>
  <c r="K27" i="1998"/>
  <c r="AF26" i="1998"/>
  <c r="AB26" i="1998"/>
  <c r="Q26" i="1998"/>
  <c r="P26" i="1998"/>
  <c r="AC26" i="1998" s="1"/>
  <c r="AD26" i="1998" s="1"/>
  <c r="O26" i="1998"/>
  <c r="M26" i="1998"/>
  <c r="K26" i="1998"/>
  <c r="AF25" i="1998"/>
  <c r="AB25" i="1998"/>
  <c r="Q25" i="1998"/>
  <c r="P25" i="1998"/>
  <c r="AC25" i="1998" s="1"/>
  <c r="AD25" i="1998" s="1"/>
  <c r="O25" i="1998"/>
  <c r="M25" i="1998"/>
  <c r="K25" i="1998"/>
  <c r="AF24" i="1998"/>
  <c r="AB24" i="1998"/>
  <c r="Q24" i="1998"/>
  <c r="P24" i="1998"/>
  <c r="AC24" i="1998" s="1"/>
  <c r="O24" i="1998"/>
  <c r="M24" i="1998"/>
  <c r="AF23" i="1998"/>
  <c r="AC23" i="1998"/>
  <c r="AB23" i="1998"/>
  <c r="Q23" i="1998"/>
  <c r="P23" i="1998"/>
  <c r="O23" i="1998"/>
  <c r="M23" i="1998"/>
  <c r="K23" i="1998"/>
  <c r="AF22" i="1998"/>
  <c r="AC22" i="1998"/>
  <c r="AB22" i="1998"/>
  <c r="Q22" i="1998"/>
  <c r="P22" i="1998"/>
  <c r="O22" i="1998"/>
  <c r="M22" i="1998"/>
  <c r="K22" i="1998"/>
  <c r="AF21" i="1998"/>
  <c r="Q21" i="1998"/>
  <c r="O21" i="1998"/>
  <c r="AB21" i="1998"/>
  <c r="AF20" i="1998"/>
  <c r="AB20" i="1998"/>
  <c r="Q20" i="1998"/>
  <c r="P20" i="1998"/>
  <c r="AC20" i="1998" s="1"/>
  <c r="M20" i="1998"/>
  <c r="O20" i="1998"/>
  <c r="AF19" i="1998"/>
  <c r="Q19" i="1998"/>
  <c r="P19" i="1998"/>
  <c r="AC19" i="1998" s="1"/>
  <c r="AF18" i="1998"/>
  <c r="AB18" i="1998"/>
  <c r="Q18" i="1998"/>
  <c r="P18" i="1998"/>
  <c r="AC18" i="1998" s="1"/>
  <c r="O18" i="1998"/>
  <c r="M18" i="1998"/>
  <c r="AF17" i="1998"/>
  <c r="Q17" i="1998"/>
  <c r="O17" i="1998"/>
  <c r="AB17" i="1998"/>
  <c r="AF16" i="1998"/>
  <c r="AB16" i="1998"/>
  <c r="Q16" i="1998"/>
  <c r="P16" i="1998" s="1"/>
  <c r="AC16" i="1998" s="1"/>
  <c r="M16" i="1998"/>
  <c r="O16" i="1998"/>
  <c r="AF15" i="1998"/>
  <c r="AC15" i="1998"/>
  <c r="AD15" i="1998" s="1"/>
  <c r="AB15" i="1998"/>
  <c r="Q15" i="1998"/>
  <c r="P15" i="1998"/>
  <c r="O15" i="1998"/>
  <c r="M15" i="1998"/>
  <c r="K15" i="1998"/>
  <c r="AF14" i="1998"/>
  <c r="Q14" i="1998"/>
  <c r="AB14" i="1998"/>
  <c r="AF13" i="1998"/>
  <c r="AB13" i="1998"/>
  <c r="Q13" i="1998"/>
  <c r="P13" i="1998"/>
  <c r="AC13" i="1998" s="1"/>
  <c r="M13" i="1998"/>
  <c r="O13" i="1998"/>
  <c r="AF12" i="1998"/>
  <c r="Q12" i="1998"/>
  <c r="P12" i="1998"/>
  <c r="AC12" i="1998" s="1"/>
  <c r="AF11" i="1998"/>
  <c r="AB11" i="1998"/>
  <c r="Q11" i="1998"/>
  <c r="O11" i="1998"/>
  <c r="M11" i="1998"/>
  <c r="AF10" i="1998"/>
  <c r="Q10" i="1998"/>
  <c r="AF9" i="1998"/>
  <c r="AB9" i="1998"/>
  <c r="Q9" i="1998"/>
  <c r="P9" i="1998" s="1"/>
  <c r="AC9" i="1998" s="1"/>
  <c r="O9" i="1998"/>
  <c r="AF8" i="1998"/>
  <c r="AB8" i="1998"/>
  <c r="Q8" i="1998"/>
  <c r="P8" i="1998"/>
  <c r="AC8" i="1998" s="1"/>
  <c r="O8" i="1998"/>
  <c r="M8" i="1998"/>
  <c r="AF7" i="1998"/>
  <c r="AB7" i="1998"/>
  <c r="Q7" i="1998"/>
  <c r="P7" i="1998"/>
  <c r="AC7" i="1998" s="1"/>
  <c r="AD7" i="1998" s="1"/>
  <c r="O7" i="1998"/>
  <c r="M7" i="1998"/>
  <c r="K7" i="1998"/>
  <c r="AF6" i="1998"/>
  <c r="Q6" i="1998"/>
  <c r="O6" i="1998"/>
  <c r="P6" i="1998"/>
  <c r="AB25" i="16"/>
  <c r="AB24" i="16"/>
  <c r="AB23" i="16"/>
  <c r="AB22" i="16"/>
  <c r="AB21" i="16"/>
  <c r="AB20" i="16"/>
  <c r="AB19" i="16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L21" i="1997"/>
  <c r="L20" i="1997"/>
  <c r="L19" i="1997"/>
  <c r="K19" i="1997" s="1"/>
  <c r="L18" i="1997"/>
  <c r="L17" i="1997"/>
  <c r="K17" i="1997" s="1"/>
  <c r="L16" i="1997"/>
  <c r="L14" i="1997"/>
  <c r="L13" i="1997"/>
  <c r="K13" i="1997" s="1"/>
  <c r="L12" i="1997"/>
  <c r="K12" i="1997" s="1"/>
  <c r="L11" i="1997"/>
  <c r="K11" i="1997" s="1"/>
  <c r="L10" i="1997"/>
  <c r="K10" i="1997" s="1"/>
  <c r="L9" i="1997"/>
  <c r="L6" i="1997"/>
  <c r="K6" i="1997" s="1"/>
  <c r="L24" i="1997"/>
  <c r="O24" i="1997" s="1"/>
  <c r="K21" i="1997"/>
  <c r="K20" i="1997"/>
  <c r="K18" i="1997"/>
  <c r="K14" i="1997"/>
  <c r="K9" i="1997"/>
  <c r="A83" i="1997"/>
  <c r="A84" i="1997" s="1"/>
  <c r="A85" i="1997" s="1"/>
  <c r="A86" i="1997" s="1"/>
  <c r="A87" i="1997" s="1"/>
  <c r="A88" i="1997" s="1"/>
  <c r="AF67" i="1997"/>
  <c r="AF66" i="1997"/>
  <c r="AF69" i="1997" s="1"/>
  <c r="AA28" i="1997"/>
  <c r="Z28" i="1997"/>
  <c r="Y28" i="1997"/>
  <c r="X28" i="1997"/>
  <c r="W28" i="1997"/>
  <c r="V28" i="1997"/>
  <c r="U28" i="1997"/>
  <c r="T28" i="1997"/>
  <c r="S28" i="1997"/>
  <c r="R28" i="1997"/>
  <c r="N28" i="1997"/>
  <c r="J28" i="1997"/>
  <c r="I28" i="1997"/>
  <c r="AF27" i="1997"/>
  <c r="AB27" i="1997"/>
  <c r="Q27" i="1997"/>
  <c r="P27" i="1997"/>
  <c r="AC27" i="1997" s="1"/>
  <c r="O27" i="1997"/>
  <c r="M27" i="1997"/>
  <c r="K27" i="1997"/>
  <c r="AF26" i="1997"/>
  <c r="AB26" i="1997"/>
  <c r="Q26" i="1997"/>
  <c r="P26" i="1997"/>
  <c r="AC26" i="1997" s="1"/>
  <c r="O26" i="1997"/>
  <c r="M26" i="1997"/>
  <c r="K26" i="1997"/>
  <c r="AF25" i="1997"/>
  <c r="AB25" i="1997"/>
  <c r="Q25" i="1997"/>
  <c r="P25" i="1997"/>
  <c r="AC25" i="1997" s="1"/>
  <c r="O25" i="1997"/>
  <c r="M25" i="1997"/>
  <c r="K25" i="1997"/>
  <c r="AF24" i="1997"/>
  <c r="Q24" i="1997"/>
  <c r="AF23" i="1997"/>
  <c r="AB23" i="1997"/>
  <c r="Q23" i="1997"/>
  <c r="P23" i="1997"/>
  <c r="AC23" i="1997" s="1"/>
  <c r="O23" i="1997"/>
  <c r="M23" i="1997"/>
  <c r="K23" i="1997"/>
  <c r="AF22" i="1997"/>
  <c r="AB22" i="1997"/>
  <c r="Q22" i="1997"/>
  <c r="P22" i="1997"/>
  <c r="AC22" i="1997" s="1"/>
  <c r="O22" i="1997"/>
  <c r="M22" i="1997"/>
  <c r="K22" i="1997"/>
  <c r="AF21" i="1997"/>
  <c r="AB21" i="1997"/>
  <c r="Q21" i="1997"/>
  <c r="M21" i="1997"/>
  <c r="P21" i="1997"/>
  <c r="AC21" i="1997" s="1"/>
  <c r="AF20" i="1997"/>
  <c r="Q20" i="1997"/>
  <c r="P20" i="1997" s="1"/>
  <c r="AC20" i="1997" s="1"/>
  <c r="AF19" i="1997"/>
  <c r="AB19" i="1997"/>
  <c r="Q19" i="1997"/>
  <c r="P19" i="1997" s="1"/>
  <c r="AC19" i="1997" s="1"/>
  <c r="M19" i="1997"/>
  <c r="AF18" i="1997"/>
  <c r="AB18" i="1997"/>
  <c r="Q18" i="1997"/>
  <c r="O18" i="1997"/>
  <c r="M18" i="1997"/>
  <c r="P18" i="1997"/>
  <c r="AC18" i="1997" s="1"/>
  <c r="AF17" i="1997"/>
  <c r="AB17" i="1997"/>
  <c r="Q17" i="1997"/>
  <c r="P17" i="1997" s="1"/>
  <c r="AC17" i="1997" s="1"/>
  <c r="O17" i="1997"/>
  <c r="M17" i="1997"/>
  <c r="AF16" i="1997"/>
  <c r="AB16" i="1997"/>
  <c r="Q16" i="1997"/>
  <c r="M16" i="1997"/>
  <c r="AF15" i="1997"/>
  <c r="AB15" i="1997"/>
  <c r="Q15" i="1997"/>
  <c r="P15" i="1997"/>
  <c r="AC15" i="1997" s="1"/>
  <c r="O15" i="1997"/>
  <c r="M15" i="1997"/>
  <c r="K15" i="1997"/>
  <c r="AF14" i="1997"/>
  <c r="AB14" i="1997"/>
  <c r="Q14" i="1997"/>
  <c r="P14" i="1997" s="1"/>
  <c r="AC14" i="1997" s="1"/>
  <c r="O14" i="1997"/>
  <c r="M14" i="1997"/>
  <c r="AF13" i="1997"/>
  <c r="AB13" i="1997"/>
  <c r="Q13" i="1997"/>
  <c r="P13" i="1997" s="1"/>
  <c r="AC13" i="1997" s="1"/>
  <c r="O13" i="1997"/>
  <c r="M13" i="1997"/>
  <c r="AF12" i="1997"/>
  <c r="AB12" i="1997"/>
  <c r="Q12" i="1997"/>
  <c r="P12" i="1997" s="1"/>
  <c r="AC12" i="1997" s="1"/>
  <c r="O12" i="1997"/>
  <c r="M12" i="1997"/>
  <c r="AF11" i="1997"/>
  <c r="Q11" i="1997"/>
  <c r="P11" i="1997"/>
  <c r="AC11" i="1997" s="1"/>
  <c r="AF10" i="1997"/>
  <c r="Q10" i="1997"/>
  <c r="P10" i="1997"/>
  <c r="AC10" i="1997" s="1"/>
  <c r="AF9" i="1997"/>
  <c r="AB9" i="1997"/>
  <c r="Q9" i="1997"/>
  <c r="M9" i="1997"/>
  <c r="P9" i="1997"/>
  <c r="AC9" i="1997" s="1"/>
  <c r="AF8" i="1997"/>
  <c r="AB8" i="1997"/>
  <c r="Q8" i="1997"/>
  <c r="P8" i="1997"/>
  <c r="AC8" i="1997" s="1"/>
  <c r="O8" i="1997"/>
  <c r="M8" i="1997"/>
  <c r="K8" i="1997"/>
  <c r="AF7" i="1997"/>
  <c r="AB7" i="1997"/>
  <c r="Q7" i="1997"/>
  <c r="P7" i="1997"/>
  <c r="AC7" i="1997" s="1"/>
  <c r="O7" i="1997"/>
  <c r="M7" i="1997"/>
  <c r="K7" i="1997"/>
  <c r="AF6" i="1997"/>
  <c r="Q6" i="1997"/>
  <c r="P6" i="1997" s="1"/>
  <c r="AA25" i="16"/>
  <c r="AA24" i="16"/>
  <c r="AA23" i="16"/>
  <c r="AA22" i="16"/>
  <c r="AA21" i="16"/>
  <c r="AA20" i="16"/>
  <c r="AA19" i="16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L23" i="1996"/>
  <c r="K23" i="1996" s="1"/>
  <c r="L22" i="1996"/>
  <c r="L21" i="1996"/>
  <c r="L20" i="1996"/>
  <c r="L18" i="1996"/>
  <c r="K18" i="1996" s="1"/>
  <c r="K17" i="1996"/>
  <c r="AF17" i="1996"/>
  <c r="AB17" i="1996"/>
  <c r="Q17" i="1996"/>
  <c r="P17" i="1996" s="1"/>
  <c r="AC17" i="1996" s="1"/>
  <c r="O17" i="1996"/>
  <c r="M17" i="1996"/>
  <c r="K15" i="1996"/>
  <c r="K14" i="1996"/>
  <c r="L13" i="1996"/>
  <c r="L12" i="1996"/>
  <c r="L11" i="1996"/>
  <c r="L9" i="1996"/>
  <c r="L6" i="1996"/>
  <c r="K6" i="1996" s="1"/>
  <c r="L26" i="1996"/>
  <c r="AD28" i="2000" l="1"/>
  <c r="AE27" i="2000" s="1"/>
  <c r="AB28" i="1999"/>
  <c r="M28" i="1999"/>
  <c r="AD9" i="1999"/>
  <c r="AC6" i="1999"/>
  <c r="P28" i="1999"/>
  <c r="P11" i="1998"/>
  <c r="AC11" i="1998" s="1"/>
  <c r="AD11" i="1998" s="1"/>
  <c r="Q28" i="1998"/>
  <c r="AD8" i="1998"/>
  <c r="AD22" i="1998"/>
  <c r="AD23" i="1998"/>
  <c r="AD24" i="1998"/>
  <c r="AD18" i="1998"/>
  <c r="AD13" i="1998"/>
  <c r="AD20" i="1998"/>
  <c r="AC6" i="1998"/>
  <c r="AD9" i="1998"/>
  <c r="AD16" i="1998"/>
  <c r="O10" i="1998"/>
  <c r="O14" i="1998"/>
  <c r="L28" i="1998"/>
  <c r="O28" i="1998" s="1"/>
  <c r="M6" i="1998"/>
  <c r="AB6" i="1998"/>
  <c r="P10" i="1998"/>
  <c r="AC10" i="1998" s="1"/>
  <c r="AD10" i="1998" s="1"/>
  <c r="M12" i="1998"/>
  <c r="AB12" i="1998"/>
  <c r="AD12" i="1998" s="1"/>
  <c r="P14" i="1998"/>
  <c r="AC14" i="1998" s="1"/>
  <c r="P17" i="1998"/>
  <c r="AC17" i="1998" s="1"/>
  <c r="AD17" i="1998" s="1"/>
  <c r="M19" i="1998"/>
  <c r="AB19" i="1998"/>
  <c r="P21" i="1998"/>
  <c r="AC21" i="1998" s="1"/>
  <c r="AD21" i="1998" s="1"/>
  <c r="O19" i="1998"/>
  <c r="K28" i="1998"/>
  <c r="M10" i="1998"/>
  <c r="M14" i="1998"/>
  <c r="M17" i="1998"/>
  <c r="M21" i="1998"/>
  <c r="O19" i="1997"/>
  <c r="P16" i="1997"/>
  <c r="AC16" i="1997" s="1"/>
  <c r="K16" i="1997"/>
  <c r="O16" i="1997"/>
  <c r="AD16" i="1997" s="1"/>
  <c r="M11" i="1997"/>
  <c r="AB24" i="1997"/>
  <c r="AD26" i="1997"/>
  <c r="AB11" i="1997"/>
  <c r="M24" i="1997"/>
  <c r="K24" i="1997"/>
  <c r="AD8" i="1997"/>
  <c r="AD7" i="1997"/>
  <c r="AD25" i="1997"/>
  <c r="AD14" i="1997"/>
  <c r="AD17" i="1997"/>
  <c r="AD18" i="1997"/>
  <c r="AD19" i="1997"/>
  <c r="P24" i="1997"/>
  <c r="AC24" i="1997" s="1"/>
  <c r="AD24" i="1997" s="1"/>
  <c r="AD27" i="1997"/>
  <c r="Q28" i="1997"/>
  <c r="AD15" i="1997"/>
  <c r="AD23" i="1997"/>
  <c r="AD12" i="1997"/>
  <c r="AD13" i="1997"/>
  <c r="AD22" i="1997"/>
  <c r="AC6" i="1997"/>
  <c r="P28" i="1997"/>
  <c r="M6" i="1997"/>
  <c r="AB6" i="1997"/>
  <c r="O9" i="1997"/>
  <c r="AD9" i="1997" s="1"/>
  <c r="M10" i="1997"/>
  <c r="AB10" i="1997"/>
  <c r="O11" i="1997"/>
  <c r="M20" i="1997"/>
  <c r="AB20" i="1997"/>
  <c r="O21" i="1997"/>
  <c r="AD21" i="1997" s="1"/>
  <c r="L28" i="1997"/>
  <c r="O28" i="1997" s="1"/>
  <c r="O6" i="1997"/>
  <c r="O10" i="1997"/>
  <c r="O20" i="1997"/>
  <c r="AD17" i="1996"/>
  <c r="AE17" i="2000" l="1"/>
  <c r="AE7" i="2000"/>
  <c r="AE10" i="2000"/>
  <c r="AE21" i="2000"/>
  <c r="AE15" i="2000"/>
  <c r="AE19" i="2000"/>
  <c r="AE23" i="2000"/>
  <c r="AE8" i="2000"/>
  <c r="AE22" i="2000"/>
  <c r="AE24" i="2000"/>
  <c r="AE16" i="2000"/>
  <c r="AE9" i="2000"/>
  <c r="AE25" i="2000"/>
  <c r="AE14" i="2000"/>
  <c r="AE13" i="2000"/>
  <c r="AE20" i="2000"/>
  <c r="AE11" i="2000"/>
  <c r="AE6" i="2000"/>
  <c r="AE26" i="2000"/>
  <c r="AE18" i="2000"/>
  <c r="AE12" i="2000"/>
  <c r="AC28" i="1999"/>
  <c r="AD6" i="1999"/>
  <c r="AD28" i="1999" s="1"/>
  <c r="AD14" i="1998"/>
  <c r="AD19" i="1998"/>
  <c r="P28" i="1998"/>
  <c r="AB28" i="1998"/>
  <c r="M28" i="1998"/>
  <c r="AD6" i="1998"/>
  <c r="AC28" i="1998"/>
  <c r="AD11" i="1997"/>
  <c r="AB28" i="1997"/>
  <c r="AD10" i="1997"/>
  <c r="M28" i="1997"/>
  <c r="AD20" i="1997"/>
  <c r="K28" i="1997"/>
  <c r="AD6" i="1997"/>
  <c r="AC28" i="1997"/>
  <c r="K26" i="1996"/>
  <c r="K22" i="1996"/>
  <c r="K21" i="1996"/>
  <c r="K20" i="1996"/>
  <c r="K13" i="1996"/>
  <c r="K12" i="1996"/>
  <c r="K11" i="1996"/>
  <c r="K10" i="1996"/>
  <c r="K9" i="1996"/>
  <c r="K7" i="1996"/>
  <c r="A85" i="1996"/>
  <c r="A86" i="1996" s="1"/>
  <c r="A87" i="1996" s="1"/>
  <c r="A88" i="1996" s="1"/>
  <c r="A89" i="1996" s="1"/>
  <c r="A90" i="1996" s="1"/>
  <c r="AF69" i="1996"/>
  <c r="AF68" i="1996"/>
  <c r="AF71" i="1996" s="1"/>
  <c r="AA30" i="1996"/>
  <c r="Z30" i="1996"/>
  <c r="Y30" i="1996"/>
  <c r="X30" i="1996"/>
  <c r="W30" i="1996"/>
  <c r="V30" i="1996"/>
  <c r="U30" i="1996"/>
  <c r="T30" i="1996"/>
  <c r="S30" i="1996"/>
  <c r="R30" i="1996"/>
  <c r="N30" i="1996"/>
  <c r="J30" i="1996"/>
  <c r="I30" i="1996"/>
  <c r="AF29" i="1996"/>
  <c r="AB29" i="1996"/>
  <c r="Q29" i="1996"/>
  <c r="P29" i="1996"/>
  <c r="AC29" i="1996" s="1"/>
  <c r="AD29" i="1996" s="1"/>
  <c r="O29" i="1996"/>
  <c r="M29" i="1996"/>
  <c r="K29" i="1996"/>
  <c r="AF28" i="1996"/>
  <c r="AB28" i="1996"/>
  <c r="Q28" i="1996"/>
  <c r="P28" i="1996"/>
  <c r="AC28" i="1996" s="1"/>
  <c r="O28" i="1996"/>
  <c r="M28" i="1996"/>
  <c r="K28" i="1996"/>
  <c r="AF27" i="1996"/>
  <c r="AB27" i="1996"/>
  <c r="Q27" i="1996"/>
  <c r="P27" i="1996"/>
  <c r="AC27" i="1996" s="1"/>
  <c r="O27" i="1996"/>
  <c r="M27" i="1996"/>
  <c r="K27" i="1996"/>
  <c r="AF26" i="1996"/>
  <c r="AB26" i="1996"/>
  <c r="Q26" i="1996"/>
  <c r="P26" i="1996" s="1"/>
  <c r="AC26" i="1996" s="1"/>
  <c r="O26" i="1996"/>
  <c r="M26" i="1996"/>
  <c r="AF25" i="1996"/>
  <c r="AB25" i="1996"/>
  <c r="Q25" i="1996"/>
  <c r="P25" i="1996"/>
  <c r="AC25" i="1996" s="1"/>
  <c r="O25" i="1996"/>
  <c r="M25" i="1996"/>
  <c r="K25" i="1996"/>
  <c r="AF24" i="1996"/>
  <c r="AB24" i="1996"/>
  <c r="Q24" i="1996"/>
  <c r="P24" i="1996"/>
  <c r="AC24" i="1996" s="1"/>
  <c r="O24" i="1996"/>
  <c r="M24" i="1996"/>
  <c r="K24" i="1996"/>
  <c r="AF23" i="1996"/>
  <c r="AB23" i="1996"/>
  <c r="Q23" i="1996"/>
  <c r="P23" i="1996" s="1"/>
  <c r="AC23" i="1996" s="1"/>
  <c r="O23" i="1996"/>
  <c r="M23" i="1996"/>
  <c r="AF22" i="1996"/>
  <c r="Q22" i="1996"/>
  <c r="P22" i="1996"/>
  <c r="AC22" i="1996" s="1"/>
  <c r="AF21" i="1996"/>
  <c r="Q21" i="1996"/>
  <c r="P21" i="1996" s="1"/>
  <c r="AC21" i="1996" s="1"/>
  <c r="O21" i="1996"/>
  <c r="AF20" i="1996"/>
  <c r="Q20" i="1996"/>
  <c r="O20" i="1996"/>
  <c r="AB20" i="1996"/>
  <c r="AF19" i="1996"/>
  <c r="AB19" i="1996"/>
  <c r="Q19" i="1996"/>
  <c r="P19" i="1996"/>
  <c r="AC19" i="1996" s="1"/>
  <c r="O19" i="1996"/>
  <c r="M19" i="1996"/>
  <c r="K19" i="1996"/>
  <c r="AF18" i="1996"/>
  <c r="Q18" i="1996"/>
  <c r="P18" i="1996" s="1"/>
  <c r="AC18" i="1996" s="1"/>
  <c r="O18" i="1996"/>
  <c r="AF16" i="1996"/>
  <c r="AC16" i="1996"/>
  <c r="AB16" i="1996"/>
  <c r="Q16" i="1996"/>
  <c r="P16" i="1996"/>
  <c r="O16" i="1996"/>
  <c r="M16" i="1996"/>
  <c r="K16" i="1996"/>
  <c r="AF15" i="1996"/>
  <c r="AB15" i="1996"/>
  <c r="Q15" i="1996"/>
  <c r="P15" i="1996"/>
  <c r="AC15" i="1996" s="1"/>
  <c r="O15" i="1996"/>
  <c r="M15" i="1996"/>
  <c r="AF14" i="1996"/>
  <c r="Q14" i="1996"/>
  <c r="O14" i="1996"/>
  <c r="AB14" i="1996"/>
  <c r="AF13" i="1996"/>
  <c r="AB13" i="1996"/>
  <c r="Q13" i="1996"/>
  <c r="P13" i="1996" s="1"/>
  <c r="AC13" i="1996" s="1"/>
  <c r="O13" i="1996"/>
  <c r="M13" i="1996"/>
  <c r="AF12" i="1996"/>
  <c r="Q12" i="1996"/>
  <c r="P12" i="1996"/>
  <c r="AC12" i="1996" s="1"/>
  <c r="AF11" i="1996"/>
  <c r="AB11" i="1996"/>
  <c r="Q11" i="1996"/>
  <c r="P11" i="1996"/>
  <c r="AC11" i="1996" s="1"/>
  <c r="M11" i="1996"/>
  <c r="O11" i="1996"/>
  <c r="AF10" i="1996"/>
  <c r="Q10" i="1996"/>
  <c r="O10" i="1996"/>
  <c r="AB10" i="1996"/>
  <c r="AF9" i="1996"/>
  <c r="AB9" i="1996"/>
  <c r="Q9" i="1996"/>
  <c r="P9" i="1996"/>
  <c r="AC9" i="1996" s="1"/>
  <c r="O9" i="1996"/>
  <c r="M9" i="1996"/>
  <c r="AF8" i="1996"/>
  <c r="AB8" i="1996"/>
  <c r="Q8" i="1996"/>
  <c r="P8" i="1996"/>
  <c r="AC8" i="1996" s="1"/>
  <c r="O8" i="1996"/>
  <c r="M8" i="1996"/>
  <c r="K8" i="1996"/>
  <c r="AF7" i="1996"/>
  <c r="Q7" i="1996"/>
  <c r="AB7" i="1996"/>
  <c r="AF6" i="1996"/>
  <c r="AB6" i="1996"/>
  <c r="Q6" i="1996"/>
  <c r="P6" i="1996"/>
  <c r="AC6" i="1996" s="1"/>
  <c r="O6" i="1996"/>
  <c r="M6" i="1996"/>
  <c r="Y25" i="16"/>
  <c r="Y24" i="16"/>
  <c r="Y23" i="16"/>
  <c r="Y22" i="16"/>
  <c r="Y21" i="16"/>
  <c r="Y20" i="16"/>
  <c r="Y19" i="16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L22" i="1995"/>
  <c r="AB22" i="1995" s="1"/>
  <c r="L21" i="1995"/>
  <c r="O21" i="1995" s="1"/>
  <c r="L20" i="1995"/>
  <c r="L19" i="1995"/>
  <c r="AB19" i="1995" s="1"/>
  <c r="L17" i="1995"/>
  <c r="L14" i="1995"/>
  <c r="AB14" i="1995" s="1"/>
  <c r="L13" i="1995"/>
  <c r="L12" i="1995"/>
  <c r="K12" i="1995" s="1"/>
  <c r="L11" i="1995"/>
  <c r="K11" i="1995" s="1"/>
  <c r="AF11" i="1995"/>
  <c r="Q11" i="1995"/>
  <c r="O11" i="1995"/>
  <c r="K10" i="1995"/>
  <c r="K10" i="1994"/>
  <c r="L10" i="1995"/>
  <c r="L9" i="1995"/>
  <c r="AB9" i="1995" s="1"/>
  <c r="L7" i="1995"/>
  <c r="O7" i="1995" s="1"/>
  <c r="K25" i="1995"/>
  <c r="K22" i="1995"/>
  <c r="K21" i="1995"/>
  <c r="K20" i="1995"/>
  <c r="K19" i="1995"/>
  <c r="K17" i="1995"/>
  <c r="K14" i="1995"/>
  <c r="K13" i="1995"/>
  <c r="K9" i="1995"/>
  <c r="K8" i="1995"/>
  <c r="K7" i="1995"/>
  <c r="K6" i="1995"/>
  <c r="A84" i="1995"/>
  <c r="A85" i="1995" s="1"/>
  <c r="A86" i="1995" s="1"/>
  <c r="A87" i="1995" s="1"/>
  <c r="A88" i="1995" s="1"/>
  <c r="A89" i="1995" s="1"/>
  <c r="AF68" i="1995"/>
  <c r="AF67" i="1995"/>
  <c r="AF70" i="1995" s="1"/>
  <c r="AA29" i="1995"/>
  <c r="Z29" i="1995"/>
  <c r="Y29" i="1995"/>
  <c r="X29" i="1995"/>
  <c r="W29" i="1995"/>
  <c r="V29" i="1995"/>
  <c r="U29" i="1995"/>
  <c r="T29" i="1995"/>
  <c r="S29" i="1995"/>
  <c r="R29" i="1995"/>
  <c r="N29" i="1995"/>
  <c r="J29" i="1995"/>
  <c r="I29" i="1995"/>
  <c r="AF28" i="1995"/>
  <c r="AB28" i="1995"/>
  <c r="Q28" i="1995"/>
  <c r="P28" i="1995"/>
  <c r="AC28" i="1995" s="1"/>
  <c r="AD28" i="1995" s="1"/>
  <c r="O28" i="1995"/>
  <c r="M28" i="1995"/>
  <c r="K28" i="1995"/>
  <c r="AF27" i="1995"/>
  <c r="AB27" i="1995"/>
  <c r="Q27" i="1995"/>
  <c r="P27" i="1995"/>
  <c r="AC27" i="1995" s="1"/>
  <c r="AD27" i="1995" s="1"/>
  <c r="O27" i="1995"/>
  <c r="M27" i="1995"/>
  <c r="K27" i="1995"/>
  <c r="AF26" i="1995"/>
  <c r="AB26" i="1995"/>
  <c r="Q26" i="1995"/>
  <c r="P26" i="1995"/>
  <c r="AC26" i="1995" s="1"/>
  <c r="O26" i="1995"/>
  <c r="M26" i="1995"/>
  <c r="K26" i="1995"/>
  <c r="AF25" i="1995"/>
  <c r="Q25" i="1995"/>
  <c r="P25" i="1995" s="1"/>
  <c r="AC25" i="1995" s="1"/>
  <c r="M25" i="1995"/>
  <c r="O25" i="1995"/>
  <c r="AF24" i="1995"/>
  <c r="AB24" i="1995"/>
  <c r="Q24" i="1995"/>
  <c r="P24" i="1995"/>
  <c r="AC24" i="1995" s="1"/>
  <c r="O24" i="1995"/>
  <c r="M24" i="1995"/>
  <c r="K24" i="1995"/>
  <c r="AF23" i="1995"/>
  <c r="AB23" i="1995"/>
  <c r="Q23" i="1995"/>
  <c r="P23" i="1995"/>
  <c r="AC23" i="1995" s="1"/>
  <c r="O23" i="1995"/>
  <c r="M23" i="1995"/>
  <c r="K23" i="1995"/>
  <c r="AF22" i="1995"/>
  <c r="Q22" i="1995"/>
  <c r="O22" i="1995"/>
  <c r="AF21" i="1995"/>
  <c r="AB21" i="1995"/>
  <c r="Q21" i="1995"/>
  <c r="P21" i="1995" s="1"/>
  <c r="AC21" i="1995" s="1"/>
  <c r="M21" i="1995"/>
  <c r="AF20" i="1995"/>
  <c r="Q20" i="1995"/>
  <c r="P20" i="1995" s="1"/>
  <c r="AC20" i="1995" s="1"/>
  <c r="AF19" i="1995"/>
  <c r="Q19" i="1995"/>
  <c r="P19" i="1995"/>
  <c r="AC19" i="1995" s="1"/>
  <c r="M19" i="1995"/>
  <c r="AF18" i="1995"/>
  <c r="AB18" i="1995"/>
  <c r="Q18" i="1995"/>
  <c r="P18" i="1995"/>
  <c r="AC18" i="1995" s="1"/>
  <c r="O18" i="1995"/>
  <c r="M18" i="1995"/>
  <c r="K18" i="1995"/>
  <c r="AF17" i="1995"/>
  <c r="Q17" i="1995"/>
  <c r="P17" i="1995"/>
  <c r="AC17" i="1995" s="1"/>
  <c r="AF16" i="1995"/>
  <c r="AB16" i="1995"/>
  <c r="Q16" i="1995"/>
  <c r="P16" i="1995"/>
  <c r="AC16" i="1995" s="1"/>
  <c r="O16" i="1995"/>
  <c r="M16" i="1995"/>
  <c r="K16" i="1995"/>
  <c r="AF15" i="1995"/>
  <c r="AB15" i="1995"/>
  <c r="Q15" i="1995"/>
  <c r="P15" i="1995"/>
  <c r="AC15" i="1995" s="1"/>
  <c r="O15" i="1995"/>
  <c r="M15" i="1995"/>
  <c r="K15" i="1995"/>
  <c r="AF14" i="1995"/>
  <c r="Q14" i="1995"/>
  <c r="P14" i="1995" s="1"/>
  <c r="AC14" i="1995" s="1"/>
  <c r="M14" i="1995"/>
  <c r="AF13" i="1995"/>
  <c r="Q13" i="1995"/>
  <c r="O13" i="1995"/>
  <c r="AB13" i="1995"/>
  <c r="AF12" i="1995"/>
  <c r="AB12" i="1995"/>
  <c r="Q12" i="1995"/>
  <c r="P12" i="1995"/>
  <c r="AC12" i="1995" s="1"/>
  <c r="M12" i="1995"/>
  <c r="AF10" i="1995"/>
  <c r="Q10" i="1995"/>
  <c r="P10" i="1995" s="1"/>
  <c r="AC10" i="1995" s="1"/>
  <c r="AF9" i="1995"/>
  <c r="Q9" i="1995"/>
  <c r="M9" i="1995"/>
  <c r="O9" i="1995"/>
  <c r="AF8" i="1995"/>
  <c r="Q8" i="1995"/>
  <c r="O8" i="1995"/>
  <c r="AB8" i="1995"/>
  <c r="AF7" i="1995"/>
  <c r="Q7" i="1995"/>
  <c r="AF6" i="1995"/>
  <c r="Q6" i="1995"/>
  <c r="P6" i="1995"/>
  <c r="W25" i="16"/>
  <c r="W24" i="16"/>
  <c r="W23" i="16"/>
  <c r="W22" i="16"/>
  <c r="W21" i="16"/>
  <c r="W20" i="16"/>
  <c r="W19" i="16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X25" i="16"/>
  <c r="X24" i="16"/>
  <c r="X23" i="16"/>
  <c r="X22" i="16"/>
  <c r="X21" i="16"/>
  <c r="X20" i="16"/>
  <c r="X19" i="16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24" i="1994"/>
  <c r="L21" i="1994"/>
  <c r="L20" i="1994"/>
  <c r="L19" i="1994"/>
  <c r="AB19" i="1994" s="1"/>
  <c r="L18" i="1994"/>
  <c r="K18" i="1994" s="1"/>
  <c r="L16" i="1994"/>
  <c r="AB16" i="1994" s="1"/>
  <c r="L13" i="1994"/>
  <c r="L12" i="1994"/>
  <c r="L11" i="1994"/>
  <c r="O11" i="1994" s="1"/>
  <c r="K11" i="1994"/>
  <c r="L10" i="1994"/>
  <c r="L9" i="1994"/>
  <c r="AB9" i="1994" s="1"/>
  <c r="K9" i="1994"/>
  <c r="L8" i="1994"/>
  <c r="L7" i="1994"/>
  <c r="AB7" i="1994" s="1"/>
  <c r="L6" i="1994"/>
  <c r="K6" i="1994" s="1"/>
  <c r="K24" i="1994"/>
  <c r="K21" i="1994"/>
  <c r="K20" i="1994"/>
  <c r="K19" i="1994"/>
  <c r="K16" i="1994"/>
  <c r="K13" i="1994"/>
  <c r="K12" i="1994"/>
  <c r="A83" i="1994"/>
  <c r="A84" i="1994" s="1"/>
  <c r="A85" i="1994" s="1"/>
  <c r="A86" i="1994" s="1"/>
  <c r="A87" i="1994" s="1"/>
  <c r="A88" i="1994" s="1"/>
  <c r="AF67" i="1994"/>
  <c r="AF66" i="1994"/>
  <c r="AF69" i="1994" s="1"/>
  <c r="AA28" i="1994"/>
  <c r="Z28" i="1994"/>
  <c r="Y28" i="1994"/>
  <c r="X28" i="1994"/>
  <c r="W28" i="1994"/>
  <c r="V28" i="1994"/>
  <c r="U28" i="1994"/>
  <c r="T28" i="1994"/>
  <c r="S28" i="1994"/>
  <c r="R28" i="1994"/>
  <c r="N28" i="1994"/>
  <c r="J28" i="1994"/>
  <c r="I28" i="1994"/>
  <c r="AF27" i="1994"/>
  <c r="AB27" i="1994"/>
  <c r="Q27" i="1994"/>
  <c r="P27" i="1994"/>
  <c r="AC27" i="1994" s="1"/>
  <c r="AD27" i="1994" s="1"/>
  <c r="O27" i="1994"/>
  <c r="M27" i="1994"/>
  <c r="K27" i="1994"/>
  <c r="AF26" i="1994"/>
  <c r="AC26" i="1994"/>
  <c r="AD26" i="1994" s="1"/>
  <c r="AB26" i="1994"/>
  <c r="Q26" i="1994"/>
  <c r="P26" i="1994"/>
  <c r="O26" i="1994"/>
  <c r="M26" i="1994"/>
  <c r="K26" i="1994"/>
  <c r="AF25" i="1994"/>
  <c r="AB25" i="1994"/>
  <c r="Q25" i="1994"/>
  <c r="P25" i="1994"/>
  <c r="AC25" i="1994" s="1"/>
  <c r="AD25" i="1994" s="1"/>
  <c r="O25" i="1994"/>
  <c r="M25" i="1994"/>
  <c r="K25" i="1994"/>
  <c r="AF24" i="1994"/>
  <c r="AB24" i="1994"/>
  <c r="Q24" i="1994"/>
  <c r="O24" i="1994"/>
  <c r="M24" i="1994"/>
  <c r="P24" i="1994"/>
  <c r="AC24" i="1994" s="1"/>
  <c r="AD24" i="1994" s="1"/>
  <c r="AF23" i="1994"/>
  <c r="AB23" i="1994"/>
  <c r="Q23" i="1994"/>
  <c r="P23" i="1994"/>
  <c r="AC23" i="1994" s="1"/>
  <c r="AD23" i="1994" s="1"/>
  <c r="O23" i="1994"/>
  <c r="M23" i="1994"/>
  <c r="K23" i="1994"/>
  <c r="AF22" i="1994"/>
  <c r="AB22" i="1994"/>
  <c r="Q22" i="1994"/>
  <c r="P22" i="1994"/>
  <c r="AC22" i="1994" s="1"/>
  <c r="AD22" i="1994" s="1"/>
  <c r="O22" i="1994"/>
  <c r="M22" i="1994"/>
  <c r="K22" i="1994"/>
  <c r="AF21" i="1994"/>
  <c r="Q21" i="1994"/>
  <c r="AB21" i="1994"/>
  <c r="AF20" i="1994"/>
  <c r="Q20" i="1994"/>
  <c r="P20" i="1994" s="1"/>
  <c r="AC20" i="1994" s="1"/>
  <c r="O20" i="1994"/>
  <c r="AF19" i="1994"/>
  <c r="AC19" i="1994"/>
  <c r="Q19" i="1994"/>
  <c r="P19" i="1994"/>
  <c r="O19" i="1994"/>
  <c r="M19" i="1994"/>
  <c r="AF18" i="1994"/>
  <c r="AB18" i="1994"/>
  <c r="Q18" i="1994"/>
  <c r="P18" i="1994"/>
  <c r="AC18" i="1994" s="1"/>
  <c r="AF17" i="1994"/>
  <c r="AB17" i="1994"/>
  <c r="Q17" i="1994"/>
  <c r="P17" i="1994"/>
  <c r="AC17" i="1994" s="1"/>
  <c r="O17" i="1994"/>
  <c r="M17" i="1994"/>
  <c r="K17" i="1994"/>
  <c r="AF16" i="1994"/>
  <c r="Q16" i="1994"/>
  <c r="P16" i="1994"/>
  <c r="AC16" i="1994" s="1"/>
  <c r="O16" i="1994"/>
  <c r="AF15" i="1994"/>
  <c r="AC15" i="1994"/>
  <c r="AB15" i="1994"/>
  <c r="Q15" i="1994"/>
  <c r="P15" i="1994"/>
  <c r="O15" i="1994"/>
  <c r="M15" i="1994"/>
  <c r="K15" i="1994"/>
  <c r="AF14" i="1994"/>
  <c r="AB14" i="1994"/>
  <c r="Q14" i="1994"/>
  <c r="P14" i="1994"/>
  <c r="AC14" i="1994" s="1"/>
  <c r="O14" i="1994"/>
  <c r="M14" i="1994"/>
  <c r="K14" i="1994"/>
  <c r="AF13" i="1994"/>
  <c r="AB13" i="1994"/>
  <c r="Q13" i="1994"/>
  <c r="O13" i="1994"/>
  <c r="M13" i="1994"/>
  <c r="P13" i="1994"/>
  <c r="AC13" i="1994" s="1"/>
  <c r="AF12" i="1994"/>
  <c r="Q12" i="1994"/>
  <c r="AB12" i="1994"/>
  <c r="AF11" i="1994"/>
  <c r="Q11" i="1994"/>
  <c r="P11" i="1994" s="1"/>
  <c r="AC11" i="1994" s="1"/>
  <c r="AF10" i="1994"/>
  <c r="AB10" i="1994"/>
  <c r="Q10" i="1994"/>
  <c r="P10" i="1994"/>
  <c r="AC10" i="1994" s="1"/>
  <c r="O10" i="1994"/>
  <c r="M10" i="1994"/>
  <c r="AF9" i="1994"/>
  <c r="Q9" i="1994"/>
  <c r="AF8" i="1994"/>
  <c r="AB8" i="1994"/>
  <c r="Q8" i="1994"/>
  <c r="O8" i="1994"/>
  <c r="M8" i="1994"/>
  <c r="K8" i="1994"/>
  <c r="AF7" i="1994"/>
  <c r="Q7" i="1994"/>
  <c r="AF6" i="1994"/>
  <c r="Q6" i="1994"/>
  <c r="AB6" i="1994"/>
  <c r="L21" i="1993"/>
  <c r="K21" i="1993" s="1"/>
  <c r="L20" i="1993"/>
  <c r="K20" i="1993" s="1"/>
  <c r="L19" i="1993"/>
  <c r="L18" i="1993"/>
  <c r="K18" i="1993" s="1"/>
  <c r="L16" i="1993"/>
  <c r="O16" i="1993" s="1"/>
  <c r="L13" i="1993"/>
  <c r="K13" i="1993" s="1"/>
  <c r="L12" i="1993"/>
  <c r="L11" i="1993"/>
  <c r="K11" i="1993"/>
  <c r="L9" i="1993"/>
  <c r="K9" i="1993" s="1"/>
  <c r="K8" i="1993"/>
  <c r="L7" i="1993"/>
  <c r="K7" i="1993"/>
  <c r="L6" i="1993"/>
  <c r="K6" i="1993" s="1"/>
  <c r="L24" i="1993"/>
  <c r="K24" i="1993" s="1"/>
  <c r="K19" i="1993"/>
  <c r="K17" i="1993"/>
  <c r="K14" i="1993"/>
  <c r="K12" i="1993"/>
  <c r="A83" i="1993"/>
  <c r="A84" i="1993" s="1"/>
  <c r="A85" i="1993" s="1"/>
  <c r="A86" i="1993" s="1"/>
  <c r="A87" i="1993" s="1"/>
  <c r="A88" i="1993" s="1"/>
  <c r="AF67" i="1993"/>
  <c r="AF66" i="1993"/>
  <c r="AF69" i="1993" s="1"/>
  <c r="AA28" i="1993"/>
  <c r="Z28" i="1993"/>
  <c r="Y28" i="1993"/>
  <c r="X28" i="1993"/>
  <c r="W28" i="1993"/>
  <c r="V28" i="1993"/>
  <c r="U28" i="1993"/>
  <c r="T28" i="1993"/>
  <c r="S28" i="1993"/>
  <c r="R28" i="1993"/>
  <c r="N28" i="1993"/>
  <c r="J28" i="1993"/>
  <c r="I28" i="1993"/>
  <c r="AF27" i="1993"/>
  <c r="AB27" i="1993"/>
  <c r="Q27" i="1993"/>
  <c r="P27" i="1993"/>
  <c r="AC27" i="1993" s="1"/>
  <c r="AD27" i="1993" s="1"/>
  <c r="O27" i="1993"/>
  <c r="M27" i="1993"/>
  <c r="K27" i="1993"/>
  <c r="AF26" i="1993"/>
  <c r="AB26" i="1993"/>
  <c r="Q26" i="1993"/>
  <c r="P26" i="1993"/>
  <c r="AC26" i="1993" s="1"/>
  <c r="AD26" i="1993" s="1"/>
  <c r="O26" i="1993"/>
  <c r="M26" i="1993"/>
  <c r="K26" i="1993"/>
  <c r="AF25" i="1993"/>
  <c r="AB25" i="1993"/>
  <c r="Q25" i="1993"/>
  <c r="P25" i="1993"/>
  <c r="AC25" i="1993" s="1"/>
  <c r="O25" i="1993"/>
  <c r="M25" i="1993"/>
  <c r="K25" i="1993"/>
  <c r="AF24" i="1993"/>
  <c r="AB24" i="1993"/>
  <c r="Q24" i="1993"/>
  <c r="P24" i="1993" s="1"/>
  <c r="AC24" i="1993" s="1"/>
  <c r="O24" i="1993"/>
  <c r="M24" i="1993"/>
  <c r="AF23" i="1993"/>
  <c r="AB23" i="1993"/>
  <c r="Q23" i="1993"/>
  <c r="P23" i="1993"/>
  <c r="AC23" i="1993" s="1"/>
  <c r="O23" i="1993"/>
  <c r="M23" i="1993"/>
  <c r="K23" i="1993"/>
  <c r="AF22" i="1993"/>
  <c r="AB22" i="1993"/>
  <c r="Q22" i="1993"/>
  <c r="P22" i="1993"/>
  <c r="AC22" i="1993" s="1"/>
  <c r="O22" i="1993"/>
  <c r="M22" i="1993"/>
  <c r="K22" i="1993"/>
  <c r="AF21" i="1993"/>
  <c r="Q21" i="1993"/>
  <c r="O21" i="1993"/>
  <c r="AB21" i="1993"/>
  <c r="AF20" i="1993"/>
  <c r="AB20" i="1993"/>
  <c r="Q20" i="1993"/>
  <c r="P20" i="1993"/>
  <c r="AC20" i="1993" s="1"/>
  <c r="O20" i="1993"/>
  <c r="M20" i="1993"/>
  <c r="AF19" i="1993"/>
  <c r="AB19" i="1993"/>
  <c r="Q19" i="1993"/>
  <c r="P19" i="1993" s="1"/>
  <c r="AC19" i="1993" s="1"/>
  <c r="O19" i="1993"/>
  <c r="M19" i="1993"/>
  <c r="AF18" i="1993"/>
  <c r="AB18" i="1993"/>
  <c r="Q18" i="1993"/>
  <c r="P18" i="1993" s="1"/>
  <c r="AC18" i="1993" s="1"/>
  <c r="O18" i="1993"/>
  <c r="M18" i="1993"/>
  <c r="AF17" i="1993"/>
  <c r="Q17" i="1993"/>
  <c r="O17" i="1993"/>
  <c r="AB17" i="1993"/>
  <c r="AF16" i="1993"/>
  <c r="Q16" i="1993"/>
  <c r="P16" i="1993"/>
  <c r="AC16" i="1993" s="1"/>
  <c r="K16" i="1993"/>
  <c r="AF15" i="1993"/>
  <c r="AB15" i="1993"/>
  <c r="Q15" i="1993"/>
  <c r="P15" i="1993"/>
  <c r="AC15" i="1993" s="1"/>
  <c r="O15" i="1993"/>
  <c r="M15" i="1993"/>
  <c r="K15" i="1993"/>
  <c r="AF14" i="1993"/>
  <c r="AB14" i="1993"/>
  <c r="Q14" i="1993"/>
  <c r="P14" i="1993"/>
  <c r="AC14" i="1993" s="1"/>
  <c r="AD14" i="1993" s="1"/>
  <c r="O14" i="1993"/>
  <c r="M14" i="1993"/>
  <c r="AF13" i="1993"/>
  <c r="Q13" i="1993"/>
  <c r="AF12" i="1993"/>
  <c r="Q12" i="1993"/>
  <c r="O12" i="1993"/>
  <c r="AB12" i="1993"/>
  <c r="AF11" i="1993"/>
  <c r="AB11" i="1993"/>
  <c r="Q11" i="1993"/>
  <c r="P11" i="1993" s="1"/>
  <c r="AC11" i="1993" s="1"/>
  <c r="M11" i="1993"/>
  <c r="O11" i="1993"/>
  <c r="AF10" i="1993"/>
  <c r="AB10" i="1993"/>
  <c r="Q10" i="1993"/>
  <c r="P10" i="1993"/>
  <c r="AC10" i="1993" s="1"/>
  <c r="O10" i="1993"/>
  <c r="M10" i="1993"/>
  <c r="K10" i="1993"/>
  <c r="AF9" i="1993"/>
  <c r="AB9" i="1993"/>
  <c r="Q9" i="1993"/>
  <c r="AF8" i="1993"/>
  <c r="AB8" i="1993"/>
  <c r="Q8" i="1993"/>
  <c r="P8" i="1993"/>
  <c r="AC8" i="1993" s="1"/>
  <c r="O8" i="1993"/>
  <c r="M8" i="1993"/>
  <c r="AF7" i="1993"/>
  <c r="AB7" i="1993"/>
  <c r="Q7" i="1993"/>
  <c r="P7" i="1993" s="1"/>
  <c r="AC7" i="1993" s="1"/>
  <c r="O7" i="1993"/>
  <c r="M7" i="1993"/>
  <c r="AF6" i="1993"/>
  <c r="Q6" i="1993"/>
  <c r="V25" i="16"/>
  <c r="V24" i="16"/>
  <c r="V23" i="16"/>
  <c r="V22" i="16"/>
  <c r="V21" i="16"/>
  <c r="V20" i="16"/>
  <c r="V19" i="16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K18" i="1992"/>
  <c r="AF18" i="1992"/>
  <c r="AB18" i="1992"/>
  <c r="Q18" i="1992"/>
  <c r="P18" i="1992" s="1"/>
  <c r="AC18" i="1992" s="1"/>
  <c r="O18" i="1992"/>
  <c r="M18" i="1992"/>
  <c r="L22" i="1992"/>
  <c r="K21" i="1992"/>
  <c r="L20" i="1992"/>
  <c r="L17" i="1992"/>
  <c r="K17" i="1992" s="1"/>
  <c r="K16" i="1992"/>
  <c r="L13" i="1992"/>
  <c r="M13" i="1992" s="1"/>
  <c r="L12" i="1992"/>
  <c r="K12" i="1992" s="1"/>
  <c r="L11" i="1992"/>
  <c r="K11" i="1992" s="1"/>
  <c r="L6" i="1992"/>
  <c r="K6" i="1992" s="1"/>
  <c r="L25" i="1992"/>
  <c r="K25" i="1992" s="1"/>
  <c r="K22" i="1992"/>
  <c r="K20" i="1992"/>
  <c r="K19" i="1992"/>
  <c r="K14" i="1992"/>
  <c r="K9" i="1992"/>
  <c r="A84" i="1992"/>
  <c r="A85" i="1992" s="1"/>
  <c r="A86" i="1992" s="1"/>
  <c r="A87" i="1992" s="1"/>
  <c r="A88" i="1992" s="1"/>
  <c r="A89" i="1992" s="1"/>
  <c r="AF68" i="1992"/>
  <c r="AF67" i="1992"/>
  <c r="AF70" i="1992" s="1"/>
  <c r="AA29" i="1992"/>
  <c r="Z29" i="1992"/>
  <c r="Y29" i="1992"/>
  <c r="X29" i="1992"/>
  <c r="W29" i="1992"/>
  <c r="V29" i="1992"/>
  <c r="U29" i="1992"/>
  <c r="T29" i="1992"/>
  <c r="S29" i="1992"/>
  <c r="R29" i="1992"/>
  <c r="N29" i="1992"/>
  <c r="J29" i="1992"/>
  <c r="I29" i="1992"/>
  <c r="AF28" i="1992"/>
  <c r="AB28" i="1992"/>
  <c r="Q28" i="1992"/>
  <c r="P28" i="1992"/>
  <c r="AC28" i="1992" s="1"/>
  <c r="O28" i="1992"/>
  <c r="M28" i="1992"/>
  <c r="K28" i="1992"/>
  <c r="AF27" i="1992"/>
  <c r="AB27" i="1992"/>
  <c r="Q27" i="1992"/>
  <c r="P27" i="1992"/>
  <c r="AC27" i="1992" s="1"/>
  <c r="O27" i="1992"/>
  <c r="M27" i="1992"/>
  <c r="K27" i="1992"/>
  <c r="AF26" i="1992"/>
  <c r="AB26" i="1992"/>
  <c r="Q26" i="1992"/>
  <c r="P26" i="1992"/>
  <c r="AC26" i="1992" s="1"/>
  <c r="O26" i="1992"/>
  <c r="M26" i="1992"/>
  <c r="K26" i="1992"/>
  <c r="AF25" i="1992"/>
  <c r="Q25" i="1992"/>
  <c r="M25" i="1992"/>
  <c r="AF24" i="1992"/>
  <c r="AB24" i="1992"/>
  <c r="Q24" i="1992"/>
  <c r="P24" i="1992"/>
  <c r="AC24" i="1992" s="1"/>
  <c r="O24" i="1992"/>
  <c r="M24" i="1992"/>
  <c r="K24" i="1992"/>
  <c r="AF23" i="1992"/>
  <c r="AB23" i="1992"/>
  <c r="Q23" i="1992"/>
  <c r="P23" i="1992"/>
  <c r="AC23" i="1992" s="1"/>
  <c r="O23" i="1992"/>
  <c r="M23" i="1992"/>
  <c r="K23" i="1992"/>
  <c r="AF22" i="1992"/>
  <c r="Q22" i="1992"/>
  <c r="AB22" i="1992"/>
  <c r="AF21" i="1992"/>
  <c r="Q21" i="1992"/>
  <c r="P21" i="1992" s="1"/>
  <c r="AC21" i="1992" s="1"/>
  <c r="O21" i="1992"/>
  <c r="AB21" i="1992"/>
  <c r="AF20" i="1992"/>
  <c r="AB20" i="1992"/>
  <c r="Q20" i="1992"/>
  <c r="P20" i="1992"/>
  <c r="AC20" i="1992" s="1"/>
  <c r="O20" i="1992"/>
  <c r="M20" i="1992"/>
  <c r="AF19" i="1992"/>
  <c r="AB19" i="1992"/>
  <c r="Q19" i="1992"/>
  <c r="P19" i="1992" s="1"/>
  <c r="AC19" i="1992" s="1"/>
  <c r="O19" i="1992"/>
  <c r="M19" i="1992"/>
  <c r="AF17" i="1992"/>
  <c r="AB17" i="1992"/>
  <c r="Q17" i="1992"/>
  <c r="P17" i="1992" s="1"/>
  <c r="AC17" i="1992" s="1"/>
  <c r="O17" i="1992"/>
  <c r="M17" i="1992"/>
  <c r="AF16" i="1992"/>
  <c r="AB16" i="1992"/>
  <c r="Q16" i="1992"/>
  <c r="P16" i="1992"/>
  <c r="AC16" i="1992" s="1"/>
  <c r="O16" i="1992"/>
  <c r="M16" i="1992"/>
  <c r="AF15" i="1992"/>
  <c r="AB15" i="1992"/>
  <c r="Q15" i="1992"/>
  <c r="P15" i="1992"/>
  <c r="AC15" i="1992" s="1"/>
  <c r="O15" i="1992"/>
  <c r="M15" i="1992"/>
  <c r="K15" i="1992"/>
  <c r="AF14" i="1992"/>
  <c r="AB14" i="1992"/>
  <c r="Q14" i="1992"/>
  <c r="P14" i="1992" s="1"/>
  <c r="AC14" i="1992" s="1"/>
  <c r="O14" i="1992"/>
  <c r="M14" i="1992"/>
  <c r="AF13" i="1992"/>
  <c r="Q13" i="1992"/>
  <c r="O13" i="1992"/>
  <c r="AF12" i="1992"/>
  <c r="Q12" i="1992"/>
  <c r="AF11" i="1992"/>
  <c r="Q11" i="1992"/>
  <c r="M11" i="1992"/>
  <c r="AF10" i="1992"/>
  <c r="AB10" i="1992"/>
  <c r="Q10" i="1992"/>
  <c r="P10" i="1992"/>
  <c r="AC10" i="1992" s="1"/>
  <c r="O10" i="1992"/>
  <c r="M10" i="1992"/>
  <c r="K10" i="1992"/>
  <c r="AF9" i="1992"/>
  <c r="AB9" i="1992"/>
  <c r="Q9" i="1992"/>
  <c r="M9" i="1992"/>
  <c r="O9" i="1992"/>
  <c r="AF8" i="1992"/>
  <c r="AB8" i="1992"/>
  <c r="Q8" i="1992"/>
  <c r="P8" i="1992"/>
  <c r="AC8" i="1992" s="1"/>
  <c r="O8" i="1992"/>
  <c r="M8" i="1992"/>
  <c r="K8" i="1992"/>
  <c r="AF7" i="1992"/>
  <c r="AB7" i="1992"/>
  <c r="Q7" i="1992"/>
  <c r="P7" i="1992"/>
  <c r="AC7" i="1992" s="1"/>
  <c r="O7" i="1992"/>
  <c r="M7" i="1992"/>
  <c r="K7" i="1992"/>
  <c r="AF6" i="1992"/>
  <c r="Q6" i="1992"/>
  <c r="P6" i="1992" s="1"/>
  <c r="U25" i="16"/>
  <c r="U24" i="16"/>
  <c r="U23" i="16"/>
  <c r="U22" i="16"/>
  <c r="U21" i="16"/>
  <c r="U20" i="16"/>
  <c r="U19" i="16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L22" i="1991"/>
  <c r="L21" i="1991"/>
  <c r="K21" i="1991"/>
  <c r="L20" i="1991"/>
  <c r="L19" i="1991"/>
  <c r="K19" i="1991" s="1"/>
  <c r="AF19" i="1991"/>
  <c r="Q19" i="1991"/>
  <c r="P19" i="1991" s="1"/>
  <c r="AC19" i="1991" s="1"/>
  <c r="O19" i="1991"/>
  <c r="L13" i="1991"/>
  <c r="K13" i="1991"/>
  <c r="L12" i="1991"/>
  <c r="L11" i="1991"/>
  <c r="L9" i="1991"/>
  <c r="L6" i="1991"/>
  <c r="P6" i="1991" s="1"/>
  <c r="AC6" i="1991" s="1"/>
  <c r="L25" i="1991"/>
  <c r="O25" i="1991" s="1"/>
  <c r="K25" i="1991"/>
  <c r="K22" i="1991"/>
  <c r="K20" i="1991"/>
  <c r="K18" i="1991"/>
  <c r="K16" i="1991"/>
  <c r="K14" i="1991"/>
  <c r="K12" i="1991"/>
  <c r="K11" i="1991"/>
  <c r="K10" i="1991"/>
  <c r="K9" i="1991"/>
  <c r="K8" i="1991"/>
  <c r="K7" i="1991"/>
  <c r="A85" i="1991"/>
  <c r="A86" i="1991" s="1"/>
  <c r="A87" i="1991" s="1"/>
  <c r="A88" i="1991" s="1"/>
  <c r="A89" i="1991" s="1"/>
  <c r="A84" i="1991"/>
  <c r="AF68" i="1991"/>
  <c r="AF67" i="1991"/>
  <c r="AA29" i="1991"/>
  <c r="Z29" i="1991"/>
  <c r="Y29" i="1991"/>
  <c r="X29" i="1991"/>
  <c r="W29" i="1991"/>
  <c r="V29" i="1991"/>
  <c r="U29" i="1991"/>
  <c r="T29" i="1991"/>
  <c r="S29" i="1991"/>
  <c r="R29" i="1991"/>
  <c r="N29" i="1991"/>
  <c r="J29" i="1991"/>
  <c r="I29" i="1991"/>
  <c r="AF28" i="1991"/>
  <c r="AB28" i="1991"/>
  <c r="Q28" i="1991"/>
  <c r="P28" i="1991"/>
  <c r="AC28" i="1991" s="1"/>
  <c r="AD28" i="1991" s="1"/>
  <c r="O28" i="1991"/>
  <c r="M28" i="1991"/>
  <c r="K28" i="1991"/>
  <c r="AF27" i="1991"/>
  <c r="AB27" i="1991"/>
  <c r="Q27" i="1991"/>
  <c r="P27" i="1991"/>
  <c r="AC27" i="1991" s="1"/>
  <c r="O27" i="1991"/>
  <c r="M27" i="1991"/>
  <c r="K27" i="1991"/>
  <c r="AF26" i="1991"/>
  <c r="AB26" i="1991"/>
  <c r="Q26" i="1991"/>
  <c r="P26" i="1991"/>
  <c r="AC26" i="1991" s="1"/>
  <c r="O26" i="1991"/>
  <c r="M26" i="1991"/>
  <c r="K26" i="1991"/>
  <c r="AF25" i="1991"/>
  <c r="Q25" i="1991"/>
  <c r="AF24" i="1991"/>
  <c r="AB24" i="1991"/>
  <c r="Q24" i="1991"/>
  <c r="P24" i="1991"/>
  <c r="AC24" i="1991" s="1"/>
  <c r="O24" i="1991"/>
  <c r="M24" i="1991"/>
  <c r="K24" i="1991"/>
  <c r="AF23" i="1991"/>
  <c r="AB23" i="1991"/>
  <c r="Q23" i="1991"/>
  <c r="P23" i="1991"/>
  <c r="AC23" i="1991" s="1"/>
  <c r="O23" i="1991"/>
  <c r="M23" i="1991"/>
  <c r="K23" i="1991"/>
  <c r="AF22" i="1991"/>
  <c r="Q22" i="1991"/>
  <c r="AB22" i="1991"/>
  <c r="AF21" i="1991"/>
  <c r="Q21" i="1991"/>
  <c r="P21" i="1991"/>
  <c r="AC21" i="1991" s="1"/>
  <c r="AF20" i="1991"/>
  <c r="Q20" i="1991"/>
  <c r="P20" i="1991" s="1"/>
  <c r="AC20" i="1991" s="1"/>
  <c r="AF18" i="1991"/>
  <c r="Q18" i="1991"/>
  <c r="O18" i="1991"/>
  <c r="AF17" i="1991"/>
  <c r="AB17" i="1991"/>
  <c r="Q17" i="1991"/>
  <c r="P17" i="1991"/>
  <c r="AC17" i="1991" s="1"/>
  <c r="O17" i="1991"/>
  <c r="M17" i="1991"/>
  <c r="K17" i="1991"/>
  <c r="AF16" i="1991"/>
  <c r="Q16" i="1991"/>
  <c r="P16" i="1991"/>
  <c r="AC16" i="1991" s="1"/>
  <c r="AF15" i="1991"/>
  <c r="AB15" i="1991"/>
  <c r="Q15" i="1991"/>
  <c r="P15" i="1991"/>
  <c r="AC15" i="1991" s="1"/>
  <c r="O15" i="1991"/>
  <c r="M15" i="1991"/>
  <c r="K15" i="1991"/>
  <c r="AF14" i="1991"/>
  <c r="AB14" i="1991"/>
  <c r="Q14" i="1991"/>
  <c r="P14" i="1991" s="1"/>
  <c r="AC14" i="1991" s="1"/>
  <c r="M14" i="1991"/>
  <c r="AF13" i="1991"/>
  <c r="Q13" i="1991"/>
  <c r="AF12" i="1991"/>
  <c r="AB12" i="1991"/>
  <c r="Q12" i="1991"/>
  <c r="P12" i="1991"/>
  <c r="AC12" i="1991" s="1"/>
  <c r="M12" i="1991"/>
  <c r="O12" i="1991"/>
  <c r="AF11" i="1991"/>
  <c r="Q11" i="1991"/>
  <c r="O11" i="1991"/>
  <c r="AB11" i="1991"/>
  <c r="AF10" i="1991"/>
  <c r="AB10" i="1991"/>
  <c r="Q10" i="1991"/>
  <c r="P10" i="1991"/>
  <c r="AC10" i="1991" s="1"/>
  <c r="M10" i="1991"/>
  <c r="O10" i="1991"/>
  <c r="AF9" i="1991"/>
  <c r="Q9" i="1991"/>
  <c r="P9" i="1991"/>
  <c r="AC9" i="1991" s="1"/>
  <c r="AF8" i="1991"/>
  <c r="AB8" i="1991"/>
  <c r="Q8" i="1991"/>
  <c r="P8" i="1991"/>
  <c r="AC8" i="1991" s="1"/>
  <c r="M8" i="1991"/>
  <c r="O8" i="1991"/>
  <c r="AF7" i="1991"/>
  <c r="Q7" i="1991"/>
  <c r="O7" i="1991"/>
  <c r="AB7" i="1991"/>
  <c r="AF6" i="1991"/>
  <c r="Q6" i="1991"/>
  <c r="T25" i="16"/>
  <c r="T24" i="16"/>
  <c r="T23" i="16"/>
  <c r="T22" i="16"/>
  <c r="T21" i="16"/>
  <c r="T20" i="16"/>
  <c r="T19" i="16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3" i="16"/>
  <c r="AD28" i="1990"/>
  <c r="L21" i="1990"/>
  <c r="L20" i="1990"/>
  <c r="L19" i="1990"/>
  <c r="L18" i="1990"/>
  <c r="L16" i="1990"/>
  <c r="K16" i="1990"/>
  <c r="L14" i="1990"/>
  <c r="K14" i="1990"/>
  <c r="L13" i="1990"/>
  <c r="L12" i="1990"/>
  <c r="L11" i="1990"/>
  <c r="K11" i="1990" s="1"/>
  <c r="L10" i="1990"/>
  <c r="K10" i="1990" s="1"/>
  <c r="L9" i="1990"/>
  <c r="K9" i="1990" s="1"/>
  <c r="L8" i="1990"/>
  <c r="L7" i="1990"/>
  <c r="K7" i="1990" s="1"/>
  <c r="L6" i="1990"/>
  <c r="L24" i="1990"/>
  <c r="AE27" i="1999" l="1"/>
  <c r="AE25" i="1999"/>
  <c r="AE20" i="1999"/>
  <c r="AE17" i="1999"/>
  <c r="AE12" i="1999"/>
  <c r="AE8" i="1999"/>
  <c r="AE6" i="1999"/>
  <c r="AE23" i="1999"/>
  <c r="AE21" i="1999"/>
  <c r="AE9" i="1999"/>
  <c r="AE26" i="1999"/>
  <c r="AE24" i="1999"/>
  <c r="AE18" i="1999"/>
  <c r="AE16" i="1999"/>
  <c r="AE13" i="1999"/>
  <c r="AE10" i="1999"/>
  <c r="AE11" i="1999"/>
  <c r="AE7" i="1999"/>
  <c r="AE15" i="1999"/>
  <c r="AE22" i="1999"/>
  <c r="AE19" i="1999"/>
  <c r="AE14" i="1999"/>
  <c r="AD28" i="1998"/>
  <c r="AE25" i="1998" s="1"/>
  <c r="AD28" i="1997"/>
  <c r="AE27" i="1997" s="1"/>
  <c r="AD28" i="1996"/>
  <c r="AD8" i="1996"/>
  <c r="AD25" i="1996"/>
  <c r="AD27" i="1996"/>
  <c r="AD15" i="1996"/>
  <c r="Q30" i="1996"/>
  <c r="AD16" i="1996"/>
  <c r="AD19" i="1996"/>
  <c r="AD24" i="1996"/>
  <c r="AD13" i="1996"/>
  <c r="AD23" i="1996"/>
  <c r="AD26" i="1996"/>
  <c r="AD9" i="1996"/>
  <c r="AD6" i="1996"/>
  <c r="AD11" i="1996"/>
  <c r="O7" i="1996"/>
  <c r="L30" i="1996"/>
  <c r="O30" i="1996" s="1"/>
  <c r="P7" i="1996"/>
  <c r="AC7" i="1996" s="1"/>
  <c r="K30" i="1996"/>
  <c r="P10" i="1996"/>
  <c r="AC10" i="1996" s="1"/>
  <c r="AD10" i="1996" s="1"/>
  <c r="M12" i="1996"/>
  <c r="AB12" i="1996"/>
  <c r="P14" i="1996"/>
  <c r="AC14" i="1996" s="1"/>
  <c r="AD14" i="1996" s="1"/>
  <c r="P20" i="1996"/>
  <c r="AC20" i="1996" s="1"/>
  <c r="AD20" i="1996" s="1"/>
  <c r="M22" i="1996"/>
  <c r="AB22" i="1996"/>
  <c r="M18" i="1996"/>
  <c r="AB18" i="1996"/>
  <c r="AD18" i="1996" s="1"/>
  <c r="M21" i="1996"/>
  <c r="AB21" i="1996"/>
  <c r="AD21" i="1996" s="1"/>
  <c r="O22" i="1996"/>
  <c r="O12" i="1996"/>
  <c r="M7" i="1996"/>
  <c r="M10" i="1996"/>
  <c r="M14" i="1996"/>
  <c r="M20" i="1996"/>
  <c r="O19" i="1995"/>
  <c r="AD19" i="1995" s="1"/>
  <c r="O14" i="1995"/>
  <c r="AD14" i="1995" s="1"/>
  <c r="O12" i="1995"/>
  <c r="AD12" i="1995" s="1"/>
  <c r="AB11" i="1995"/>
  <c r="AB7" i="1995"/>
  <c r="AD21" i="1995"/>
  <c r="AD26" i="1995"/>
  <c r="P11" i="1995"/>
  <c r="AC11" i="1995" s="1"/>
  <c r="AD11" i="1995" s="1"/>
  <c r="M7" i="1995"/>
  <c r="AD18" i="1995"/>
  <c r="M11" i="1995"/>
  <c r="P9" i="1995"/>
  <c r="AC9" i="1995" s="1"/>
  <c r="AD9" i="1995" s="1"/>
  <c r="P7" i="1995"/>
  <c r="AC7" i="1995" s="1"/>
  <c r="Q29" i="1995"/>
  <c r="AD16" i="1995"/>
  <c r="AD23" i="1995"/>
  <c r="AD24" i="1995"/>
  <c r="AD15" i="1995"/>
  <c r="AC6" i="1995"/>
  <c r="M6" i="1995"/>
  <c r="AB6" i="1995"/>
  <c r="P8" i="1995"/>
  <c r="AC8" i="1995" s="1"/>
  <c r="AD8" i="1995" s="1"/>
  <c r="M10" i="1995"/>
  <c r="AB10" i="1995"/>
  <c r="P13" i="1995"/>
  <c r="AC13" i="1995" s="1"/>
  <c r="AD13" i="1995" s="1"/>
  <c r="M17" i="1995"/>
  <c r="AB17" i="1995"/>
  <c r="M20" i="1995"/>
  <c r="AB20" i="1995"/>
  <c r="P22" i="1995"/>
  <c r="AC22" i="1995" s="1"/>
  <c r="AD22" i="1995" s="1"/>
  <c r="O6" i="1995"/>
  <c r="O10" i="1995"/>
  <c r="O17" i="1995"/>
  <c r="O20" i="1995"/>
  <c r="AB25" i="1995"/>
  <c r="AD25" i="1995" s="1"/>
  <c r="L29" i="1995"/>
  <c r="O29" i="1995" s="1"/>
  <c r="M8" i="1995"/>
  <c r="M13" i="1995"/>
  <c r="M22" i="1995"/>
  <c r="AD19" i="1994"/>
  <c r="O18" i="1994"/>
  <c r="AD18" i="1994" s="1"/>
  <c r="M18" i="1994"/>
  <c r="M16" i="1994"/>
  <c r="AD16" i="1994"/>
  <c r="P8" i="1994"/>
  <c r="AC8" i="1994" s="1"/>
  <c r="AD8" i="1994" s="1"/>
  <c r="Q28" i="1994"/>
  <c r="M7" i="1994"/>
  <c r="O7" i="1994"/>
  <c r="K7" i="1994"/>
  <c r="P7" i="1994"/>
  <c r="AC7" i="1994" s="1"/>
  <c r="AD7" i="1994" s="1"/>
  <c r="AD17" i="1994"/>
  <c r="AD13" i="1994"/>
  <c r="AD10" i="1994"/>
  <c r="AD15" i="1994"/>
  <c r="AD14" i="1994"/>
  <c r="M6" i="1994"/>
  <c r="M9" i="1994"/>
  <c r="O6" i="1994"/>
  <c r="O9" i="1994"/>
  <c r="M11" i="1994"/>
  <c r="AB11" i="1994"/>
  <c r="AB28" i="1994" s="1"/>
  <c r="O12" i="1994"/>
  <c r="M20" i="1994"/>
  <c r="AB20" i="1994"/>
  <c r="AD20" i="1994" s="1"/>
  <c r="O21" i="1994"/>
  <c r="L28" i="1994"/>
  <c r="O28" i="1994" s="1"/>
  <c r="P6" i="1994"/>
  <c r="P9" i="1994"/>
  <c r="AC9" i="1994" s="1"/>
  <c r="AD9" i="1994" s="1"/>
  <c r="P12" i="1994"/>
  <c r="AC12" i="1994" s="1"/>
  <c r="P21" i="1994"/>
  <c r="AC21" i="1994" s="1"/>
  <c r="M12" i="1994"/>
  <c r="M21" i="1994"/>
  <c r="AD20" i="1993"/>
  <c r="AD8" i="1993"/>
  <c r="M9" i="1993"/>
  <c r="AD10" i="1993"/>
  <c r="AD25" i="1993"/>
  <c r="P6" i="1993"/>
  <c r="O9" i="1993"/>
  <c r="O6" i="1993"/>
  <c r="P9" i="1993"/>
  <c r="AC9" i="1993" s="1"/>
  <c r="AD9" i="1993" s="1"/>
  <c r="P13" i="1993"/>
  <c r="AC13" i="1993" s="1"/>
  <c r="AD18" i="1993"/>
  <c r="M16" i="1993"/>
  <c r="AB16" i="1993"/>
  <c r="AD16" i="1993" s="1"/>
  <c r="M13" i="1993"/>
  <c r="AB13" i="1993"/>
  <c r="O13" i="1993"/>
  <c r="AD13" i="1993" s="1"/>
  <c r="Q28" i="1993"/>
  <c r="AD7" i="1993"/>
  <c r="AD19" i="1993"/>
  <c r="AD22" i="1993"/>
  <c r="AD23" i="1993"/>
  <c r="AD24" i="1993"/>
  <c r="AD15" i="1993"/>
  <c r="AC6" i="1993"/>
  <c r="AD11" i="1993"/>
  <c r="L28" i="1993"/>
  <c r="O28" i="1993" s="1"/>
  <c r="M6" i="1993"/>
  <c r="AB6" i="1993"/>
  <c r="P12" i="1993"/>
  <c r="AC12" i="1993" s="1"/>
  <c r="AD12" i="1993" s="1"/>
  <c r="P17" i="1993"/>
  <c r="AC17" i="1993" s="1"/>
  <c r="AD17" i="1993" s="1"/>
  <c r="P21" i="1993"/>
  <c r="AC21" i="1993" s="1"/>
  <c r="AD21" i="1993" s="1"/>
  <c r="M12" i="1993"/>
  <c r="M17" i="1993"/>
  <c r="M21" i="1993"/>
  <c r="AD18" i="1992"/>
  <c r="P13" i="1992"/>
  <c r="AC13" i="1992" s="1"/>
  <c r="AD28" i="1992"/>
  <c r="AB13" i="1992"/>
  <c r="AD13" i="1992" s="1"/>
  <c r="AB25" i="1992"/>
  <c r="AD27" i="1992"/>
  <c r="K13" i="1992"/>
  <c r="O25" i="1992"/>
  <c r="AD23" i="1992"/>
  <c r="P12" i="1992"/>
  <c r="AC12" i="1992" s="1"/>
  <c r="AD16" i="1992"/>
  <c r="AD20" i="1992"/>
  <c r="AB12" i="1992"/>
  <c r="AD15" i="1992"/>
  <c r="AD24" i="1992"/>
  <c r="AD26" i="1992"/>
  <c r="Q29" i="1992"/>
  <c r="M12" i="1992"/>
  <c r="AD7" i="1992"/>
  <c r="AD8" i="1992"/>
  <c r="AD10" i="1992"/>
  <c r="AD14" i="1992"/>
  <c r="AD17" i="1992"/>
  <c r="AD19" i="1992"/>
  <c r="AD21" i="1992"/>
  <c r="AC6" i="1992"/>
  <c r="M6" i="1992"/>
  <c r="AB6" i="1992"/>
  <c r="AB11" i="1992"/>
  <c r="O12" i="1992"/>
  <c r="O6" i="1992"/>
  <c r="P9" i="1992"/>
  <c r="AC9" i="1992" s="1"/>
  <c r="AD9" i="1992" s="1"/>
  <c r="O11" i="1992"/>
  <c r="M21" i="1992"/>
  <c r="O22" i="1992"/>
  <c r="P25" i="1992"/>
  <c r="AC25" i="1992" s="1"/>
  <c r="AD25" i="1992" s="1"/>
  <c r="L29" i="1992"/>
  <c r="O29" i="1992" s="1"/>
  <c r="K29" i="1992"/>
  <c r="P11" i="1992"/>
  <c r="AC11" i="1992" s="1"/>
  <c r="P22" i="1992"/>
  <c r="AC22" i="1992" s="1"/>
  <c r="M22" i="1992"/>
  <c r="AB19" i="1991"/>
  <c r="AD19" i="1991" s="1"/>
  <c r="M19" i="1991"/>
  <c r="O6" i="1991"/>
  <c r="AB6" i="1991"/>
  <c r="AD15" i="1991"/>
  <c r="AD27" i="1991"/>
  <c r="AF70" i="1991"/>
  <c r="K6" i="1991"/>
  <c r="M6" i="1991"/>
  <c r="AD26" i="1991"/>
  <c r="AD17" i="1991"/>
  <c r="P13" i="1991"/>
  <c r="AC13" i="1991" s="1"/>
  <c r="AD12" i="1991"/>
  <c r="Q29" i="1991"/>
  <c r="AD24" i="1991"/>
  <c r="AD23" i="1991"/>
  <c r="AD10" i="1991"/>
  <c r="AD6" i="1991"/>
  <c r="AD8" i="1991"/>
  <c r="P18" i="1991"/>
  <c r="AC18" i="1991" s="1"/>
  <c r="M21" i="1991"/>
  <c r="AB21" i="1991"/>
  <c r="O22" i="1991"/>
  <c r="P25" i="1991"/>
  <c r="AC25" i="1991" s="1"/>
  <c r="L29" i="1991"/>
  <c r="O29" i="1991" s="1"/>
  <c r="K29" i="1991"/>
  <c r="P7" i="1991"/>
  <c r="AC7" i="1991" s="1"/>
  <c r="AD7" i="1991" s="1"/>
  <c r="M9" i="1991"/>
  <c r="AB9" i="1991"/>
  <c r="P11" i="1991"/>
  <c r="AC11" i="1991" s="1"/>
  <c r="AD11" i="1991" s="1"/>
  <c r="M13" i="1991"/>
  <c r="AB13" i="1991"/>
  <c r="O14" i="1991"/>
  <c r="AD14" i="1991" s="1"/>
  <c r="M16" i="1991"/>
  <c r="AB16" i="1991"/>
  <c r="M20" i="1991"/>
  <c r="AB20" i="1991"/>
  <c r="O21" i="1991"/>
  <c r="AD21" i="1991" s="1"/>
  <c r="P22" i="1991"/>
  <c r="AC22" i="1991" s="1"/>
  <c r="AD22" i="1991" s="1"/>
  <c r="O9" i="1991"/>
  <c r="O13" i="1991"/>
  <c r="O16" i="1991"/>
  <c r="M18" i="1991"/>
  <c r="AB18" i="1991"/>
  <c r="O20" i="1991"/>
  <c r="M25" i="1991"/>
  <c r="AB25" i="1991"/>
  <c r="M7" i="1991"/>
  <c r="M11" i="1991"/>
  <c r="M22" i="1991"/>
  <c r="K24" i="1990"/>
  <c r="K21" i="1990"/>
  <c r="K20" i="1990"/>
  <c r="K19" i="1990"/>
  <c r="K18" i="1990"/>
  <c r="K17" i="1990"/>
  <c r="K13" i="1990"/>
  <c r="K12" i="1990"/>
  <c r="K6" i="1990"/>
  <c r="A83" i="1990"/>
  <c r="A84" i="1990" s="1"/>
  <c r="A85" i="1990" s="1"/>
  <c r="A86" i="1990" s="1"/>
  <c r="A87" i="1990" s="1"/>
  <c r="A88" i="1990" s="1"/>
  <c r="AF69" i="1990"/>
  <c r="AF67" i="1990"/>
  <c r="AF66" i="1990"/>
  <c r="AA28" i="1990"/>
  <c r="Z28" i="1990"/>
  <c r="Y28" i="1990"/>
  <c r="X28" i="1990"/>
  <c r="W28" i="1990"/>
  <c r="V28" i="1990"/>
  <c r="U28" i="1990"/>
  <c r="T28" i="1990"/>
  <c r="S28" i="1990"/>
  <c r="R28" i="1990"/>
  <c r="N28" i="1990"/>
  <c r="J28" i="1990"/>
  <c r="I28" i="1990"/>
  <c r="AF27" i="1990"/>
  <c r="AC27" i="1990"/>
  <c r="AD27" i="1990" s="1"/>
  <c r="AB27" i="1990"/>
  <c r="Q27" i="1990"/>
  <c r="P27" i="1990"/>
  <c r="O27" i="1990"/>
  <c r="M27" i="1990"/>
  <c r="K27" i="1990"/>
  <c r="AF26" i="1990"/>
  <c r="AC26" i="1990"/>
  <c r="AD26" i="1990" s="1"/>
  <c r="AB26" i="1990"/>
  <c r="Q26" i="1990"/>
  <c r="P26" i="1990"/>
  <c r="O26" i="1990"/>
  <c r="M26" i="1990"/>
  <c r="K26" i="1990"/>
  <c r="AF25" i="1990"/>
  <c r="AC25" i="1990"/>
  <c r="AD25" i="1990" s="1"/>
  <c r="AB25" i="1990"/>
  <c r="Q25" i="1990"/>
  <c r="P25" i="1990"/>
  <c r="O25" i="1990"/>
  <c r="M25" i="1990"/>
  <c r="K25" i="1990"/>
  <c r="AF24" i="1990"/>
  <c r="AB24" i="1990"/>
  <c r="Q24" i="1990"/>
  <c r="P24" i="1990" s="1"/>
  <c r="AC24" i="1990" s="1"/>
  <c r="O24" i="1990"/>
  <c r="M24" i="1990"/>
  <c r="AF23" i="1990"/>
  <c r="AB23" i="1990"/>
  <c r="Q23" i="1990"/>
  <c r="P23" i="1990"/>
  <c r="AC23" i="1990" s="1"/>
  <c r="AD23" i="1990" s="1"/>
  <c r="O23" i="1990"/>
  <c r="M23" i="1990"/>
  <c r="K23" i="1990"/>
  <c r="AF22" i="1990"/>
  <c r="AB22" i="1990"/>
  <c r="Q22" i="1990"/>
  <c r="P22" i="1990"/>
  <c r="AC22" i="1990" s="1"/>
  <c r="AD22" i="1990" s="1"/>
  <c r="O22" i="1990"/>
  <c r="M22" i="1990"/>
  <c r="K22" i="1990"/>
  <c r="AF21" i="1990"/>
  <c r="Q21" i="1990"/>
  <c r="O21" i="1990"/>
  <c r="P21" i="1990"/>
  <c r="AC21" i="1990" s="1"/>
  <c r="AF20" i="1990"/>
  <c r="AB20" i="1990"/>
  <c r="Q20" i="1990"/>
  <c r="P20" i="1990"/>
  <c r="AC20" i="1990" s="1"/>
  <c r="O20" i="1990"/>
  <c r="M20" i="1990"/>
  <c r="AF19" i="1990"/>
  <c r="Q19" i="1990"/>
  <c r="O19" i="1990"/>
  <c r="AF18" i="1990"/>
  <c r="AB18" i="1990"/>
  <c r="Q18" i="1990"/>
  <c r="P18" i="1990" s="1"/>
  <c r="AC18" i="1990" s="1"/>
  <c r="M18" i="1990"/>
  <c r="O18" i="1990"/>
  <c r="AF17" i="1990"/>
  <c r="Q17" i="1990"/>
  <c r="O17" i="1990"/>
  <c r="P17" i="1990"/>
  <c r="AC17" i="1990" s="1"/>
  <c r="AF16" i="1990"/>
  <c r="AB16" i="1990"/>
  <c r="Q16" i="1990"/>
  <c r="P16" i="1990"/>
  <c r="AC16" i="1990" s="1"/>
  <c r="O16" i="1990"/>
  <c r="M16" i="1990"/>
  <c r="AF15" i="1990"/>
  <c r="AB15" i="1990"/>
  <c r="Q15" i="1990"/>
  <c r="P15" i="1990"/>
  <c r="AC15" i="1990" s="1"/>
  <c r="AD15" i="1990" s="1"/>
  <c r="O15" i="1990"/>
  <c r="M15" i="1990"/>
  <c r="K15" i="1990"/>
  <c r="AF14" i="1990"/>
  <c r="Q14" i="1990"/>
  <c r="P14" i="1990" s="1"/>
  <c r="AC14" i="1990" s="1"/>
  <c r="O14" i="1990"/>
  <c r="AF13" i="1990"/>
  <c r="AB13" i="1990"/>
  <c r="Q13" i="1990"/>
  <c r="P13" i="1990"/>
  <c r="AC13" i="1990" s="1"/>
  <c r="O13" i="1990"/>
  <c r="M13" i="1990"/>
  <c r="AF12" i="1990"/>
  <c r="Q12" i="1990"/>
  <c r="O12" i="1990"/>
  <c r="AF11" i="1990"/>
  <c r="AB11" i="1990"/>
  <c r="Q11" i="1990"/>
  <c r="P11" i="1990"/>
  <c r="AC11" i="1990" s="1"/>
  <c r="O11" i="1990"/>
  <c r="M11" i="1990"/>
  <c r="AF10" i="1990"/>
  <c r="AB10" i="1990"/>
  <c r="Q10" i="1990"/>
  <c r="P10" i="1990" s="1"/>
  <c r="AC10" i="1990" s="1"/>
  <c r="O10" i="1990"/>
  <c r="M10" i="1990"/>
  <c r="AF9" i="1990"/>
  <c r="AB9" i="1990"/>
  <c r="Q9" i="1990"/>
  <c r="P9" i="1990" s="1"/>
  <c r="AC9" i="1990" s="1"/>
  <c r="M9" i="1990"/>
  <c r="O9" i="1990"/>
  <c r="AF8" i="1990"/>
  <c r="AB8" i="1990"/>
  <c r="Q8" i="1990"/>
  <c r="P8" i="1990"/>
  <c r="AC8" i="1990" s="1"/>
  <c r="O8" i="1990"/>
  <c r="M8" i="1990"/>
  <c r="K8" i="1990"/>
  <c r="AF7" i="1990"/>
  <c r="Q7" i="1990"/>
  <c r="O7" i="1990"/>
  <c r="AF6" i="1990"/>
  <c r="AB6" i="1990"/>
  <c r="Q6" i="1990"/>
  <c r="P6" i="1990"/>
  <c r="M6" i="1990"/>
  <c r="L28" i="1990"/>
  <c r="O28" i="1990" s="1"/>
  <c r="R25" i="16"/>
  <c r="R24" i="16"/>
  <c r="R23" i="16"/>
  <c r="R22" i="16"/>
  <c r="R21" i="16"/>
  <c r="R20" i="16"/>
  <c r="R19" i="16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L21" i="1989"/>
  <c r="L20" i="1989"/>
  <c r="L19" i="1989"/>
  <c r="K19" i="1989" s="1"/>
  <c r="L18" i="1989"/>
  <c r="K18" i="1989" s="1"/>
  <c r="L17" i="1989"/>
  <c r="K17" i="1989" s="1"/>
  <c r="L16" i="1989"/>
  <c r="L14" i="1989"/>
  <c r="L13" i="1989"/>
  <c r="K13" i="1989" s="1"/>
  <c r="L12" i="1989"/>
  <c r="O12" i="1989" s="1"/>
  <c r="L9" i="1989"/>
  <c r="K9" i="1989" s="1"/>
  <c r="K8" i="1989"/>
  <c r="L7" i="1989"/>
  <c r="K7" i="1989"/>
  <c r="L6" i="1989"/>
  <c r="K24" i="1989"/>
  <c r="K21" i="1989"/>
  <c r="K20" i="1989"/>
  <c r="K16" i="1989"/>
  <c r="K10" i="1989"/>
  <c r="K6" i="1989"/>
  <c r="A83" i="1989"/>
  <c r="A84" i="1989" s="1"/>
  <c r="A85" i="1989" s="1"/>
  <c r="A86" i="1989" s="1"/>
  <c r="A87" i="1989" s="1"/>
  <c r="A88" i="1989" s="1"/>
  <c r="AF67" i="1989"/>
  <c r="AF66" i="1989"/>
  <c r="AA28" i="1989"/>
  <c r="Z28" i="1989"/>
  <c r="Y28" i="1989"/>
  <c r="X28" i="1989"/>
  <c r="W28" i="1989"/>
  <c r="V28" i="1989"/>
  <c r="U28" i="1989"/>
  <c r="T28" i="1989"/>
  <c r="S28" i="1989"/>
  <c r="R28" i="1989"/>
  <c r="N28" i="1989"/>
  <c r="J28" i="1989"/>
  <c r="I28" i="1989"/>
  <c r="AF27" i="1989"/>
  <c r="AB27" i="1989"/>
  <c r="Q27" i="1989"/>
  <c r="P27" i="1989"/>
  <c r="AC27" i="1989" s="1"/>
  <c r="AD27" i="1989" s="1"/>
  <c r="O27" i="1989"/>
  <c r="M27" i="1989"/>
  <c r="K27" i="1989"/>
  <c r="AF26" i="1989"/>
  <c r="AB26" i="1989"/>
  <c r="Q26" i="1989"/>
  <c r="P26" i="1989"/>
  <c r="AC26" i="1989" s="1"/>
  <c r="O26" i="1989"/>
  <c r="M26" i="1989"/>
  <c r="K26" i="1989"/>
  <c r="AF25" i="1989"/>
  <c r="AC25" i="1989"/>
  <c r="AD25" i="1989" s="1"/>
  <c r="AB25" i="1989"/>
  <c r="Q25" i="1989"/>
  <c r="P25" i="1989"/>
  <c r="O25" i="1989"/>
  <c r="M25" i="1989"/>
  <c r="K25" i="1989"/>
  <c r="AF24" i="1989"/>
  <c r="Q24" i="1989"/>
  <c r="O24" i="1989"/>
  <c r="AF23" i="1989"/>
  <c r="AB23" i="1989"/>
  <c r="Q23" i="1989"/>
  <c r="P23" i="1989"/>
  <c r="AC23" i="1989" s="1"/>
  <c r="O23" i="1989"/>
  <c r="M23" i="1989"/>
  <c r="K23" i="1989"/>
  <c r="AF22" i="1989"/>
  <c r="AB22" i="1989"/>
  <c r="Q22" i="1989"/>
  <c r="P22" i="1989"/>
  <c r="AC22" i="1989" s="1"/>
  <c r="AD22" i="1989" s="1"/>
  <c r="O22" i="1989"/>
  <c r="M22" i="1989"/>
  <c r="K22" i="1989"/>
  <c r="AF21" i="1989"/>
  <c r="Q21" i="1989"/>
  <c r="P21" i="1989"/>
  <c r="AC21" i="1989" s="1"/>
  <c r="AB21" i="1989"/>
  <c r="AF20" i="1989"/>
  <c r="Q20" i="1989"/>
  <c r="P20" i="1989"/>
  <c r="AC20" i="1989" s="1"/>
  <c r="O20" i="1989"/>
  <c r="AB20" i="1989"/>
  <c r="AF19" i="1989"/>
  <c r="AB19" i="1989"/>
  <c r="Q19" i="1989"/>
  <c r="O19" i="1989"/>
  <c r="M19" i="1989"/>
  <c r="P19" i="1989"/>
  <c r="AC19" i="1989" s="1"/>
  <c r="AF18" i="1989"/>
  <c r="Q18" i="1989"/>
  <c r="AF17" i="1989"/>
  <c r="Q17" i="1989"/>
  <c r="P17" i="1989"/>
  <c r="AC17" i="1989" s="1"/>
  <c r="AB17" i="1989"/>
  <c r="AF16" i="1989"/>
  <c r="Q16" i="1989"/>
  <c r="P16" i="1989"/>
  <c r="AC16" i="1989" s="1"/>
  <c r="O16" i="1989"/>
  <c r="AB16" i="1989"/>
  <c r="AF15" i="1989"/>
  <c r="AB15" i="1989"/>
  <c r="Q15" i="1989"/>
  <c r="P15" i="1989"/>
  <c r="AC15" i="1989" s="1"/>
  <c r="O15" i="1989"/>
  <c r="M15" i="1989"/>
  <c r="K15" i="1989"/>
  <c r="AF14" i="1989"/>
  <c r="AB14" i="1989"/>
  <c r="Q14" i="1989"/>
  <c r="P14" i="1989" s="1"/>
  <c r="AC14" i="1989" s="1"/>
  <c r="O14" i="1989"/>
  <c r="M14" i="1989"/>
  <c r="K14" i="1989"/>
  <c r="AF13" i="1989"/>
  <c r="AB13" i="1989"/>
  <c r="Q13" i="1989"/>
  <c r="O13" i="1989"/>
  <c r="M13" i="1989"/>
  <c r="P13" i="1989"/>
  <c r="AC13" i="1989" s="1"/>
  <c r="AF12" i="1989"/>
  <c r="Q12" i="1989"/>
  <c r="AF11" i="1989"/>
  <c r="AB11" i="1989"/>
  <c r="Q11" i="1989"/>
  <c r="P11" i="1989"/>
  <c r="AC11" i="1989" s="1"/>
  <c r="O11" i="1989"/>
  <c r="M11" i="1989"/>
  <c r="K11" i="1989"/>
  <c r="AF10" i="1989"/>
  <c r="AB10" i="1989"/>
  <c r="Q10" i="1989"/>
  <c r="O10" i="1989"/>
  <c r="M10" i="1989"/>
  <c r="P10" i="1989"/>
  <c r="AC10" i="1989" s="1"/>
  <c r="AF9" i="1989"/>
  <c r="Q9" i="1989"/>
  <c r="O9" i="1989"/>
  <c r="AF8" i="1989"/>
  <c r="Q8" i="1989"/>
  <c r="P8" i="1989"/>
  <c r="AC8" i="1989" s="1"/>
  <c r="AB8" i="1989"/>
  <c r="AF7" i="1989"/>
  <c r="AB7" i="1989"/>
  <c r="Q7" i="1989"/>
  <c r="P7" i="1989" s="1"/>
  <c r="AC7" i="1989" s="1"/>
  <c r="O7" i="1989"/>
  <c r="M7" i="1989"/>
  <c r="AF6" i="1989"/>
  <c r="Q6" i="1989"/>
  <c r="P6" i="1989" s="1"/>
  <c r="AC6" i="1989" s="1"/>
  <c r="O6" i="1989"/>
  <c r="L28" i="1989"/>
  <c r="O28" i="1989" s="1"/>
  <c r="Q25" i="16"/>
  <c r="Q24" i="16"/>
  <c r="Q23" i="16"/>
  <c r="Q22" i="16"/>
  <c r="Q21" i="16"/>
  <c r="Q20" i="16"/>
  <c r="Q19" i="16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L25" i="1988"/>
  <c r="L22" i="1988"/>
  <c r="M22" i="1988" s="1"/>
  <c r="L21" i="1988"/>
  <c r="L20" i="1988"/>
  <c r="K20" i="1988" s="1"/>
  <c r="L19" i="1988"/>
  <c r="L18" i="1988"/>
  <c r="L17" i="1988"/>
  <c r="L14" i="1988"/>
  <c r="K14" i="1988" s="1"/>
  <c r="L13" i="1988"/>
  <c r="K13" i="1988" s="1"/>
  <c r="L11" i="1988"/>
  <c r="K11" i="1988"/>
  <c r="L10" i="1988"/>
  <c r="L9" i="1988"/>
  <c r="K9" i="1988"/>
  <c r="AF9" i="1988"/>
  <c r="AB9" i="1988"/>
  <c r="Q9" i="1988"/>
  <c r="P9" i="1988" s="1"/>
  <c r="AC9" i="1988" s="1"/>
  <c r="AD9" i="1988" s="1"/>
  <c r="O9" i="1988"/>
  <c r="M9" i="1988"/>
  <c r="L6" i="1988"/>
  <c r="K6" i="1988" s="1"/>
  <c r="K28" i="1988"/>
  <c r="K25" i="1988"/>
  <c r="K22" i="1988"/>
  <c r="K21" i="1988"/>
  <c r="K19" i="1988"/>
  <c r="K18" i="1988"/>
  <c r="K17" i="1988"/>
  <c r="K15" i="1988"/>
  <c r="K10" i="1988"/>
  <c r="K8" i="1988"/>
  <c r="A84" i="1988"/>
  <c r="A85" i="1988" s="1"/>
  <c r="A86" i="1988" s="1"/>
  <c r="A87" i="1988" s="1"/>
  <c r="A88" i="1988" s="1"/>
  <c r="A89" i="1988" s="1"/>
  <c r="AF68" i="1988"/>
  <c r="AF67" i="1988"/>
  <c r="AA29" i="1988"/>
  <c r="Z29" i="1988"/>
  <c r="Y29" i="1988"/>
  <c r="X29" i="1988"/>
  <c r="W29" i="1988"/>
  <c r="V29" i="1988"/>
  <c r="U29" i="1988"/>
  <c r="T29" i="1988"/>
  <c r="S29" i="1988"/>
  <c r="R29" i="1988"/>
  <c r="N29" i="1988"/>
  <c r="J29" i="1988"/>
  <c r="I29" i="1988"/>
  <c r="AF28" i="1988"/>
  <c r="Q28" i="1988"/>
  <c r="P28" i="1988"/>
  <c r="AC28" i="1988" s="1"/>
  <c r="AF27" i="1988"/>
  <c r="AB27" i="1988"/>
  <c r="Q27" i="1988"/>
  <c r="P27" i="1988"/>
  <c r="AC27" i="1988" s="1"/>
  <c r="O27" i="1988"/>
  <c r="M27" i="1988"/>
  <c r="K27" i="1988"/>
  <c r="AF26" i="1988"/>
  <c r="AB26" i="1988"/>
  <c r="Q26" i="1988"/>
  <c r="P26" i="1988"/>
  <c r="AC26" i="1988" s="1"/>
  <c r="O26" i="1988"/>
  <c r="M26" i="1988"/>
  <c r="K26" i="1988"/>
  <c r="AF25" i="1988"/>
  <c r="AB25" i="1988"/>
  <c r="Q25" i="1988"/>
  <c r="P25" i="1988"/>
  <c r="AC25" i="1988" s="1"/>
  <c r="O25" i="1988"/>
  <c r="M25" i="1988"/>
  <c r="AF24" i="1988"/>
  <c r="AB24" i="1988"/>
  <c r="Q24" i="1988"/>
  <c r="P24" i="1988"/>
  <c r="AC24" i="1988" s="1"/>
  <c r="O24" i="1988"/>
  <c r="M24" i="1988"/>
  <c r="K24" i="1988"/>
  <c r="AF23" i="1988"/>
  <c r="AB23" i="1988"/>
  <c r="Q23" i="1988"/>
  <c r="P23" i="1988"/>
  <c r="AC23" i="1988" s="1"/>
  <c r="O23" i="1988"/>
  <c r="M23" i="1988"/>
  <c r="K23" i="1988"/>
  <c r="AF22" i="1988"/>
  <c r="Q22" i="1988"/>
  <c r="O22" i="1988"/>
  <c r="AF21" i="1988"/>
  <c r="AB21" i="1988"/>
  <c r="Q21" i="1988"/>
  <c r="P21" i="1988" s="1"/>
  <c r="AC21" i="1988" s="1"/>
  <c r="M21" i="1988"/>
  <c r="AF20" i="1988"/>
  <c r="Q20" i="1988"/>
  <c r="AF19" i="1988"/>
  <c r="AB19" i="1988"/>
  <c r="Q19" i="1988"/>
  <c r="P19" i="1988" s="1"/>
  <c r="AC19" i="1988" s="1"/>
  <c r="O19" i="1988"/>
  <c r="M19" i="1988"/>
  <c r="AF18" i="1988"/>
  <c r="AB18" i="1988"/>
  <c r="Q18" i="1988"/>
  <c r="O18" i="1988"/>
  <c r="M18" i="1988"/>
  <c r="P18" i="1988"/>
  <c r="AC18" i="1988" s="1"/>
  <c r="AF17" i="1988"/>
  <c r="AB17" i="1988"/>
  <c r="Q17" i="1988"/>
  <c r="M17" i="1988"/>
  <c r="P17" i="1988"/>
  <c r="AC17" i="1988" s="1"/>
  <c r="AF16" i="1988"/>
  <c r="AB16" i="1988"/>
  <c r="Q16" i="1988"/>
  <c r="P16" i="1988"/>
  <c r="AC16" i="1988" s="1"/>
  <c r="O16" i="1988"/>
  <c r="M16" i="1988"/>
  <c r="K16" i="1988"/>
  <c r="AF15" i="1988"/>
  <c r="AB15" i="1988"/>
  <c r="Q15" i="1988"/>
  <c r="P15" i="1988" s="1"/>
  <c r="AC15" i="1988" s="1"/>
  <c r="O15" i="1988"/>
  <c r="M15" i="1988"/>
  <c r="AF14" i="1988"/>
  <c r="Q14" i="1988"/>
  <c r="P14" i="1988"/>
  <c r="AC14" i="1988" s="1"/>
  <c r="AF13" i="1988"/>
  <c r="AB13" i="1988"/>
  <c r="Q13" i="1988"/>
  <c r="P13" i="1988"/>
  <c r="AC13" i="1988" s="1"/>
  <c r="O13" i="1988"/>
  <c r="M13" i="1988"/>
  <c r="AF12" i="1988"/>
  <c r="AB12" i="1988"/>
  <c r="Q12" i="1988"/>
  <c r="P12" i="1988"/>
  <c r="AC12" i="1988" s="1"/>
  <c r="O12" i="1988"/>
  <c r="M12" i="1988"/>
  <c r="K12" i="1988"/>
  <c r="AF11" i="1988"/>
  <c r="Q11" i="1988"/>
  <c r="AF10" i="1988"/>
  <c r="AB10" i="1988"/>
  <c r="Q10" i="1988"/>
  <c r="P10" i="1988" s="1"/>
  <c r="AC10" i="1988" s="1"/>
  <c r="O10" i="1988"/>
  <c r="M10" i="1988"/>
  <c r="AF8" i="1988"/>
  <c r="AB8" i="1988"/>
  <c r="Q8" i="1988"/>
  <c r="P8" i="1988" s="1"/>
  <c r="AC8" i="1988" s="1"/>
  <c r="O8" i="1988"/>
  <c r="M8" i="1988"/>
  <c r="AF7" i="1988"/>
  <c r="AB7" i="1988"/>
  <c r="Q7" i="1988"/>
  <c r="P7" i="1988"/>
  <c r="AC7" i="1988" s="1"/>
  <c r="O7" i="1988"/>
  <c r="M7" i="1988"/>
  <c r="K7" i="1988"/>
  <c r="AF6" i="1988"/>
  <c r="Q6" i="1988"/>
  <c r="P6" i="1988"/>
  <c r="AC6" i="1988" s="1"/>
  <c r="P25" i="16"/>
  <c r="P24" i="16"/>
  <c r="P23" i="16"/>
  <c r="P22" i="16"/>
  <c r="P21" i="16"/>
  <c r="P20" i="16"/>
  <c r="P19" i="16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L21" i="1987"/>
  <c r="K21" i="1987" s="1"/>
  <c r="L20" i="1987"/>
  <c r="L19" i="1987"/>
  <c r="K19" i="1987" s="1"/>
  <c r="L18" i="1987"/>
  <c r="K18" i="1987"/>
  <c r="L17" i="1987"/>
  <c r="K17" i="1987" s="1"/>
  <c r="L16" i="1987"/>
  <c r="K16" i="1987" s="1"/>
  <c r="L13" i="1987"/>
  <c r="K13" i="1987" s="1"/>
  <c r="L12" i="1987"/>
  <c r="L10" i="1987"/>
  <c r="K10" i="1987" s="1"/>
  <c r="L9" i="1987"/>
  <c r="L8" i="1987"/>
  <c r="K8" i="1987" s="1"/>
  <c r="L6" i="1987"/>
  <c r="K6" i="1987" s="1"/>
  <c r="L27" i="1987"/>
  <c r="L24" i="1987"/>
  <c r="K27" i="1987"/>
  <c r="K24" i="1987"/>
  <c r="K20" i="1987"/>
  <c r="K14" i="1987"/>
  <c r="K12" i="1987"/>
  <c r="K11" i="1987"/>
  <c r="K9" i="1987"/>
  <c r="K7" i="1987"/>
  <c r="A84" i="1987"/>
  <c r="A85" i="1987" s="1"/>
  <c r="A86" i="1987" s="1"/>
  <c r="A87" i="1987" s="1"/>
  <c r="A88" i="1987" s="1"/>
  <c r="A83" i="1987"/>
  <c r="AF67" i="1987"/>
  <c r="AF66" i="1987"/>
  <c r="AF69" i="1987" s="1"/>
  <c r="AA28" i="1987"/>
  <c r="Z28" i="1987"/>
  <c r="Y28" i="1987"/>
  <c r="X28" i="1987"/>
  <c r="W28" i="1987"/>
  <c r="V28" i="1987"/>
  <c r="U28" i="1987"/>
  <c r="T28" i="1987"/>
  <c r="S28" i="1987"/>
  <c r="R28" i="1987"/>
  <c r="N28" i="1987"/>
  <c r="J28" i="1987"/>
  <c r="I28" i="1987"/>
  <c r="AF27" i="1987"/>
  <c r="Q27" i="1987"/>
  <c r="P27" i="1987" s="1"/>
  <c r="AC27" i="1987" s="1"/>
  <c r="AF26" i="1987"/>
  <c r="AB26" i="1987"/>
  <c r="Q26" i="1987"/>
  <c r="P26" i="1987"/>
  <c r="AC26" i="1987" s="1"/>
  <c r="O26" i="1987"/>
  <c r="M26" i="1987"/>
  <c r="K26" i="1987"/>
  <c r="AF25" i="1987"/>
  <c r="AB25" i="1987"/>
  <c r="Q25" i="1987"/>
  <c r="P25" i="1987"/>
  <c r="AC25" i="1987" s="1"/>
  <c r="O25" i="1987"/>
  <c r="M25" i="1987"/>
  <c r="K25" i="1987"/>
  <c r="AF24" i="1987"/>
  <c r="Q24" i="1987"/>
  <c r="P24" i="1987"/>
  <c r="AC24" i="1987" s="1"/>
  <c r="AF23" i="1987"/>
  <c r="AB23" i="1987"/>
  <c r="Q23" i="1987"/>
  <c r="P23" i="1987"/>
  <c r="AC23" i="1987" s="1"/>
  <c r="O23" i="1987"/>
  <c r="M23" i="1987"/>
  <c r="K23" i="1987"/>
  <c r="AF22" i="1987"/>
  <c r="AB22" i="1987"/>
  <c r="Q22" i="1987"/>
  <c r="P22" i="1987"/>
  <c r="AC22" i="1987" s="1"/>
  <c r="O22" i="1987"/>
  <c r="M22" i="1987"/>
  <c r="K22" i="1987"/>
  <c r="AF21" i="1987"/>
  <c r="Q21" i="1987"/>
  <c r="P21" i="1987" s="1"/>
  <c r="AC21" i="1987" s="1"/>
  <c r="O21" i="1987"/>
  <c r="AF20" i="1987"/>
  <c r="Q20" i="1987"/>
  <c r="P20" i="1987"/>
  <c r="AC20" i="1987" s="1"/>
  <c r="O20" i="1987"/>
  <c r="AB20" i="1987"/>
  <c r="AF19" i="1987"/>
  <c r="Q19" i="1987"/>
  <c r="P19" i="1987"/>
  <c r="AC19" i="1987" s="1"/>
  <c r="O19" i="1987"/>
  <c r="M19" i="1987"/>
  <c r="AF18" i="1987"/>
  <c r="AB18" i="1987"/>
  <c r="Q18" i="1987"/>
  <c r="P18" i="1987"/>
  <c r="AC18" i="1987" s="1"/>
  <c r="O18" i="1987"/>
  <c r="M18" i="1987"/>
  <c r="AF17" i="1987"/>
  <c r="Q17" i="1987"/>
  <c r="P17" i="1987" s="1"/>
  <c r="AC17" i="1987" s="1"/>
  <c r="O17" i="1987"/>
  <c r="AB17" i="1987"/>
  <c r="AF16" i="1987"/>
  <c r="AB16" i="1987"/>
  <c r="Q16" i="1987"/>
  <c r="P16" i="1987" s="1"/>
  <c r="AC16" i="1987" s="1"/>
  <c r="O16" i="1987"/>
  <c r="M16" i="1987"/>
  <c r="AF15" i="1987"/>
  <c r="AB15" i="1987"/>
  <c r="Q15" i="1987"/>
  <c r="P15" i="1987"/>
  <c r="AC15" i="1987" s="1"/>
  <c r="O15" i="1987"/>
  <c r="M15" i="1987"/>
  <c r="K15" i="1987"/>
  <c r="AF14" i="1987"/>
  <c r="Q14" i="1987"/>
  <c r="P14" i="1987" s="1"/>
  <c r="AC14" i="1987" s="1"/>
  <c r="O14" i="1987"/>
  <c r="AB14" i="1987"/>
  <c r="AF13" i="1987"/>
  <c r="Q13" i="1987"/>
  <c r="AF12" i="1987"/>
  <c r="Q12" i="1987"/>
  <c r="AF11" i="1987"/>
  <c r="Q11" i="1987"/>
  <c r="P11" i="1987"/>
  <c r="AC11" i="1987" s="1"/>
  <c r="O11" i="1987"/>
  <c r="AB11" i="1987"/>
  <c r="AF10" i="1987"/>
  <c r="AB10" i="1987"/>
  <c r="Q10" i="1987"/>
  <c r="P10" i="1987"/>
  <c r="AC10" i="1987" s="1"/>
  <c r="O10" i="1987"/>
  <c r="M10" i="1987"/>
  <c r="AF9" i="1987"/>
  <c r="Q9" i="1987"/>
  <c r="P9" i="1987" s="1"/>
  <c r="AC9" i="1987" s="1"/>
  <c r="AF8" i="1987"/>
  <c r="Q8" i="1987"/>
  <c r="AF7" i="1987"/>
  <c r="Q7" i="1987"/>
  <c r="P7" i="1987"/>
  <c r="AC7" i="1987" s="1"/>
  <c r="O7" i="1987"/>
  <c r="AB7" i="1987"/>
  <c r="AF6" i="1987"/>
  <c r="AB6" i="1987"/>
  <c r="Q6" i="1987"/>
  <c r="P6" i="1987"/>
  <c r="AC6" i="1987" s="1"/>
  <c r="AD6" i="1987" s="1"/>
  <c r="O6" i="1987"/>
  <c r="M6" i="1987"/>
  <c r="O25" i="16"/>
  <c r="O24" i="16"/>
  <c r="O23" i="16"/>
  <c r="O22" i="16"/>
  <c r="O21" i="16"/>
  <c r="O20" i="16"/>
  <c r="O19" i="16"/>
  <c r="O18" i="16"/>
  <c r="O17" i="16"/>
  <c r="O16" i="16"/>
  <c r="O15" i="16"/>
  <c r="O14" i="16"/>
  <c r="O13" i="16"/>
  <c r="O12" i="16"/>
  <c r="O11" i="16"/>
  <c r="O10" i="16"/>
  <c r="O9" i="16"/>
  <c r="O8" i="16"/>
  <c r="O7" i="16"/>
  <c r="O6" i="16"/>
  <c r="O5" i="16"/>
  <c r="O4" i="16"/>
  <c r="O3" i="16"/>
  <c r="L22" i="1986"/>
  <c r="L21" i="1986"/>
  <c r="L20" i="1986"/>
  <c r="L18" i="1986"/>
  <c r="L17" i="1986"/>
  <c r="L15" i="1986"/>
  <c r="L14" i="1986"/>
  <c r="L13" i="1986"/>
  <c r="K13" i="1986" s="1"/>
  <c r="AF13" i="1986"/>
  <c r="AB13" i="1986"/>
  <c r="Q13" i="1986"/>
  <c r="P13" i="1986" s="1"/>
  <c r="AC13" i="1986" s="1"/>
  <c r="AD13" i="1986" s="1"/>
  <c r="O13" i="1986"/>
  <c r="M13" i="1986"/>
  <c r="L12" i="1986"/>
  <c r="L11" i="1986"/>
  <c r="L10" i="1986"/>
  <c r="L9" i="1986"/>
  <c r="L8" i="1986"/>
  <c r="L7" i="1986"/>
  <c r="L6" i="1986"/>
  <c r="L28" i="1986"/>
  <c r="L25" i="1986"/>
  <c r="AE10" i="1998" l="1"/>
  <c r="AE27" i="1998"/>
  <c r="AE24" i="1998"/>
  <c r="AE23" i="1998"/>
  <c r="AE12" i="1998"/>
  <c r="AE7" i="1998"/>
  <c r="AE6" i="1998"/>
  <c r="AE13" i="1998"/>
  <c r="AE15" i="1998"/>
  <c r="AE26" i="1998"/>
  <c r="AE16" i="1998"/>
  <c r="AE19" i="1998"/>
  <c r="AE11" i="1998"/>
  <c r="AE17" i="1998"/>
  <c r="AE14" i="1998"/>
  <c r="AE20" i="1998"/>
  <c r="AE8" i="1998"/>
  <c r="AE22" i="1998"/>
  <c r="AE18" i="1998"/>
  <c r="AE21" i="1998"/>
  <c r="AE9" i="1998"/>
  <c r="AE10" i="1997"/>
  <c r="AE9" i="1997"/>
  <c r="AE19" i="1997"/>
  <c r="AE14" i="1997"/>
  <c r="AE21" i="1997"/>
  <c r="AE26" i="1997"/>
  <c r="AE15" i="1997"/>
  <c r="AE22" i="1997"/>
  <c r="AE23" i="1997"/>
  <c r="AE13" i="1997"/>
  <c r="AE20" i="1997"/>
  <c r="AE6" i="1997"/>
  <c r="AE7" i="1997"/>
  <c r="AE18" i="1997"/>
  <c r="AE11" i="1997"/>
  <c r="AE25" i="1997"/>
  <c r="AE16" i="1997"/>
  <c r="AE8" i="1997"/>
  <c r="AE12" i="1997"/>
  <c r="AE24" i="1997"/>
  <c r="AE17" i="1997"/>
  <c r="AD22" i="1996"/>
  <c r="AD7" i="1996"/>
  <c r="AD12" i="1996"/>
  <c r="M30" i="1996"/>
  <c r="AD30" i="1996"/>
  <c r="AE17" i="1996" s="1"/>
  <c r="AC30" i="1996"/>
  <c r="AB30" i="1996"/>
  <c r="P30" i="1996"/>
  <c r="AD17" i="1995"/>
  <c r="AD7" i="1995"/>
  <c r="AD10" i="1995"/>
  <c r="AD20" i="1995"/>
  <c r="P29" i="1995"/>
  <c r="AB29" i="1995"/>
  <c r="K29" i="1995"/>
  <c r="M29" i="1995"/>
  <c r="AD6" i="1995"/>
  <c r="AC29" i="1995"/>
  <c r="AD12" i="1994"/>
  <c r="AD21" i="1994"/>
  <c r="AD11" i="1994"/>
  <c r="P28" i="1994"/>
  <c r="AC6" i="1994"/>
  <c r="M28" i="1994"/>
  <c r="K28" i="1994"/>
  <c r="AB28" i="1993"/>
  <c r="P28" i="1993"/>
  <c r="K28" i="1993"/>
  <c r="M28" i="1993"/>
  <c r="AD6" i="1993"/>
  <c r="AD28" i="1993" s="1"/>
  <c r="AC28" i="1993"/>
  <c r="AD12" i="1992"/>
  <c r="AD22" i="1992"/>
  <c r="AB29" i="1992"/>
  <c r="M29" i="1992"/>
  <c r="AD11" i="1992"/>
  <c r="AC29" i="1992"/>
  <c r="AD6" i="1992"/>
  <c r="P29" i="1992"/>
  <c r="AD9" i="1991"/>
  <c r="AD20" i="1991"/>
  <c r="M29" i="1991"/>
  <c r="AD13" i="1991"/>
  <c r="AD25" i="1991"/>
  <c r="AB29" i="1991"/>
  <c r="P29" i="1991"/>
  <c r="AD16" i="1991"/>
  <c r="AD18" i="1991"/>
  <c r="AC29" i="1991"/>
  <c r="AD13" i="1990"/>
  <c r="AD11" i="1990"/>
  <c r="AD10" i="1990"/>
  <c r="Q28" i="1990"/>
  <c r="AD8" i="1990"/>
  <c r="AD20" i="1990"/>
  <c r="AD16" i="1990"/>
  <c r="AD24" i="1990"/>
  <c r="AD9" i="1990"/>
  <c r="AD18" i="1990"/>
  <c r="O6" i="1990"/>
  <c r="AC6" i="1990"/>
  <c r="P7" i="1990"/>
  <c r="AC7" i="1990" s="1"/>
  <c r="K28" i="1990"/>
  <c r="P12" i="1990"/>
  <c r="AC12" i="1990" s="1"/>
  <c r="M14" i="1990"/>
  <c r="AB14" i="1990"/>
  <c r="AD14" i="1990" s="1"/>
  <c r="M17" i="1990"/>
  <c r="AB17" i="1990"/>
  <c r="AD17" i="1990" s="1"/>
  <c r="P19" i="1990"/>
  <c r="AC19" i="1990" s="1"/>
  <c r="M21" i="1990"/>
  <c r="AB21" i="1990"/>
  <c r="AD21" i="1990" s="1"/>
  <c r="M7" i="1990"/>
  <c r="AB7" i="1990"/>
  <c r="M12" i="1990"/>
  <c r="AB12" i="1990"/>
  <c r="M19" i="1990"/>
  <c r="AB19" i="1990"/>
  <c r="O18" i="1989"/>
  <c r="K12" i="1989"/>
  <c r="AD26" i="1989"/>
  <c r="AF69" i="1989"/>
  <c r="AD10" i="1989"/>
  <c r="AD13" i="1989"/>
  <c r="AD15" i="1989"/>
  <c r="Q28" i="1989"/>
  <c r="AD11" i="1989"/>
  <c r="AD14" i="1989"/>
  <c r="AD23" i="1989"/>
  <c r="AD7" i="1989"/>
  <c r="AD19" i="1989"/>
  <c r="AD16" i="1989"/>
  <c r="AD20" i="1989"/>
  <c r="AB18" i="1989"/>
  <c r="M6" i="1989"/>
  <c r="AB6" i="1989"/>
  <c r="O8" i="1989"/>
  <c r="AD8" i="1989" s="1"/>
  <c r="K28" i="1989"/>
  <c r="P9" i="1989"/>
  <c r="AC9" i="1989" s="1"/>
  <c r="P12" i="1989"/>
  <c r="AC12" i="1989" s="1"/>
  <c r="M16" i="1989"/>
  <c r="O17" i="1989"/>
  <c r="AD17" i="1989" s="1"/>
  <c r="P18" i="1989"/>
  <c r="AC18" i="1989" s="1"/>
  <c r="M20" i="1989"/>
  <c r="O21" i="1989"/>
  <c r="AD21" i="1989" s="1"/>
  <c r="P24" i="1989"/>
  <c r="AC24" i="1989" s="1"/>
  <c r="M24" i="1989"/>
  <c r="AB24" i="1989"/>
  <c r="M9" i="1989"/>
  <c r="AB9" i="1989"/>
  <c r="M12" i="1989"/>
  <c r="AB12" i="1989"/>
  <c r="M18" i="1989"/>
  <c r="M8" i="1989"/>
  <c r="M17" i="1989"/>
  <c r="M21" i="1989"/>
  <c r="P22" i="1988"/>
  <c r="AC22" i="1988" s="1"/>
  <c r="AB22" i="1988"/>
  <c r="AD22" i="1988" s="1"/>
  <c r="P20" i="1988"/>
  <c r="AC20" i="1988" s="1"/>
  <c r="L29" i="1988"/>
  <c r="O29" i="1988" s="1"/>
  <c r="P11" i="1988"/>
  <c r="AC11" i="1988" s="1"/>
  <c r="AC29" i="1988" s="1"/>
  <c r="M6" i="1988"/>
  <c r="AB6" i="1988"/>
  <c r="AD10" i="1988"/>
  <c r="AD16" i="1988"/>
  <c r="O6" i="1988"/>
  <c r="AD7" i="1988"/>
  <c r="AD13" i="1988"/>
  <c r="AD18" i="1988"/>
  <c r="AD19" i="1988"/>
  <c r="AD24" i="1988"/>
  <c r="AF70" i="1988"/>
  <c r="Q29" i="1988"/>
  <c r="AD8" i="1988"/>
  <c r="AD12" i="1988"/>
  <c r="AD15" i="1988"/>
  <c r="AD23" i="1988"/>
  <c r="AD27" i="1988"/>
  <c r="AD26" i="1988"/>
  <c r="AD25" i="1988"/>
  <c r="AD6" i="1988"/>
  <c r="M11" i="1988"/>
  <c r="AB11" i="1988"/>
  <c r="M14" i="1988"/>
  <c r="AB14" i="1988"/>
  <c r="O17" i="1988"/>
  <c r="AD17" i="1988" s="1"/>
  <c r="M20" i="1988"/>
  <c r="AB20" i="1988"/>
  <c r="O21" i="1988"/>
  <c r="AD21" i="1988" s="1"/>
  <c r="M28" i="1988"/>
  <c r="AB28" i="1988"/>
  <c r="O11" i="1988"/>
  <c r="O14" i="1988"/>
  <c r="O20" i="1988"/>
  <c r="O28" i="1988"/>
  <c r="K29" i="1988"/>
  <c r="AB19" i="1987"/>
  <c r="AD19" i="1987" s="1"/>
  <c r="M13" i="1987"/>
  <c r="AB13" i="1987"/>
  <c r="AD13" i="1987" s="1"/>
  <c r="O13" i="1987"/>
  <c r="P13" i="1987"/>
  <c r="AC13" i="1987" s="1"/>
  <c r="L28" i="1987"/>
  <c r="O28" i="1987" s="1"/>
  <c r="O8" i="1987"/>
  <c r="AD16" i="1987"/>
  <c r="AD18" i="1987"/>
  <c r="AD22" i="1987"/>
  <c r="AD26" i="1987"/>
  <c r="P8" i="1987"/>
  <c r="AC8" i="1987" s="1"/>
  <c r="AC28" i="1987" s="1"/>
  <c r="AD25" i="1987"/>
  <c r="AD15" i="1987"/>
  <c r="P12" i="1987"/>
  <c r="AC12" i="1987" s="1"/>
  <c r="Q28" i="1987"/>
  <c r="AD10" i="1987"/>
  <c r="AD23" i="1987"/>
  <c r="AD7" i="1987"/>
  <c r="AD11" i="1987"/>
  <c r="AD14" i="1987"/>
  <c r="AD17" i="1987"/>
  <c r="AD20" i="1987"/>
  <c r="M27" i="1987"/>
  <c r="AB27" i="1987"/>
  <c r="AD27" i="1987" s="1"/>
  <c r="M9" i="1987"/>
  <c r="AB24" i="1987"/>
  <c r="O27" i="1987"/>
  <c r="AB9" i="1987"/>
  <c r="AB12" i="1987"/>
  <c r="M24" i="1987"/>
  <c r="O12" i="1987"/>
  <c r="M12" i="1987"/>
  <c r="M8" i="1987"/>
  <c r="AB8" i="1987"/>
  <c r="O9" i="1987"/>
  <c r="M21" i="1987"/>
  <c r="AB21" i="1987"/>
  <c r="AD21" i="1987" s="1"/>
  <c r="O24" i="1987"/>
  <c r="M7" i="1987"/>
  <c r="K28" i="1987"/>
  <c r="M11" i="1987"/>
  <c r="M14" i="1987"/>
  <c r="M17" i="1987"/>
  <c r="M20" i="1987"/>
  <c r="K28" i="1986"/>
  <c r="K25" i="1986"/>
  <c r="K22" i="1986"/>
  <c r="K21" i="1986"/>
  <c r="K20" i="1986"/>
  <c r="K19" i="1986"/>
  <c r="K18" i="1986"/>
  <c r="K17" i="1986"/>
  <c r="K15" i="1986"/>
  <c r="K14" i="1986"/>
  <c r="K12" i="1986"/>
  <c r="K11" i="1986"/>
  <c r="K10" i="1986"/>
  <c r="K9" i="1986"/>
  <c r="K8" i="1986"/>
  <c r="K6" i="1986"/>
  <c r="A84" i="1986"/>
  <c r="A85" i="1986" s="1"/>
  <c r="A86" i="1986" s="1"/>
  <c r="A87" i="1986" s="1"/>
  <c r="A88" i="1986" s="1"/>
  <c r="A89" i="1986" s="1"/>
  <c r="AF68" i="1986"/>
  <c r="AF67" i="1986"/>
  <c r="AF70" i="1986" s="1"/>
  <c r="AA29" i="1986"/>
  <c r="Z29" i="1986"/>
  <c r="Y29" i="1986"/>
  <c r="X29" i="1986"/>
  <c r="W29" i="1986"/>
  <c r="V29" i="1986"/>
  <c r="U29" i="1986"/>
  <c r="T29" i="1986"/>
  <c r="S29" i="1986"/>
  <c r="R29" i="1986"/>
  <c r="N29" i="1986"/>
  <c r="J29" i="1986"/>
  <c r="I29" i="1986"/>
  <c r="AF28" i="1986"/>
  <c r="Q28" i="1986"/>
  <c r="P28" i="1986"/>
  <c r="AC28" i="1986" s="1"/>
  <c r="O28" i="1986"/>
  <c r="AB28" i="1986"/>
  <c r="AF27" i="1986"/>
  <c r="AB27" i="1986"/>
  <c r="Q27" i="1986"/>
  <c r="P27" i="1986"/>
  <c r="AC27" i="1986" s="1"/>
  <c r="O27" i="1986"/>
  <c r="M27" i="1986"/>
  <c r="K27" i="1986"/>
  <c r="AF26" i="1986"/>
  <c r="AB26" i="1986"/>
  <c r="Q26" i="1986"/>
  <c r="P26" i="1986"/>
  <c r="AC26" i="1986" s="1"/>
  <c r="O26" i="1986"/>
  <c r="M26" i="1986"/>
  <c r="K26" i="1986"/>
  <c r="AF25" i="1986"/>
  <c r="AB25" i="1986"/>
  <c r="Q25" i="1986"/>
  <c r="P25" i="1986"/>
  <c r="AC25" i="1986" s="1"/>
  <c r="AD25" i="1986" s="1"/>
  <c r="O25" i="1986"/>
  <c r="M25" i="1986"/>
  <c r="AF24" i="1986"/>
  <c r="AC24" i="1986"/>
  <c r="AB24" i="1986"/>
  <c r="Q24" i="1986"/>
  <c r="P24" i="1986"/>
  <c r="O24" i="1986"/>
  <c r="M24" i="1986"/>
  <c r="K24" i="1986"/>
  <c r="AF23" i="1986"/>
  <c r="AB23" i="1986"/>
  <c r="Q23" i="1986"/>
  <c r="P23" i="1986"/>
  <c r="AC23" i="1986" s="1"/>
  <c r="O23" i="1986"/>
  <c r="M23" i="1986"/>
  <c r="K23" i="1986"/>
  <c r="AF22" i="1986"/>
  <c r="Q22" i="1986"/>
  <c r="M22" i="1986"/>
  <c r="O22" i="1986"/>
  <c r="AF21" i="1986"/>
  <c r="Q21" i="1986"/>
  <c r="AB21" i="1986"/>
  <c r="AF20" i="1986"/>
  <c r="Q20" i="1986"/>
  <c r="P20" i="1986" s="1"/>
  <c r="AC20" i="1986" s="1"/>
  <c r="O20" i="1986"/>
  <c r="AB20" i="1986"/>
  <c r="AF19" i="1986"/>
  <c r="AB19" i="1986"/>
  <c r="Q19" i="1986"/>
  <c r="P19" i="1986"/>
  <c r="AC19" i="1986" s="1"/>
  <c r="O19" i="1986"/>
  <c r="M19" i="1986"/>
  <c r="AF18" i="1986"/>
  <c r="AB18" i="1986"/>
  <c r="Q18" i="1986"/>
  <c r="M18" i="1986"/>
  <c r="O18" i="1986"/>
  <c r="AF17" i="1986"/>
  <c r="Q17" i="1986"/>
  <c r="AB17" i="1986"/>
  <c r="AF16" i="1986"/>
  <c r="AB16" i="1986"/>
  <c r="Q16" i="1986"/>
  <c r="P16" i="1986"/>
  <c r="AC16" i="1986" s="1"/>
  <c r="O16" i="1986"/>
  <c r="M16" i="1986"/>
  <c r="K16" i="1986"/>
  <c r="AF15" i="1986"/>
  <c r="AB15" i="1986"/>
  <c r="Q15" i="1986"/>
  <c r="M15" i="1986"/>
  <c r="O15" i="1986"/>
  <c r="AF14" i="1986"/>
  <c r="Q14" i="1986"/>
  <c r="AB14" i="1986"/>
  <c r="AF12" i="1986"/>
  <c r="Q12" i="1986"/>
  <c r="P12" i="1986" s="1"/>
  <c r="AC12" i="1986" s="1"/>
  <c r="O12" i="1986"/>
  <c r="AB12" i="1986"/>
  <c r="AF11" i="1986"/>
  <c r="AB11" i="1986"/>
  <c r="Q11" i="1986"/>
  <c r="P11" i="1986" s="1"/>
  <c r="AC11" i="1986" s="1"/>
  <c r="O11" i="1986"/>
  <c r="M11" i="1986"/>
  <c r="AF10" i="1986"/>
  <c r="Q10" i="1986"/>
  <c r="O10" i="1986"/>
  <c r="AF9" i="1986"/>
  <c r="Q9" i="1986"/>
  <c r="P9" i="1986" s="1"/>
  <c r="AC9" i="1986" s="1"/>
  <c r="AB9" i="1986"/>
  <c r="AF8" i="1986"/>
  <c r="Q8" i="1986"/>
  <c r="P8" i="1986" s="1"/>
  <c r="AC8" i="1986" s="1"/>
  <c r="O8" i="1986"/>
  <c r="AB8" i="1986"/>
  <c r="AF7" i="1986"/>
  <c r="AB7" i="1986"/>
  <c r="Q7" i="1986"/>
  <c r="P7" i="1986" s="1"/>
  <c r="AC7" i="1986" s="1"/>
  <c r="O7" i="1986"/>
  <c r="M7" i="1986"/>
  <c r="K7" i="1986"/>
  <c r="AF6" i="1986"/>
  <c r="Q6" i="1986"/>
  <c r="L29" i="1986"/>
  <c r="O29" i="1986" s="1"/>
  <c r="N25" i="16"/>
  <c r="N24" i="16"/>
  <c r="N23" i="16"/>
  <c r="N22" i="16"/>
  <c r="N21" i="16"/>
  <c r="N20" i="16"/>
  <c r="N19" i="16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N3" i="16"/>
  <c r="L21" i="1985"/>
  <c r="K21" i="1985"/>
  <c r="L20" i="1985"/>
  <c r="L19" i="1985"/>
  <c r="L18" i="1985"/>
  <c r="L17" i="1985"/>
  <c r="M17" i="1985"/>
  <c r="L16" i="1985"/>
  <c r="P16" i="1985" s="1"/>
  <c r="AC16" i="1985" s="1"/>
  <c r="L14" i="1985"/>
  <c r="K14" i="1985" s="1"/>
  <c r="L13" i="1985"/>
  <c r="K13" i="1985" s="1"/>
  <c r="L12" i="1985"/>
  <c r="L11" i="1985"/>
  <c r="L10" i="1985"/>
  <c r="K10" i="1985" s="1"/>
  <c r="L9" i="1985"/>
  <c r="L8" i="1985"/>
  <c r="L6" i="1985"/>
  <c r="L27" i="1985"/>
  <c r="K27" i="1985" s="1"/>
  <c r="L24" i="1985"/>
  <c r="K20" i="1985"/>
  <c r="K19" i="1985"/>
  <c r="K12" i="1985"/>
  <c r="K9" i="1985"/>
  <c r="A85" i="1985"/>
  <c r="A86" i="1985" s="1"/>
  <c r="A87" i="1985" s="1"/>
  <c r="A88" i="1985" s="1"/>
  <c r="A84" i="1985"/>
  <c r="A83" i="1985"/>
  <c r="AF67" i="1985"/>
  <c r="AF66" i="1985"/>
  <c r="AF69" i="1985" s="1"/>
  <c r="AA28" i="1985"/>
  <c r="Z28" i="1985"/>
  <c r="Y28" i="1985"/>
  <c r="X28" i="1985"/>
  <c r="W28" i="1985"/>
  <c r="V28" i="1985"/>
  <c r="U28" i="1985"/>
  <c r="T28" i="1985"/>
  <c r="S28" i="1985"/>
  <c r="R28" i="1985"/>
  <c r="N28" i="1985"/>
  <c r="J28" i="1985"/>
  <c r="I28" i="1985"/>
  <c r="AF27" i="1985"/>
  <c r="Q27" i="1985"/>
  <c r="P27" i="1985"/>
  <c r="AC27" i="1985" s="1"/>
  <c r="AF26" i="1985"/>
  <c r="AB26" i="1985"/>
  <c r="Q26" i="1985"/>
  <c r="P26" i="1985"/>
  <c r="AC26" i="1985" s="1"/>
  <c r="AD26" i="1985" s="1"/>
  <c r="O26" i="1985"/>
  <c r="M26" i="1985"/>
  <c r="K26" i="1985"/>
  <c r="AF25" i="1985"/>
  <c r="AB25" i="1985"/>
  <c r="Q25" i="1985"/>
  <c r="P25" i="1985"/>
  <c r="AC25" i="1985" s="1"/>
  <c r="AD25" i="1985" s="1"/>
  <c r="O25" i="1985"/>
  <c r="M25" i="1985"/>
  <c r="K25" i="1985"/>
  <c r="AF24" i="1985"/>
  <c r="Q24" i="1985"/>
  <c r="AF23" i="1985"/>
  <c r="AB23" i="1985"/>
  <c r="Q23" i="1985"/>
  <c r="P23" i="1985"/>
  <c r="AC23" i="1985" s="1"/>
  <c r="O23" i="1985"/>
  <c r="M23" i="1985"/>
  <c r="K23" i="1985"/>
  <c r="AF22" i="1985"/>
  <c r="AB22" i="1985"/>
  <c r="Q22" i="1985"/>
  <c r="P22" i="1985"/>
  <c r="AC22" i="1985" s="1"/>
  <c r="O22" i="1985"/>
  <c r="M22" i="1985"/>
  <c r="K22" i="1985"/>
  <c r="AF21" i="1985"/>
  <c r="AB21" i="1985"/>
  <c r="Q21" i="1985"/>
  <c r="P21" i="1985" s="1"/>
  <c r="AC21" i="1985" s="1"/>
  <c r="O21" i="1985"/>
  <c r="M21" i="1985"/>
  <c r="AF20" i="1985"/>
  <c r="AB20" i="1985"/>
  <c r="Q20" i="1985"/>
  <c r="M20" i="1985"/>
  <c r="P20" i="1985"/>
  <c r="AC20" i="1985" s="1"/>
  <c r="AF19" i="1985"/>
  <c r="Q19" i="1985"/>
  <c r="P19" i="1985"/>
  <c r="AC19" i="1985" s="1"/>
  <c r="AF18" i="1985"/>
  <c r="AB18" i="1985"/>
  <c r="Q18" i="1985"/>
  <c r="P18" i="1985"/>
  <c r="AC18" i="1985" s="1"/>
  <c r="O18" i="1985"/>
  <c r="M18" i="1985"/>
  <c r="K18" i="1985"/>
  <c r="AF17" i="1985"/>
  <c r="AB17" i="1985"/>
  <c r="Q17" i="1985"/>
  <c r="P17" i="1985" s="1"/>
  <c r="AC17" i="1985" s="1"/>
  <c r="AF16" i="1985"/>
  <c r="Q16" i="1985"/>
  <c r="AF15" i="1985"/>
  <c r="AB15" i="1985"/>
  <c r="Q15" i="1985"/>
  <c r="P15" i="1985"/>
  <c r="AC15" i="1985" s="1"/>
  <c r="O15" i="1985"/>
  <c r="M15" i="1985"/>
  <c r="K15" i="1985"/>
  <c r="AF14" i="1985"/>
  <c r="AB14" i="1985"/>
  <c r="Q14" i="1985"/>
  <c r="P14" i="1985" s="1"/>
  <c r="AC14" i="1985" s="1"/>
  <c r="O14" i="1985"/>
  <c r="M14" i="1985"/>
  <c r="AF13" i="1985"/>
  <c r="AB13" i="1985"/>
  <c r="Q13" i="1985"/>
  <c r="O13" i="1985"/>
  <c r="M13" i="1985"/>
  <c r="AF12" i="1985"/>
  <c r="AB12" i="1985"/>
  <c r="Q12" i="1985"/>
  <c r="P12" i="1985" s="1"/>
  <c r="AC12" i="1985" s="1"/>
  <c r="AD12" i="1985" s="1"/>
  <c r="O12" i="1985"/>
  <c r="M12" i="1985"/>
  <c r="AF11" i="1985"/>
  <c r="AB11" i="1985"/>
  <c r="Q11" i="1985"/>
  <c r="P11" i="1985" s="1"/>
  <c r="AC11" i="1985" s="1"/>
  <c r="AD11" i="1985" s="1"/>
  <c r="O11" i="1985"/>
  <c r="M11" i="1985"/>
  <c r="K11" i="1985"/>
  <c r="AF10" i="1985"/>
  <c r="AB10" i="1985"/>
  <c r="Q10" i="1985"/>
  <c r="P10" i="1985" s="1"/>
  <c r="AC10" i="1985" s="1"/>
  <c r="O10" i="1985"/>
  <c r="M10" i="1985"/>
  <c r="AF9" i="1985"/>
  <c r="AB9" i="1985"/>
  <c r="Q9" i="1985"/>
  <c r="P9" i="1985" s="1"/>
  <c r="AC9" i="1985" s="1"/>
  <c r="M9" i="1985"/>
  <c r="AF8" i="1985"/>
  <c r="Q8" i="1985"/>
  <c r="O8" i="1985"/>
  <c r="K8" i="1985"/>
  <c r="AF7" i="1985"/>
  <c r="AC7" i="1985"/>
  <c r="AD7" i="1985" s="1"/>
  <c r="AB7" i="1985"/>
  <c r="Q7" i="1985"/>
  <c r="P7" i="1985"/>
  <c r="O7" i="1985"/>
  <c r="M7" i="1985"/>
  <c r="K7" i="1985"/>
  <c r="AF6" i="1985"/>
  <c r="AB6" i="1985"/>
  <c r="Q6" i="1985"/>
  <c r="P6" i="1985" s="1"/>
  <c r="AC6" i="1985" s="1"/>
  <c r="O6" i="1985"/>
  <c r="M6" i="1985"/>
  <c r="K6" i="1985"/>
  <c r="M25" i="16"/>
  <c r="M24" i="16"/>
  <c r="M23" i="16"/>
  <c r="M22" i="16"/>
  <c r="M21" i="16"/>
  <c r="M20" i="16"/>
  <c r="M19" i="16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L20" i="1984"/>
  <c r="K20" i="1984"/>
  <c r="L19" i="1984"/>
  <c r="AB19" i="1984" s="1"/>
  <c r="L17" i="1984"/>
  <c r="L16" i="1984"/>
  <c r="K16" i="1984" s="1"/>
  <c r="L13" i="1984"/>
  <c r="K13" i="1984" s="1"/>
  <c r="L12" i="1984"/>
  <c r="K12" i="1984" s="1"/>
  <c r="L9" i="1984"/>
  <c r="K9" i="1984" s="1"/>
  <c r="K8" i="1984"/>
  <c r="L27" i="1984"/>
  <c r="AB27" i="1984" s="1"/>
  <c r="L24" i="1984"/>
  <c r="K24" i="1984"/>
  <c r="K17" i="1984"/>
  <c r="A83" i="1984"/>
  <c r="A84" i="1984" s="1"/>
  <c r="A85" i="1984" s="1"/>
  <c r="A86" i="1984" s="1"/>
  <c r="A87" i="1984" s="1"/>
  <c r="A88" i="1984" s="1"/>
  <c r="AF67" i="1984"/>
  <c r="AF66" i="1984"/>
  <c r="AF69" i="1984" s="1"/>
  <c r="AA28" i="1984"/>
  <c r="Z28" i="1984"/>
  <c r="Y28" i="1984"/>
  <c r="X28" i="1984"/>
  <c r="W28" i="1984"/>
  <c r="V28" i="1984"/>
  <c r="U28" i="1984"/>
  <c r="T28" i="1984"/>
  <c r="S28" i="1984"/>
  <c r="R28" i="1984"/>
  <c r="N28" i="1984"/>
  <c r="J28" i="1984"/>
  <c r="I28" i="1984"/>
  <c r="AF27" i="1984"/>
  <c r="Q27" i="1984"/>
  <c r="M27" i="1984"/>
  <c r="O27" i="1984"/>
  <c r="AF26" i="1984"/>
  <c r="AB26" i="1984"/>
  <c r="Q26" i="1984"/>
  <c r="P26" i="1984"/>
  <c r="AC26" i="1984" s="1"/>
  <c r="AD26" i="1984" s="1"/>
  <c r="O26" i="1984"/>
  <c r="M26" i="1984"/>
  <c r="K26" i="1984"/>
  <c r="AF25" i="1984"/>
  <c r="AB25" i="1984"/>
  <c r="Q25" i="1984"/>
  <c r="P25" i="1984"/>
  <c r="AC25" i="1984" s="1"/>
  <c r="O25" i="1984"/>
  <c r="M25" i="1984"/>
  <c r="K25" i="1984"/>
  <c r="AF24" i="1984"/>
  <c r="AB24" i="1984"/>
  <c r="Q24" i="1984"/>
  <c r="P24" i="1984"/>
  <c r="AC24" i="1984" s="1"/>
  <c r="O24" i="1984"/>
  <c r="M24" i="1984"/>
  <c r="AF23" i="1984"/>
  <c r="AB23" i="1984"/>
  <c r="Q23" i="1984"/>
  <c r="P23" i="1984"/>
  <c r="AC23" i="1984" s="1"/>
  <c r="AD23" i="1984" s="1"/>
  <c r="O23" i="1984"/>
  <c r="M23" i="1984"/>
  <c r="K23" i="1984"/>
  <c r="AF22" i="1984"/>
  <c r="AB22" i="1984"/>
  <c r="Q22" i="1984"/>
  <c r="P22" i="1984"/>
  <c r="AC22" i="1984" s="1"/>
  <c r="AD22" i="1984" s="1"/>
  <c r="O22" i="1984"/>
  <c r="M22" i="1984"/>
  <c r="K22" i="1984"/>
  <c r="AF21" i="1984"/>
  <c r="AB21" i="1984"/>
  <c r="Q21" i="1984"/>
  <c r="P21" i="1984"/>
  <c r="AC21" i="1984" s="1"/>
  <c r="AD21" i="1984" s="1"/>
  <c r="O21" i="1984"/>
  <c r="M21" i="1984"/>
  <c r="K21" i="1984"/>
  <c r="AF20" i="1984"/>
  <c r="Q20" i="1984"/>
  <c r="P20" i="1984"/>
  <c r="AC20" i="1984" s="1"/>
  <c r="AF19" i="1984"/>
  <c r="Q19" i="1984"/>
  <c r="P19" i="1984" s="1"/>
  <c r="AC19" i="1984" s="1"/>
  <c r="O19" i="1984"/>
  <c r="M19" i="1984"/>
  <c r="AF18" i="1984"/>
  <c r="AB18" i="1984"/>
  <c r="Q18" i="1984"/>
  <c r="P18" i="1984"/>
  <c r="AC18" i="1984" s="1"/>
  <c r="O18" i="1984"/>
  <c r="M18" i="1984"/>
  <c r="K18" i="1984"/>
  <c r="AF17" i="1984"/>
  <c r="Q17" i="1984"/>
  <c r="P17" i="1984" s="1"/>
  <c r="AC17" i="1984" s="1"/>
  <c r="AF16" i="1984"/>
  <c r="AB16" i="1984"/>
  <c r="Q16" i="1984"/>
  <c r="P16" i="1984"/>
  <c r="AC16" i="1984" s="1"/>
  <c r="O16" i="1984"/>
  <c r="M16" i="1984"/>
  <c r="AF15" i="1984"/>
  <c r="AB15" i="1984"/>
  <c r="Q15" i="1984"/>
  <c r="P15" i="1984"/>
  <c r="AC15" i="1984" s="1"/>
  <c r="AD15" i="1984" s="1"/>
  <c r="O15" i="1984"/>
  <c r="M15" i="1984"/>
  <c r="K15" i="1984"/>
  <c r="AF14" i="1984"/>
  <c r="AB14" i="1984"/>
  <c r="Q14" i="1984"/>
  <c r="P14" i="1984"/>
  <c r="AC14" i="1984" s="1"/>
  <c r="O14" i="1984"/>
  <c r="M14" i="1984"/>
  <c r="K14" i="1984"/>
  <c r="AF13" i="1984"/>
  <c r="Q13" i="1984"/>
  <c r="O13" i="1984"/>
  <c r="AB13" i="1984"/>
  <c r="AF12" i="1984"/>
  <c r="AB12" i="1984"/>
  <c r="Q12" i="1984"/>
  <c r="P12" i="1984"/>
  <c r="AC12" i="1984" s="1"/>
  <c r="M12" i="1984"/>
  <c r="O12" i="1984"/>
  <c r="AF11" i="1984"/>
  <c r="AC11" i="1984"/>
  <c r="AB11" i="1984"/>
  <c r="Q11" i="1984"/>
  <c r="P11" i="1984"/>
  <c r="O11" i="1984"/>
  <c r="M11" i="1984"/>
  <c r="K11" i="1984"/>
  <c r="AF10" i="1984"/>
  <c r="AB10" i="1984"/>
  <c r="Q10" i="1984"/>
  <c r="P10" i="1984"/>
  <c r="AC10" i="1984" s="1"/>
  <c r="AD10" i="1984" s="1"/>
  <c r="O10" i="1984"/>
  <c r="M10" i="1984"/>
  <c r="K10" i="1984"/>
  <c r="AF9" i="1984"/>
  <c r="Q9" i="1984"/>
  <c r="P9" i="1984" s="1"/>
  <c r="AC9" i="1984" s="1"/>
  <c r="AF8" i="1984"/>
  <c r="AB8" i="1984"/>
  <c r="Q8" i="1984"/>
  <c r="P8" i="1984"/>
  <c r="AC8" i="1984" s="1"/>
  <c r="O8" i="1984"/>
  <c r="M8" i="1984"/>
  <c r="L28" i="1984"/>
  <c r="O28" i="1984" s="1"/>
  <c r="AF7" i="1984"/>
  <c r="AC7" i="1984"/>
  <c r="AB7" i="1984"/>
  <c r="Q7" i="1984"/>
  <c r="P7" i="1984"/>
  <c r="O7" i="1984"/>
  <c r="M7" i="1984"/>
  <c r="K7" i="1984"/>
  <c r="AF6" i="1984"/>
  <c r="AC6" i="1984"/>
  <c r="AD6" i="1984" s="1"/>
  <c r="AB6" i="1984"/>
  <c r="Q6" i="1984"/>
  <c r="P6" i="1984"/>
  <c r="O6" i="1984"/>
  <c r="M6" i="1984"/>
  <c r="K6" i="1984"/>
  <c r="K25" i="16"/>
  <c r="K24" i="16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AE29" i="1996" l="1"/>
  <c r="AE27" i="1996"/>
  <c r="AE25" i="1996"/>
  <c r="AE23" i="1996"/>
  <c r="AE19" i="1996"/>
  <c r="AE13" i="1996"/>
  <c r="AE9" i="1996"/>
  <c r="AE6" i="1996"/>
  <c r="AE14" i="1996"/>
  <c r="AE10" i="1996"/>
  <c r="AE20" i="1996"/>
  <c r="AE16" i="1996"/>
  <c r="AE28" i="1996"/>
  <c r="AE26" i="1996"/>
  <c r="AE24" i="1996"/>
  <c r="AE21" i="1996"/>
  <c r="AE18" i="1996"/>
  <c r="AE11" i="1996"/>
  <c r="AE22" i="1996"/>
  <c r="AE15" i="1996"/>
  <c r="AE12" i="1996"/>
  <c r="AE8" i="1996"/>
  <c r="AE7" i="1996"/>
  <c r="AD29" i="1995"/>
  <c r="AC28" i="1994"/>
  <c r="AD6" i="1994"/>
  <c r="AD28" i="1994" s="1"/>
  <c r="AE27" i="1993"/>
  <c r="AE25" i="1993"/>
  <c r="AE20" i="1993"/>
  <c r="AE16" i="1993"/>
  <c r="AE14" i="1993"/>
  <c r="AE11" i="1993"/>
  <c r="AE21" i="1993"/>
  <c r="AE17" i="1993"/>
  <c r="AE12" i="1993"/>
  <c r="AE23" i="1993"/>
  <c r="AE9" i="1993"/>
  <c r="AE7" i="1993"/>
  <c r="AE26" i="1993"/>
  <c r="AE24" i="1993"/>
  <c r="AE19" i="1993"/>
  <c r="AE15" i="1993"/>
  <c r="AE13" i="1993"/>
  <c r="AE22" i="1993"/>
  <c r="AE18" i="1993"/>
  <c r="AE10" i="1993"/>
  <c r="AE8" i="1993"/>
  <c r="AE6" i="1993"/>
  <c r="AD29" i="1992"/>
  <c r="AD29" i="1991"/>
  <c r="M28" i="1990"/>
  <c r="AB28" i="1990"/>
  <c r="AD19" i="1990"/>
  <c r="P28" i="1990"/>
  <c r="AD7" i="1990"/>
  <c r="AD12" i="1990"/>
  <c r="AD6" i="1990"/>
  <c r="AC28" i="1990"/>
  <c r="AD9" i="1989"/>
  <c r="AD24" i="1989"/>
  <c r="AD18" i="1989"/>
  <c r="AD12" i="1989"/>
  <c r="P28" i="1989"/>
  <c r="M28" i="1989"/>
  <c r="AC28" i="1989"/>
  <c r="AB28" i="1989"/>
  <c r="AD6" i="1989"/>
  <c r="P29" i="1988"/>
  <c r="AD14" i="1988"/>
  <c r="AD20" i="1988"/>
  <c r="AD28" i="1988"/>
  <c r="AB29" i="1988"/>
  <c r="M29" i="1988"/>
  <c r="AD11" i="1988"/>
  <c r="P28" i="1987"/>
  <c r="AD8" i="1987"/>
  <c r="AD24" i="1987"/>
  <c r="AD12" i="1987"/>
  <c r="AD28" i="1987" s="1"/>
  <c r="AD9" i="1987"/>
  <c r="M28" i="1987"/>
  <c r="AB28" i="1987"/>
  <c r="AD23" i="1986"/>
  <c r="AD27" i="1986"/>
  <c r="AD19" i="1986"/>
  <c r="AD11" i="1986"/>
  <c r="Q29" i="1986"/>
  <c r="AD7" i="1986"/>
  <c r="P6" i="1986"/>
  <c r="AC6" i="1986" s="1"/>
  <c r="AD16" i="1986"/>
  <c r="AD24" i="1986"/>
  <c r="AD26" i="1986"/>
  <c r="AD20" i="1986"/>
  <c r="AD8" i="1986"/>
  <c r="AD12" i="1986"/>
  <c r="AD28" i="1986"/>
  <c r="M6" i="1986"/>
  <c r="AB6" i="1986"/>
  <c r="O6" i="1986"/>
  <c r="M8" i="1986"/>
  <c r="O9" i="1986"/>
  <c r="AD9" i="1986" s="1"/>
  <c r="K29" i="1986"/>
  <c r="P10" i="1986"/>
  <c r="AC10" i="1986" s="1"/>
  <c r="M12" i="1986"/>
  <c r="O14" i="1986"/>
  <c r="P15" i="1986"/>
  <c r="AC15" i="1986" s="1"/>
  <c r="AD15" i="1986" s="1"/>
  <c r="O17" i="1986"/>
  <c r="P18" i="1986"/>
  <c r="AC18" i="1986" s="1"/>
  <c r="AD18" i="1986" s="1"/>
  <c r="M20" i="1986"/>
  <c r="O21" i="1986"/>
  <c r="P22" i="1986"/>
  <c r="AC22" i="1986" s="1"/>
  <c r="M28" i="1986"/>
  <c r="P14" i="1986"/>
  <c r="AC14" i="1986" s="1"/>
  <c r="AD14" i="1986" s="1"/>
  <c r="P17" i="1986"/>
  <c r="AC17" i="1986" s="1"/>
  <c r="AD17" i="1986" s="1"/>
  <c r="P21" i="1986"/>
  <c r="AC21" i="1986" s="1"/>
  <c r="M10" i="1986"/>
  <c r="AB22" i="1986"/>
  <c r="AB10" i="1986"/>
  <c r="M9" i="1986"/>
  <c r="M14" i="1986"/>
  <c r="M17" i="1986"/>
  <c r="M21" i="1986"/>
  <c r="AD21" i="1985"/>
  <c r="K17" i="1985"/>
  <c r="K16" i="1985"/>
  <c r="P13" i="1985"/>
  <c r="AC13" i="1985" s="1"/>
  <c r="AD13" i="1985" s="1"/>
  <c r="P8" i="1985"/>
  <c r="AC8" i="1985" s="1"/>
  <c r="M8" i="1985"/>
  <c r="AB8" i="1985"/>
  <c r="M27" i="1985"/>
  <c r="AB27" i="1985"/>
  <c r="Q28" i="1985"/>
  <c r="P24" i="1985"/>
  <c r="AC24" i="1985" s="1"/>
  <c r="K24" i="1985"/>
  <c r="AD8" i="1985"/>
  <c r="AD10" i="1985"/>
  <c r="AD18" i="1985"/>
  <c r="AD15" i="1985"/>
  <c r="AD23" i="1985"/>
  <c r="AD14" i="1985"/>
  <c r="AD22" i="1985"/>
  <c r="AD6" i="1985"/>
  <c r="O9" i="1985"/>
  <c r="AD9" i="1985" s="1"/>
  <c r="M16" i="1985"/>
  <c r="AB16" i="1985"/>
  <c r="O17" i="1985"/>
  <c r="AD17" i="1985" s="1"/>
  <c r="M19" i="1985"/>
  <c r="AB19" i="1985"/>
  <c r="O20" i="1985"/>
  <c r="AD20" i="1985" s="1"/>
  <c r="M24" i="1985"/>
  <c r="AB24" i="1985"/>
  <c r="O27" i="1985"/>
  <c r="L28" i="1985"/>
  <c r="O28" i="1985" s="1"/>
  <c r="O16" i="1985"/>
  <c r="O19" i="1985"/>
  <c r="O24" i="1985"/>
  <c r="K19" i="1984"/>
  <c r="AD12" i="1984"/>
  <c r="Q28" i="1984"/>
  <c r="P27" i="1984"/>
  <c r="AC27" i="1984" s="1"/>
  <c r="K27" i="1984"/>
  <c r="AD11" i="1984"/>
  <c r="AD16" i="1984"/>
  <c r="AD25" i="1984"/>
  <c r="AD24" i="1984"/>
  <c r="AD27" i="1984"/>
  <c r="AD7" i="1984"/>
  <c r="AD18" i="1984"/>
  <c r="AD19" i="1984"/>
  <c r="AD8" i="1984"/>
  <c r="AD14" i="1984"/>
  <c r="M9" i="1984"/>
  <c r="AB9" i="1984"/>
  <c r="AB28" i="1984" s="1"/>
  <c r="P13" i="1984"/>
  <c r="AC13" i="1984" s="1"/>
  <c r="AD13" i="1984" s="1"/>
  <c r="M17" i="1984"/>
  <c r="AB17" i="1984"/>
  <c r="M20" i="1984"/>
  <c r="AB20" i="1984"/>
  <c r="O17" i="1984"/>
  <c r="O20" i="1984"/>
  <c r="O9" i="1984"/>
  <c r="AD9" i="1984" s="1"/>
  <c r="K28" i="1984"/>
  <c r="M13" i="1984"/>
  <c r="L27" i="1983"/>
  <c r="L24" i="1983"/>
  <c r="L20" i="1983"/>
  <c r="O20" i="1983" s="1"/>
  <c r="L19" i="1983"/>
  <c r="K18" i="1983"/>
  <c r="L17" i="1983"/>
  <c r="AF17" i="1983"/>
  <c r="Q17" i="1983"/>
  <c r="K17" i="1983"/>
  <c r="L16" i="1983"/>
  <c r="K16" i="1983" s="1"/>
  <c r="L13" i="1983"/>
  <c r="L12" i="1983"/>
  <c r="K12" i="1983" s="1"/>
  <c r="L9" i="1983"/>
  <c r="K9" i="1983" s="1"/>
  <c r="L8" i="1983"/>
  <c r="K8" i="1983" s="1"/>
  <c r="K7" i="1983"/>
  <c r="K27" i="1983"/>
  <c r="K26" i="1983"/>
  <c r="K25" i="1983"/>
  <c r="K24" i="1983"/>
  <c r="K20" i="1983"/>
  <c r="K19" i="1983"/>
  <c r="K13" i="1983"/>
  <c r="K10" i="1983"/>
  <c r="K6" i="1983"/>
  <c r="A83" i="1983"/>
  <c r="A84" i="1983" s="1"/>
  <c r="A85" i="1983" s="1"/>
  <c r="A86" i="1983" s="1"/>
  <c r="A87" i="1983" s="1"/>
  <c r="A88" i="1983" s="1"/>
  <c r="AF67" i="1983"/>
  <c r="AF66" i="1983"/>
  <c r="AA28" i="1983"/>
  <c r="Z28" i="1983"/>
  <c r="Y28" i="1983"/>
  <c r="X28" i="1983"/>
  <c r="W28" i="1983"/>
  <c r="V28" i="1983"/>
  <c r="U28" i="1983"/>
  <c r="T28" i="1983"/>
  <c r="S28" i="1983"/>
  <c r="R28" i="1983"/>
  <c r="N28" i="1983"/>
  <c r="J28" i="1983"/>
  <c r="I28" i="1983"/>
  <c r="AF27" i="1983"/>
  <c r="Q27" i="1983"/>
  <c r="P27" i="1983" s="1"/>
  <c r="AC27" i="1983" s="1"/>
  <c r="O27" i="1983"/>
  <c r="AB27" i="1983"/>
  <c r="AF26" i="1983"/>
  <c r="AB26" i="1983"/>
  <c r="Q26" i="1983"/>
  <c r="P26" i="1983"/>
  <c r="AC26" i="1983" s="1"/>
  <c r="O26" i="1983"/>
  <c r="M26" i="1983"/>
  <c r="AF25" i="1983"/>
  <c r="Q25" i="1983"/>
  <c r="O25" i="1983"/>
  <c r="AF24" i="1983"/>
  <c r="AB24" i="1983"/>
  <c r="Q24" i="1983"/>
  <c r="P24" i="1983" s="1"/>
  <c r="AC24" i="1983" s="1"/>
  <c r="O24" i="1983"/>
  <c r="M24" i="1983"/>
  <c r="AF23" i="1983"/>
  <c r="AB23" i="1983"/>
  <c r="Q23" i="1983"/>
  <c r="P23" i="1983"/>
  <c r="AC23" i="1983" s="1"/>
  <c r="O23" i="1983"/>
  <c r="M23" i="1983"/>
  <c r="K23" i="1983"/>
  <c r="AF22" i="1983"/>
  <c r="AB22" i="1983"/>
  <c r="Q22" i="1983"/>
  <c r="P22" i="1983"/>
  <c r="AC22" i="1983" s="1"/>
  <c r="O22" i="1983"/>
  <c r="M22" i="1983"/>
  <c r="K22" i="1983"/>
  <c r="AF21" i="1983"/>
  <c r="AB21" i="1983"/>
  <c r="Q21" i="1983"/>
  <c r="P21" i="1983"/>
  <c r="AC21" i="1983" s="1"/>
  <c r="O21" i="1983"/>
  <c r="M21" i="1983"/>
  <c r="K21" i="1983"/>
  <c r="AF20" i="1983"/>
  <c r="Q20" i="1983"/>
  <c r="AF19" i="1983"/>
  <c r="Q19" i="1983"/>
  <c r="P19" i="1983"/>
  <c r="AC19" i="1983" s="1"/>
  <c r="AF18" i="1983"/>
  <c r="AB18" i="1983"/>
  <c r="Q18" i="1983"/>
  <c r="P18" i="1983"/>
  <c r="AC18" i="1983" s="1"/>
  <c r="O18" i="1983"/>
  <c r="M18" i="1983"/>
  <c r="AF16" i="1983"/>
  <c r="Q16" i="1983"/>
  <c r="P16" i="1983" s="1"/>
  <c r="AC16" i="1983" s="1"/>
  <c r="AF15" i="1983"/>
  <c r="AB15" i="1983"/>
  <c r="Q15" i="1983"/>
  <c r="P15" i="1983"/>
  <c r="AC15" i="1983" s="1"/>
  <c r="O15" i="1983"/>
  <c r="M15" i="1983"/>
  <c r="K15" i="1983"/>
  <c r="AF14" i="1983"/>
  <c r="AB14" i="1983"/>
  <c r="Q14" i="1983"/>
  <c r="P14" i="1983"/>
  <c r="AC14" i="1983" s="1"/>
  <c r="O14" i="1983"/>
  <c r="M14" i="1983"/>
  <c r="K14" i="1983"/>
  <c r="AF13" i="1983"/>
  <c r="AB13" i="1983"/>
  <c r="Q13" i="1983"/>
  <c r="P13" i="1983" s="1"/>
  <c r="AC13" i="1983" s="1"/>
  <c r="O13" i="1983"/>
  <c r="M13" i="1983"/>
  <c r="AF12" i="1983"/>
  <c r="AB12" i="1983"/>
  <c r="Q12" i="1983"/>
  <c r="P12" i="1983" s="1"/>
  <c r="AC12" i="1983" s="1"/>
  <c r="O12" i="1983"/>
  <c r="M12" i="1983"/>
  <c r="AF11" i="1983"/>
  <c r="Q11" i="1983"/>
  <c r="P11" i="1983"/>
  <c r="AC11" i="1983" s="1"/>
  <c r="AF10" i="1983"/>
  <c r="AB10" i="1983"/>
  <c r="Q10" i="1983"/>
  <c r="P10" i="1983"/>
  <c r="AC10" i="1983" s="1"/>
  <c r="O10" i="1983"/>
  <c r="M10" i="1983"/>
  <c r="AF9" i="1983"/>
  <c r="Q9" i="1983"/>
  <c r="AF8" i="1983"/>
  <c r="AB8" i="1983"/>
  <c r="Q8" i="1983"/>
  <c r="P8" i="1983" s="1"/>
  <c r="AC8" i="1983" s="1"/>
  <c r="O8" i="1983"/>
  <c r="M8" i="1983"/>
  <c r="AF7" i="1983"/>
  <c r="Q7" i="1983"/>
  <c r="P7" i="1983"/>
  <c r="AC7" i="1983" s="1"/>
  <c r="O7" i="1983"/>
  <c r="AF6" i="1983"/>
  <c r="AB6" i="1983"/>
  <c r="Q6" i="1983"/>
  <c r="P6" i="1983"/>
  <c r="AC6" i="1983" s="1"/>
  <c r="O6" i="1983"/>
  <c r="M6" i="1983"/>
  <c r="J25" i="16"/>
  <c r="J24" i="16"/>
  <c r="J23" i="16"/>
  <c r="J22" i="16"/>
  <c r="J21" i="16"/>
  <c r="J20" i="16"/>
  <c r="J19" i="16"/>
  <c r="J18" i="16"/>
  <c r="J17" i="16"/>
  <c r="J16" i="16"/>
  <c r="J15" i="16"/>
  <c r="J14" i="16"/>
  <c r="J13" i="16"/>
  <c r="J12" i="16"/>
  <c r="J11" i="16"/>
  <c r="J10" i="16"/>
  <c r="J9" i="16"/>
  <c r="J8" i="16"/>
  <c r="J6" i="16"/>
  <c r="J7" i="16"/>
  <c r="J5" i="16"/>
  <c r="J4" i="16"/>
  <c r="J3" i="16"/>
  <c r="L32" i="1982"/>
  <c r="L31" i="1982"/>
  <c r="L30" i="1982"/>
  <c r="K29" i="1982"/>
  <c r="L25" i="1982"/>
  <c r="L24" i="1982"/>
  <c r="K24" i="1982" s="1"/>
  <c r="AF23" i="1982"/>
  <c r="Q23" i="1982"/>
  <c r="P23" i="1982" s="1"/>
  <c r="AC23" i="1982" s="1"/>
  <c r="O23" i="1982"/>
  <c r="AB23" i="1982"/>
  <c r="K23" i="1982"/>
  <c r="L22" i="1982"/>
  <c r="K22" i="1982" s="1"/>
  <c r="AE26" i="1995" l="1"/>
  <c r="AE11" i="1995"/>
  <c r="AE28" i="1995"/>
  <c r="AE23" i="1995"/>
  <c r="AE10" i="1995"/>
  <c r="AE22" i="1995"/>
  <c r="AE19" i="1995"/>
  <c r="AE24" i="1995"/>
  <c r="AE25" i="1995"/>
  <c r="AE12" i="1995"/>
  <c r="AE9" i="1995"/>
  <c r="AE8" i="1995"/>
  <c r="AE15" i="1995"/>
  <c r="AE14" i="1995"/>
  <c r="AE27" i="1995"/>
  <c r="AE13" i="1995"/>
  <c r="AE17" i="1995"/>
  <c r="AE21" i="1995"/>
  <c r="AE20" i="1995"/>
  <c r="AE16" i="1995"/>
  <c r="AE6" i="1995"/>
  <c r="AE18" i="1995"/>
  <c r="AE7" i="1995"/>
  <c r="AE27" i="1994"/>
  <c r="AE25" i="1994"/>
  <c r="AE20" i="1994"/>
  <c r="AE11" i="1994"/>
  <c r="AE12" i="1994"/>
  <c r="AE9" i="1994"/>
  <c r="AE23" i="1994"/>
  <c r="AE21" i="1994"/>
  <c r="AE17" i="1994"/>
  <c r="AE26" i="1994"/>
  <c r="AE24" i="1994"/>
  <c r="AE18" i="1994"/>
  <c r="AE15" i="1994"/>
  <c r="AE13" i="1994"/>
  <c r="AE7" i="1994"/>
  <c r="AE14" i="1994"/>
  <c r="AE8" i="1994"/>
  <c r="AE6" i="1994"/>
  <c r="AE22" i="1994"/>
  <c r="AE19" i="1994"/>
  <c r="AE16" i="1994"/>
  <c r="AE10" i="1994"/>
  <c r="AE28" i="1992"/>
  <c r="AE18" i="1992"/>
  <c r="AE17" i="1992"/>
  <c r="AE22" i="1992"/>
  <c r="AE7" i="1992"/>
  <c r="AE20" i="1992"/>
  <c r="AE25" i="1992"/>
  <c r="AE24" i="1992"/>
  <c r="AE11" i="1992"/>
  <c r="AE15" i="1992"/>
  <c r="AE9" i="1992"/>
  <c r="AE19" i="1992"/>
  <c r="AE10" i="1992"/>
  <c r="AE8" i="1992"/>
  <c r="AE13" i="1992"/>
  <c r="AE23" i="1992"/>
  <c r="AE27" i="1992"/>
  <c r="AE16" i="1992"/>
  <c r="AE21" i="1992"/>
  <c r="AE26" i="1992"/>
  <c r="AE12" i="1992"/>
  <c r="AE6" i="1992"/>
  <c r="AE14" i="1992"/>
  <c r="AE26" i="1991"/>
  <c r="AE19" i="1991"/>
  <c r="AE16" i="1991"/>
  <c r="AE15" i="1991"/>
  <c r="AE20" i="1991"/>
  <c r="AE8" i="1991"/>
  <c r="AE27" i="1991"/>
  <c r="AE25" i="1991"/>
  <c r="AE13" i="1991"/>
  <c r="AE12" i="1991"/>
  <c r="AE7" i="1991"/>
  <c r="AE17" i="1991"/>
  <c r="AE22" i="1991"/>
  <c r="AE24" i="1991"/>
  <c r="AE10" i="1991"/>
  <c r="AE14" i="1991"/>
  <c r="AE21" i="1991"/>
  <c r="AE28" i="1991"/>
  <c r="AE9" i="1991"/>
  <c r="AE23" i="1991"/>
  <c r="AE18" i="1991"/>
  <c r="AE11" i="1991"/>
  <c r="AE6" i="1991"/>
  <c r="AD28" i="1989"/>
  <c r="AD29" i="1988"/>
  <c r="AE27" i="1987"/>
  <c r="AE22" i="1987"/>
  <c r="AE19" i="1987"/>
  <c r="AE16" i="1987"/>
  <c r="AE13" i="1987"/>
  <c r="AE10" i="1987"/>
  <c r="AE6" i="1987"/>
  <c r="AE25" i="1987"/>
  <c r="AE20" i="1987"/>
  <c r="AE14" i="1987"/>
  <c r="AE11" i="1987"/>
  <c r="AE23" i="1987"/>
  <c r="AE8" i="1987"/>
  <c r="AE18" i="1987"/>
  <c r="AE17" i="1987"/>
  <c r="AE7" i="1987"/>
  <c r="AE24" i="1987"/>
  <c r="AE15" i="1987"/>
  <c r="AE21" i="1987"/>
  <c r="AE12" i="1987"/>
  <c r="AE9" i="1987"/>
  <c r="AE26" i="1987"/>
  <c r="AB29" i="1986"/>
  <c r="AD21" i="1986"/>
  <c r="AD22" i="1986"/>
  <c r="P29" i="1986"/>
  <c r="M29" i="1986"/>
  <c r="AD10" i="1986"/>
  <c r="AC29" i="1986"/>
  <c r="AD6" i="1986"/>
  <c r="K28" i="1985"/>
  <c r="P28" i="1985"/>
  <c r="AC28" i="1985"/>
  <c r="AD27" i="1985"/>
  <c r="AD24" i="1985"/>
  <c r="AB28" i="1985"/>
  <c r="AD19" i="1985"/>
  <c r="M28" i="1985"/>
  <c r="AD16" i="1985"/>
  <c r="AD17" i="1984"/>
  <c r="M28" i="1984"/>
  <c r="AD20" i="1984"/>
  <c r="AD28" i="1984"/>
  <c r="AC28" i="1984"/>
  <c r="P28" i="1984"/>
  <c r="M20" i="1983"/>
  <c r="P20" i="1983"/>
  <c r="AC20" i="1983" s="1"/>
  <c r="AB20" i="1983"/>
  <c r="AF69" i="1983"/>
  <c r="P17" i="1983"/>
  <c r="AC17" i="1983" s="1"/>
  <c r="O17" i="1983"/>
  <c r="M17" i="1983"/>
  <c r="AB17" i="1983"/>
  <c r="L28" i="1983"/>
  <c r="O28" i="1983" s="1"/>
  <c r="O9" i="1983"/>
  <c r="P9" i="1983"/>
  <c r="AC9" i="1983" s="1"/>
  <c r="AD18" i="1983"/>
  <c r="AD21" i="1983"/>
  <c r="AD24" i="1983"/>
  <c r="AD15" i="1983"/>
  <c r="AD26" i="1983"/>
  <c r="Q28" i="1983"/>
  <c r="AD12" i="1983"/>
  <c r="AD6" i="1983"/>
  <c r="AD10" i="1983"/>
  <c r="AD23" i="1983"/>
  <c r="AD8" i="1983"/>
  <c r="AD14" i="1983"/>
  <c r="AD20" i="1983"/>
  <c r="AD22" i="1983"/>
  <c r="AD13" i="1983"/>
  <c r="AD27" i="1983"/>
  <c r="P25" i="1983"/>
  <c r="AC25" i="1983" s="1"/>
  <c r="M27" i="1983"/>
  <c r="M11" i="1983"/>
  <c r="AB11" i="1983"/>
  <c r="M16" i="1983"/>
  <c r="AB16" i="1983"/>
  <c r="M19" i="1983"/>
  <c r="AB19" i="1983"/>
  <c r="M7" i="1983"/>
  <c r="AB7" i="1983"/>
  <c r="AD7" i="1983" s="1"/>
  <c r="M9" i="1983"/>
  <c r="AB9" i="1983"/>
  <c r="O11" i="1983"/>
  <c r="O16" i="1983"/>
  <c r="O19" i="1983"/>
  <c r="K11" i="1983"/>
  <c r="K28" i="1983" s="1"/>
  <c r="M25" i="1983"/>
  <c r="AB25" i="1983"/>
  <c r="AD23" i="1982"/>
  <c r="M23" i="1982"/>
  <c r="K21" i="1982"/>
  <c r="AF21" i="1982"/>
  <c r="AB21" i="1982"/>
  <c r="Q21" i="1982"/>
  <c r="P21" i="1982" s="1"/>
  <c r="AC21" i="1982" s="1"/>
  <c r="O21" i="1982"/>
  <c r="M21" i="1982"/>
  <c r="L19" i="1982"/>
  <c r="O19" i="1982" s="1"/>
  <c r="AF19" i="1982"/>
  <c r="Q19" i="1982"/>
  <c r="AB19" i="1982"/>
  <c r="L18" i="1982"/>
  <c r="K18" i="1982" s="1"/>
  <c r="L15" i="1982"/>
  <c r="O15" i="1982" s="1"/>
  <c r="L14" i="1982"/>
  <c r="L13" i="1982"/>
  <c r="K13" i="1982" s="1"/>
  <c r="AF12" i="1982"/>
  <c r="AB12" i="1982"/>
  <c r="Q12" i="1982"/>
  <c r="P12" i="1982" s="1"/>
  <c r="AC12" i="1982" s="1"/>
  <c r="O12" i="1982"/>
  <c r="M12" i="1982"/>
  <c r="K12" i="1982"/>
  <c r="K11" i="1982"/>
  <c r="L10" i="1982"/>
  <c r="K10" i="1982" s="1"/>
  <c r="L9" i="1982"/>
  <c r="AB9" i="1982" s="1"/>
  <c r="AF8" i="1982"/>
  <c r="Q8" i="1982"/>
  <c r="O8" i="1982"/>
  <c r="M8" i="1982"/>
  <c r="AB8" i="1982"/>
  <c r="L7" i="1982"/>
  <c r="K7" i="1982" s="1"/>
  <c r="L6" i="1982"/>
  <c r="M6" i="1982" s="1"/>
  <c r="K32" i="1982"/>
  <c r="K31" i="1982"/>
  <c r="K30" i="1982"/>
  <c r="K25" i="1982"/>
  <c r="K20" i="1982"/>
  <c r="K14" i="1982"/>
  <c r="A88" i="1982"/>
  <c r="A89" i="1982" s="1"/>
  <c r="A90" i="1982" s="1"/>
  <c r="A91" i="1982" s="1"/>
  <c r="A92" i="1982" s="1"/>
  <c r="A93" i="1982" s="1"/>
  <c r="AF72" i="1982"/>
  <c r="AF71" i="1982"/>
  <c r="AA33" i="1982"/>
  <c r="Z33" i="1982"/>
  <c r="Y33" i="1982"/>
  <c r="X33" i="1982"/>
  <c r="W33" i="1982"/>
  <c r="V33" i="1982"/>
  <c r="U33" i="1982"/>
  <c r="T33" i="1982"/>
  <c r="S33" i="1982"/>
  <c r="R33" i="1982"/>
  <c r="N33" i="1982"/>
  <c r="J33" i="1982"/>
  <c r="I33" i="1982"/>
  <c r="AF32" i="1982"/>
  <c r="Q32" i="1982"/>
  <c r="P32" i="1982" s="1"/>
  <c r="AC32" i="1982" s="1"/>
  <c r="O32" i="1982"/>
  <c r="AF31" i="1982"/>
  <c r="Q31" i="1982"/>
  <c r="P31" i="1982" s="1"/>
  <c r="AC31" i="1982" s="1"/>
  <c r="O31" i="1982"/>
  <c r="AB31" i="1982"/>
  <c r="AF30" i="1982"/>
  <c r="AB30" i="1982"/>
  <c r="Q30" i="1982"/>
  <c r="P30" i="1982" s="1"/>
  <c r="AC30" i="1982" s="1"/>
  <c r="O30" i="1982"/>
  <c r="M30" i="1982"/>
  <c r="AF29" i="1982"/>
  <c r="AB29" i="1982"/>
  <c r="Q29" i="1982"/>
  <c r="P29" i="1982" s="1"/>
  <c r="AC29" i="1982" s="1"/>
  <c r="O29" i="1982"/>
  <c r="M29" i="1982"/>
  <c r="AF28" i="1982"/>
  <c r="AB28" i="1982"/>
  <c r="Q28" i="1982"/>
  <c r="P28" i="1982"/>
  <c r="AC28" i="1982" s="1"/>
  <c r="O28" i="1982"/>
  <c r="M28" i="1982"/>
  <c r="K28" i="1982"/>
  <c r="AF27" i="1982"/>
  <c r="AB27" i="1982"/>
  <c r="Q27" i="1982"/>
  <c r="P27" i="1982"/>
  <c r="AC27" i="1982" s="1"/>
  <c r="O27" i="1982"/>
  <c r="M27" i="1982"/>
  <c r="K27" i="1982"/>
  <c r="AF26" i="1982"/>
  <c r="AB26" i="1982"/>
  <c r="Q26" i="1982"/>
  <c r="P26" i="1982"/>
  <c r="AC26" i="1982" s="1"/>
  <c r="O26" i="1982"/>
  <c r="M26" i="1982"/>
  <c r="K26" i="1982"/>
  <c r="AF25" i="1982"/>
  <c r="Q25" i="1982"/>
  <c r="AB25" i="1982"/>
  <c r="AF24" i="1982"/>
  <c r="AB24" i="1982"/>
  <c r="Q24" i="1982"/>
  <c r="P24" i="1982"/>
  <c r="AC24" i="1982" s="1"/>
  <c r="O24" i="1982"/>
  <c r="M24" i="1982"/>
  <c r="AF22" i="1982"/>
  <c r="AB22" i="1982"/>
  <c r="Q22" i="1982"/>
  <c r="P22" i="1982" s="1"/>
  <c r="AC22" i="1982" s="1"/>
  <c r="O22" i="1982"/>
  <c r="M22" i="1982"/>
  <c r="AF20" i="1982"/>
  <c r="Q20" i="1982"/>
  <c r="P20" i="1982" s="1"/>
  <c r="AC20" i="1982" s="1"/>
  <c r="O20" i="1982"/>
  <c r="AF18" i="1982"/>
  <c r="AB18" i="1982"/>
  <c r="Q18" i="1982"/>
  <c r="M18" i="1982"/>
  <c r="AF17" i="1982"/>
  <c r="AB17" i="1982"/>
  <c r="Q17" i="1982"/>
  <c r="P17" i="1982"/>
  <c r="AC17" i="1982" s="1"/>
  <c r="O17" i="1982"/>
  <c r="M17" i="1982"/>
  <c r="K17" i="1982"/>
  <c r="AF16" i="1982"/>
  <c r="AB16" i="1982"/>
  <c r="Q16" i="1982"/>
  <c r="P16" i="1982"/>
  <c r="AC16" i="1982" s="1"/>
  <c r="O16" i="1982"/>
  <c r="M16" i="1982"/>
  <c r="K16" i="1982"/>
  <c r="AF15" i="1982"/>
  <c r="Q15" i="1982"/>
  <c r="P15" i="1982" s="1"/>
  <c r="AC15" i="1982" s="1"/>
  <c r="AF14" i="1982"/>
  <c r="Q14" i="1982"/>
  <c r="P14" i="1982" s="1"/>
  <c r="AC14" i="1982" s="1"/>
  <c r="O14" i="1982"/>
  <c r="AF13" i="1982"/>
  <c r="AB13" i="1982"/>
  <c r="Q13" i="1982"/>
  <c r="P13" i="1982"/>
  <c r="AC13" i="1982" s="1"/>
  <c r="O13" i="1982"/>
  <c r="M13" i="1982"/>
  <c r="AF11" i="1982"/>
  <c r="AB11" i="1982"/>
  <c r="Q11" i="1982"/>
  <c r="P11" i="1982" s="1"/>
  <c r="AC11" i="1982" s="1"/>
  <c r="O11" i="1982"/>
  <c r="M11" i="1982"/>
  <c r="AF10" i="1982"/>
  <c r="Q10" i="1982"/>
  <c r="AF9" i="1982"/>
  <c r="Q9" i="1982"/>
  <c r="AF7" i="1982"/>
  <c r="Q7" i="1982"/>
  <c r="O7" i="1982"/>
  <c r="AF6" i="1982"/>
  <c r="Q6" i="1982"/>
  <c r="I25" i="16"/>
  <c r="I24" i="16"/>
  <c r="I23" i="16"/>
  <c r="I22" i="16"/>
  <c r="I21" i="16"/>
  <c r="I20" i="16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L28" i="1981"/>
  <c r="L27" i="1981"/>
  <c r="L26" i="1981"/>
  <c r="L21" i="1981"/>
  <c r="K21" i="1981"/>
  <c r="L18" i="1981"/>
  <c r="K18" i="1981" s="1"/>
  <c r="L17" i="1981"/>
  <c r="L13" i="1981"/>
  <c r="K13" i="1981" s="1"/>
  <c r="L12" i="1981"/>
  <c r="O12" i="1981" s="1"/>
  <c r="L11" i="1981"/>
  <c r="K11" i="1981" s="1"/>
  <c r="AF10" i="1981"/>
  <c r="AB10" i="1981"/>
  <c r="Q10" i="1981"/>
  <c r="P10" i="1981" s="1"/>
  <c r="AC10" i="1981" s="1"/>
  <c r="O10" i="1981"/>
  <c r="M10" i="1981"/>
  <c r="K10" i="1981"/>
  <c r="K9" i="1981"/>
  <c r="L8" i="1981"/>
  <c r="O8" i="1981" s="1"/>
  <c r="L6" i="1981"/>
  <c r="K6" i="1981" s="1"/>
  <c r="K28" i="1981"/>
  <c r="K27" i="1981"/>
  <c r="K26" i="1981"/>
  <c r="K25" i="1981"/>
  <c r="K19" i="1981"/>
  <c r="K17" i="1981"/>
  <c r="A84" i="1981"/>
  <c r="A85" i="1981" s="1"/>
  <c r="A86" i="1981" s="1"/>
  <c r="A87" i="1981" s="1"/>
  <c r="A88" i="1981" s="1"/>
  <c r="A89" i="1981" s="1"/>
  <c r="AF68" i="1981"/>
  <c r="AF67" i="1981"/>
  <c r="AA29" i="1981"/>
  <c r="Z29" i="1981"/>
  <c r="Y29" i="1981"/>
  <c r="X29" i="1981"/>
  <c r="W29" i="1981"/>
  <c r="V29" i="1981"/>
  <c r="U29" i="1981"/>
  <c r="T29" i="1981"/>
  <c r="S29" i="1981"/>
  <c r="R29" i="1981"/>
  <c r="N29" i="1981"/>
  <c r="J29" i="1981"/>
  <c r="I29" i="1981"/>
  <c r="AF28" i="1981"/>
  <c r="Q28" i="1981"/>
  <c r="P28" i="1981" s="1"/>
  <c r="AC28" i="1981" s="1"/>
  <c r="O28" i="1981"/>
  <c r="AB28" i="1981"/>
  <c r="AF27" i="1981"/>
  <c r="AB27" i="1981"/>
  <c r="Q27" i="1981"/>
  <c r="P27" i="1981"/>
  <c r="AC27" i="1981" s="1"/>
  <c r="O27" i="1981"/>
  <c r="M27" i="1981"/>
  <c r="AF26" i="1981"/>
  <c r="Q26" i="1981"/>
  <c r="O26" i="1981"/>
  <c r="AF25" i="1981"/>
  <c r="Q25" i="1981"/>
  <c r="P25" i="1981"/>
  <c r="AC25" i="1981" s="1"/>
  <c r="AB25" i="1981"/>
  <c r="AF24" i="1981"/>
  <c r="AB24" i="1981"/>
  <c r="Q24" i="1981"/>
  <c r="P24" i="1981"/>
  <c r="AC24" i="1981" s="1"/>
  <c r="O24" i="1981"/>
  <c r="M24" i="1981"/>
  <c r="K24" i="1981"/>
  <c r="AF23" i="1981"/>
  <c r="AB23" i="1981"/>
  <c r="Q23" i="1981"/>
  <c r="P23" i="1981"/>
  <c r="AC23" i="1981" s="1"/>
  <c r="O23" i="1981"/>
  <c r="M23" i="1981"/>
  <c r="K23" i="1981"/>
  <c r="AF22" i="1981"/>
  <c r="AB22" i="1981"/>
  <c r="Q22" i="1981"/>
  <c r="P22" i="1981"/>
  <c r="AC22" i="1981" s="1"/>
  <c r="O22" i="1981"/>
  <c r="M22" i="1981"/>
  <c r="K22" i="1981"/>
  <c r="AF21" i="1981"/>
  <c r="Q21" i="1981"/>
  <c r="O21" i="1981"/>
  <c r="AF20" i="1981"/>
  <c r="AB20" i="1981"/>
  <c r="Q20" i="1981"/>
  <c r="P20" i="1981"/>
  <c r="AC20" i="1981" s="1"/>
  <c r="O20" i="1981"/>
  <c r="M20" i="1981"/>
  <c r="K20" i="1981"/>
  <c r="AF19" i="1981"/>
  <c r="Q19" i="1981"/>
  <c r="P19" i="1981"/>
  <c r="AC19" i="1981" s="1"/>
  <c r="AB19" i="1981"/>
  <c r="AF18" i="1981"/>
  <c r="AB18" i="1981"/>
  <c r="Q18" i="1981"/>
  <c r="M18" i="1981"/>
  <c r="AF17" i="1981"/>
  <c r="Q17" i="1981"/>
  <c r="O17" i="1981"/>
  <c r="AF16" i="1981"/>
  <c r="AB16" i="1981"/>
  <c r="Q16" i="1981"/>
  <c r="P16" i="1981"/>
  <c r="AC16" i="1981" s="1"/>
  <c r="O16" i="1981"/>
  <c r="M16" i="1981"/>
  <c r="K16" i="1981"/>
  <c r="AF15" i="1981"/>
  <c r="AB15" i="1981"/>
  <c r="Q15" i="1981"/>
  <c r="P15" i="1981"/>
  <c r="AC15" i="1981" s="1"/>
  <c r="AD15" i="1981" s="1"/>
  <c r="O15" i="1981"/>
  <c r="M15" i="1981"/>
  <c r="K15" i="1981"/>
  <c r="AF14" i="1981"/>
  <c r="AB14" i="1981"/>
  <c r="Q14" i="1981"/>
  <c r="P14" i="1981"/>
  <c r="AC14" i="1981" s="1"/>
  <c r="O14" i="1981"/>
  <c r="M14" i="1981"/>
  <c r="K14" i="1981"/>
  <c r="AF13" i="1981"/>
  <c r="AB13" i="1981"/>
  <c r="Q13" i="1981"/>
  <c r="O13" i="1981"/>
  <c r="M13" i="1981"/>
  <c r="AF12" i="1981"/>
  <c r="Q12" i="1981"/>
  <c r="AF11" i="1981"/>
  <c r="Q11" i="1981"/>
  <c r="P11" i="1981" s="1"/>
  <c r="AC11" i="1981" s="1"/>
  <c r="AB11" i="1981"/>
  <c r="AF9" i="1981"/>
  <c r="Q9" i="1981"/>
  <c r="P9" i="1981" s="1"/>
  <c r="AC9" i="1981" s="1"/>
  <c r="O9" i="1981"/>
  <c r="AB9" i="1981"/>
  <c r="AF8" i="1981"/>
  <c r="Q8" i="1981"/>
  <c r="P8" i="1981" s="1"/>
  <c r="AC8" i="1981" s="1"/>
  <c r="M8" i="1981"/>
  <c r="AF7" i="1981"/>
  <c r="AB7" i="1981"/>
  <c r="Q7" i="1981"/>
  <c r="P7" i="1981"/>
  <c r="AC7" i="1981" s="1"/>
  <c r="O7" i="1981"/>
  <c r="M7" i="1981"/>
  <c r="K7" i="1981"/>
  <c r="AF6" i="1981"/>
  <c r="AB6" i="1981"/>
  <c r="Q6" i="1981"/>
  <c r="P6" i="1981"/>
  <c r="AC6" i="1981" s="1"/>
  <c r="O6" i="1981"/>
  <c r="M6" i="1981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K19" i="1980"/>
  <c r="AF19" i="1980"/>
  <c r="AB19" i="1980"/>
  <c r="Q19" i="1980"/>
  <c r="P19" i="1980" s="1"/>
  <c r="AC19" i="1980" s="1"/>
  <c r="O19" i="1980"/>
  <c r="M19" i="1980"/>
  <c r="L21" i="1980"/>
  <c r="K21" i="1980" s="1"/>
  <c r="L18" i="1980"/>
  <c r="L16" i="1980"/>
  <c r="L12" i="1980"/>
  <c r="L11" i="1980"/>
  <c r="L10" i="1980"/>
  <c r="K10" i="1980" s="1"/>
  <c r="L9" i="1980"/>
  <c r="L6" i="1980"/>
  <c r="AE27" i="1990" l="1"/>
  <c r="AE21" i="1990"/>
  <c r="AE17" i="1990"/>
  <c r="AE14" i="1990"/>
  <c r="AE8" i="1990"/>
  <c r="AE24" i="1990"/>
  <c r="AE22" i="1990"/>
  <c r="AE19" i="1990"/>
  <c r="AE15" i="1990"/>
  <c r="AE12" i="1990"/>
  <c r="AE7" i="1990"/>
  <c r="AE18" i="1990"/>
  <c r="AE11" i="1990"/>
  <c r="AE9" i="1990"/>
  <c r="AE6" i="1990"/>
  <c r="AE26" i="1990"/>
  <c r="AE20" i="1990"/>
  <c r="AE16" i="1990"/>
  <c r="AE13" i="1990"/>
  <c r="AE10" i="1990"/>
  <c r="AE25" i="1990"/>
  <c r="AE23" i="1990"/>
  <c r="AE27" i="1989"/>
  <c r="AE25" i="1989"/>
  <c r="AE20" i="1989"/>
  <c r="AE16" i="1989"/>
  <c r="AE6" i="1989"/>
  <c r="AE14" i="1989"/>
  <c r="AE11" i="1989"/>
  <c r="AE8" i="1989"/>
  <c r="AE24" i="1989"/>
  <c r="AE18" i="1989"/>
  <c r="AE12" i="1989"/>
  <c r="AE9" i="1989"/>
  <c r="AE7" i="1989"/>
  <c r="AE23" i="1989"/>
  <c r="AE26" i="1989"/>
  <c r="AE22" i="1989"/>
  <c r="AE19" i="1989"/>
  <c r="AE15" i="1989"/>
  <c r="AE13" i="1989"/>
  <c r="AE10" i="1989"/>
  <c r="AE21" i="1989"/>
  <c r="AE17" i="1989"/>
  <c r="AE28" i="1988"/>
  <c r="AE9" i="1988"/>
  <c r="AE27" i="1988"/>
  <c r="AE18" i="1988"/>
  <c r="AE13" i="1988"/>
  <c r="AE7" i="1988"/>
  <c r="AE11" i="1988"/>
  <c r="AE17" i="1988"/>
  <c r="AE10" i="1988"/>
  <c r="AE15" i="1988"/>
  <c r="AE20" i="1988"/>
  <c r="AE14" i="1988"/>
  <c r="AE16" i="1988"/>
  <c r="AE19" i="1988"/>
  <c r="AE8" i="1988"/>
  <c r="AE22" i="1988"/>
  <c r="AE21" i="1988"/>
  <c r="AE23" i="1988"/>
  <c r="AE6" i="1988"/>
  <c r="AE25" i="1988"/>
  <c r="AE12" i="1988"/>
  <c r="AE24" i="1988"/>
  <c r="AE26" i="1988"/>
  <c r="AD29" i="1986"/>
  <c r="AD28" i="1985"/>
  <c r="AE27" i="1985" s="1"/>
  <c r="AE27" i="1984"/>
  <c r="AE25" i="1984"/>
  <c r="AE12" i="1984"/>
  <c r="AE10" i="1984"/>
  <c r="AE22" i="1984"/>
  <c r="AE6" i="1984"/>
  <c r="AE23" i="1984"/>
  <c r="AE21" i="1984"/>
  <c r="AE18" i="1984"/>
  <c r="AE15" i="1984"/>
  <c r="AE13" i="1984"/>
  <c r="AE7" i="1984"/>
  <c r="AE20" i="1984"/>
  <c r="AE11" i="1984"/>
  <c r="AE9" i="1984"/>
  <c r="AE26" i="1984"/>
  <c r="AE24" i="1984"/>
  <c r="AE19" i="1984"/>
  <c r="AE16" i="1984"/>
  <c r="AE8" i="1984"/>
  <c r="AE17" i="1984"/>
  <c r="AE14" i="1984"/>
  <c r="AD9" i="1983"/>
  <c r="AD17" i="1983"/>
  <c r="AD25" i="1983"/>
  <c r="M28" i="1983"/>
  <c r="AD19" i="1983"/>
  <c r="AD11" i="1983"/>
  <c r="AC28" i="1983"/>
  <c r="AB28" i="1983"/>
  <c r="AD16" i="1983"/>
  <c r="P28" i="1983"/>
  <c r="AD21" i="1982"/>
  <c r="K15" i="1982"/>
  <c r="AB15" i="1982"/>
  <c r="M15" i="1982"/>
  <c r="O18" i="1982"/>
  <c r="K19" i="1982"/>
  <c r="P19" i="1982"/>
  <c r="AC19" i="1982" s="1"/>
  <c r="AD19" i="1982" s="1"/>
  <c r="P18" i="1982"/>
  <c r="AC18" i="1982" s="1"/>
  <c r="K9" i="1982"/>
  <c r="M19" i="1982"/>
  <c r="AD12" i="1982"/>
  <c r="AB6" i="1982"/>
  <c r="AB10" i="1982"/>
  <c r="K6" i="1982"/>
  <c r="O6" i="1982"/>
  <c r="AD11" i="1982"/>
  <c r="O10" i="1982"/>
  <c r="M10" i="1982"/>
  <c r="P10" i="1982"/>
  <c r="AC10" i="1982" s="1"/>
  <c r="AD17" i="1982"/>
  <c r="AD30" i="1982"/>
  <c r="L33" i="1982"/>
  <c r="O33" i="1982" s="1"/>
  <c r="P7" i="1982"/>
  <c r="AC7" i="1982" s="1"/>
  <c r="K8" i="1982"/>
  <c r="P8" i="1982"/>
  <c r="AC8" i="1982" s="1"/>
  <c r="AD8" i="1982" s="1"/>
  <c r="AB7" i="1982"/>
  <c r="AD15" i="1982"/>
  <c r="AF74" i="1982"/>
  <c r="M7" i="1982"/>
  <c r="AD13" i="1982"/>
  <c r="AD28" i="1982"/>
  <c r="Q33" i="1982"/>
  <c r="AD24" i="1982"/>
  <c r="AD26" i="1982"/>
  <c r="AD29" i="1982"/>
  <c r="AD22" i="1982"/>
  <c r="AD16" i="1982"/>
  <c r="AD27" i="1982"/>
  <c r="AD31" i="1982"/>
  <c r="P6" i="1982"/>
  <c r="O9" i="1982"/>
  <c r="M14" i="1982"/>
  <c r="AB14" i="1982"/>
  <c r="AD14" i="1982" s="1"/>
  <c r="M20" i="1982"/>
  <c r="AB20" i="1982"/>
  <c r="AD20" i="1982" s="1"/>
  <c r="O25" i="1982"/>
  <c r="M32" i="1982"/>
  <c r="AB32" i="1982"/>
  <c r="AD32" i="1982" s="1"/>
  <c r="P9" i="1982"/>
  <c r="AC9" i="1982" s="1"/>
  <c r="P25" i="1982"/>
  <c r="AC25" i="1982" s="1"/>
  <c r="AD25" i="1982" s="1"/>
  <c r="M31" i="1982"/>
  <c r="M9" i="1982"/>
  <c r="M25" i="1982"/>
  <c r="P13" i="1981"/>
  <c r="AC13" i="1981" s="1"/>
  <c r="AD27" i="1981"/>
  <c r="AF70" i="1981"/>
  <c r="P18" i="1981"/>
  <c r="AC18" i="1981" s="1"/>
  <c r="O18" i="1981"/>
  <c r="K12" i="1981"/>
  <c r="AD10" i="1981"/>
  <c r="AD13" i="1981"/>
  <c r="K8" i="1981"/>
  <c r="AB8" i="1981"/>
  <c r="AD8" i="1981" s="1"/>
  <c r="AD22" i="1981"/>
  <c r="AD6" i="1981"/>
  <c r="L29" i="1981"/>
  <c r="O29" i="1981" s="1"/>
  <c r="AD16" i="1981"/>
  <c r="Q29" i="1981"/>
  <c r="AD14" i="1981"/>
  <c r="AD20" i="1981"/>
  <c r="AD7" i="1981"/>
  <c r="AD24" i="1981"/>
  <c r="AD23" i="1981"/>
  <c r="AD28" i="1981"/>
  <c r="AD9" i="1981"/>
  <c r="M9" i="1981"/>
  <c r="O11" i="1981"/>
  <c r="AD11" i="1981" s="1"/>
  <c r="K29" i="1981"/>
  <c r="P12" i="1981"/>
  <c r="AC12" i="1981" s="1"/>
  <c r="P17" i="1981"/>
  <c r="AC17" i="1981" s="1"/>
  <c r="O19" i="1981"/>
  <c r="AD19" i="1981" s="1"/>
  <c r="P21" i="1981"/>
  <c r="AC21" i="1981" s="1"/>
  <c r="O25" i="1981"/>
  <c r="AD25" i="1981" s="1"/>
  <c r="P26" i="1981"/>
  <c r="AC26" i="1981" s="1"/>
  <c r="M28" i="1981"/>
  <c r="M12" i="1981"/>
  <c r="AB12" i="1981"/>
  <c r="M17" i="1981"/>
  <c r="AB17" i="1981"/>
  <c r="M21" i="1981"/>
  <c r="AB21" i="1981"/>
  <c r="M26" i="1981"/>
  <c r="AB26" i="1981"/>
  <c r="M11" i="1981"/>
  <c r="M19" i="1981"/>
  <c r="M25" i="1981"/>
  <c r="AD19" i="1980"/>
  <c r="L28" i="1980"/>
  <c r="AB28" i="1980" s="1"/>
  <c r="L27" i="1980"/>
  <c r="L26" i="1980"/>
  <c r="K26" i="1980" s="1"/>
  <c r="L25" i="1980"/>
  <c r="AB25" i="1980" s="1"/>
  <c r="K28" i="1980"/>
  <c r="K27" i="1980"/>
  <c r="K25" i="1980"/>
  <c r="K20" i="1980"/>
  <c r="K18" i="1980"/>
  <c r="K16" i="1980"/>
  <c r="K13" i="1980"/>
  <c r="K12" i="1980"/>
  <c r="K11" i="1980"/>
  <c r="K9" i="1980"/>
  <c r="K8" i="1980"/>
  <c r="K6" i="1980"/>
  <c r="A84" i="1980"/>
  <c r="A85" i="1980" s="1"/>
  <c r="A86" i="1980" s="1"/>
  <c r="A87" i="1980" s="1"/>
  <c r="A88" i="1980" s="1"/>
  <c r="A89" i="1980" s="1"/>
  <c r="AF68" i="1980"/>
  <c r="AF70" i="1980" s="1"/>
  <c r="AF67" i="1980"/>
  <c r="AA29" i="1980"/>
  <c r="Z29" i="1980"/>
  <c r="Y29" i="1980"/>
  <c r="X29" i="1980"/>
  <c r="W29" i="1980"/>
  <c r="V29" i="1980"/>
  <c r="U29" i="1980"/>
  <c r="T29" i="1980"/>
  <c r="S29" i="1980"/>
  <c r="R29" i="1980"/>
  <c r="N29" i="1980"/>
  <c r="J29" i="1980"/>
  <c r="I29" i="1980"/>
  <c r="AF28" i="1980"/>
  <c r="Q28" i="1980"/>
  <c r="P28" i="1980" s="1"/>
  <c r="AC28" i="1980" s="1"/>
  <c r="O28" i="1980"/>
  <c r="AF27" i="1980"/>
  <c r="AB27" i="1980"/>
  <c r="Q27" i="1980"/>
  <c r="P27" i="1980" s="1"/>
  <c r="AC27" i="1980" s="1"/>
  <c r="O27" i="1980"/>
  <c r="M27" i="1980"/>
  <c r="AF26" i="1980"/>
  <c r="Q26" i="1980"/>
  <c r="O26" i="1980"/>
  <c r="AF25" i="1980"/>
  <c r="Q25" i="1980"/>
  <c r="AF24" i="1980"/>
  <c r="AB24" i="1980"/>
  <c r="Q24" i="1980"/>
  <c r="P24" i="1980"/>
  <c r="AC24" i="1980" s="1"/>
  <c r="O24" i="1980"/>
  <c r="M24" i="1980"/>
  <c r="K24" i="1980"/>
  <c r="AF23" i="1980"/>
  <c r="AB23" i="1980"/>
  <c r="Q23" i="1980"/>
  <c r="P23" i="1980"/>
  <c r="AC23" i="1980" s="1"/>
  <c r="O23" i="1980"/>
  <c r="M23" i="1980"/>
  <c r="K23" i="1980"/>
  <c r="AF22" i="1980"/>
  <c r="AB22" i="1980"/>
  <c r="Q22" i="1980"/>
  <c r="P22" i="1980"/>
  <c r="AC22" i="1980" s="1"/>
  <c r="AD22" i="1980" s="1"/>
  <c r="O22" i="1980"/>
  <c r="M22" i="1980"/>
  <c r="K22" i="1980"/>
  <c r="AF21" i="1980"/>
  <c r="AB21" i="1980"/>
  <c r="Q21" i="1980"/>
  <c r="M21" i="1980"/>
  <c r="P21" i="1980"/>
  <c r="AC21" i="1980" s="1"/>
  <c r="AF20" i="1980"/>
  <c r="Q20" i="1980"/>
  <c r="P20" i="1980"/>
  <c r="AC20" i="1980" s="1"/>
  <c r="AF18" i="1980"/>
  <c r="Q18" i="1980"/>
  <c r="P18" i="1980" s="1"/>
  <c r="AC18" i="1980" s="1"/>
  <c r="O18" i="1980"/>
  <c r="AB18" i="1980"/>
  <c r="AF17" i="1980"/>
  <c r="AB17" i="1980"/>
  <c r="Q17" i="1980"/>
  <c r="P17" i="1980"/>
  <c r="AC17" i="1980" s="1"/>
  <c r="O17" i="1980"/>
  <c r="M17" i="1980"/>
  <c r="K17" i="1980"/>
  <c r="AF16" i="1980"/>
  <c r="Q16" i="1980"/>
  <c r="P16" i="1980" s="1"/>
  <c r="AC16" i="1980" s="1"/>
  <c r="AF15" i="1980"/>
  <c r="AB15" i="1980"/>
  <c r="Q15" i="1980"/>
  <c r="P15" i="1980"/>
  <c r="AC15" i="1980" s="1"/>
  <c r="O15" i="1980"/>
  <c r="M15" i="1980"/>
  <c r="K15" i="1980"/>
  <c r="AF14" i="1980"/>
  <c r="AB14" i="1980"/>
  <c r="Q14" i="1980"/>
  <c r="P14" i="1980"/>
  <c r="AC14" i="1980" s="1"/>
  <c r="O14" i="1980"/>
  <c r="M14" i="1980"/>
  <c r="K14" i="1980"/>
  <c r="AF13" i="1980"/>
  <c r="Q13" i="1980"/>
  <c r="P13" i="1980"/>
  <c r="AC13" i="1980" s="1"/>
  <c r="O13" i="1980"/>
  <c r="AB13" i="1980"/>
  <c r="AF12" i="1980"/>
  <c r="AB12" i="1980"/>
  <c r="Q12" i="1980"/>
  <c r="P12" i="1980" s="1"/>
  <c r="AC12" i="1980" s="1"/>
  <c r="O12" i="1980"/>
  <c r="M12" i="1980"/>
  <c r="AF11" i="1980"/>
  <c r="AB11" i="1980"/>
  <c r="Q11" i="1980"/>
  <c r="P11" i="1980" s="1"/>
  <c r="AC11" i="1980" s="1"/>
  <c r="M11" i="1980"/>
  <c r="AF10" i="1980"/>
  <c r="AB10" i="1980"/>
  <c r="Q10" i="1980"/>
  <c r="P10" i="1980"/>
  <c r="AC10" i="1980" s="1"/>
  <c r="O10" i="1980"/>
  <c r="M10" i="1980"/>
  <c r="AF9" i="1980"/>
  <c r="AB9" i="1980"/>
  <c r="Q9" i="1980"/>
  <c r="P9" i="1980" s="1"/>
  <c r="AC9" i="1980" s="1"/>
  <c r="O9" i="1980"/>
  <c r="M9" i="1980"/>
  <c r="AF8" i="1980"/>
  <c r="AB8" i="1980"/>
  <c r="Q8" i="1980"/>
  <c r="M8" i="1980"/>
  <c r="P8" i="1980"/>
  <c r="AC8" i="1980" s="1"/>
  <c r="AF7" i="1980"/>
  <c r="AB7" i="1980"/>
  <c r="Q7" i="1980"/>
  <c r="P7" i="1980"/>
  <c r="AC7" i="1980" s="1"/>
  <c r="O7" i="1980"/>
  <c r="M7" i="1980"/>
  <c r="K7" i="1980"/>
  <c r="AF6" i="1980"/>
  <c r="AB6" i="1980"/>
  <c r="Q6" i="1980"/>
  <c r="P6" i="1980"/>
  <c r="AC6" i="1980" s="1"/>
  <c r="O6" i="1980"/>
  <c r="M6" i="1980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L20" i="1979"/>
  <c r="K20" i="1979"/>
  <c r="L19" i="1979"/>
  <c r="L18" i="1979"/>
  <c r="K18" i="1979" s="1"/>
  <c r="L16" i="1979"/>
  <c r="L13" i="1979"/>
  <c r="K13" i="1979" s="1"/>
  <c r="L12" i="1979"/>
  <c r="L11" i="1979"/>
  <c r="AB11" i="1979" s="1"/>
  <c r="L9" i="1979"/>
  <c r="L8" i="1979"/>
  <c r="L6" i="1979"/>
  <c r="K6" i="1979" s="1"/>
  <c r="L27" i="1979"/>
  <c r="K27" i="1979" s="1"/>
  <c r="L26" i="1979"/>
  <c r="L25" i="1979"/>
  <c r="O25" i="1979" s="1"/>
  <c r="L24" i="1979"/>
  <c r="K24" i="1979" s="1"/>
  <c r="K26" i="1979"/>
  <c r="K19" i="1979"/>
  <c r="K17" i="1979"/>
  <c r="K16" i="1979"/>
  <c r="K12" i="1979"/>
  <c r="K9" i="1979"/>
  <c r="K8" i="1979"/>
  <c r="A83" i="1979"/>
  <c r="A84" i="1979" s="1"/>
  <c r="A85" i="1979" s="1"/>
  <c r="A86" i="1979" s="1"/>
  <c r="A87" i="1979" s="1"/>
  <c r="A88" i="1979" s="1"/>
  <c r="AF67" i="1979"/>
  <c r="AF66" i="1979"/>
  <c r="AA28" i="1979"/>
  <c r="Z28" i="1979"/>
  <c r="Y28" i="1979"/>
  <c r="X28" i="1979"/>
  <c r="W28" i="1979"/>
  <c r="V28" i="1979"/>
  <c r="U28" i="1979"/>
  <c r="T28" i="1979"/>
  <c r="S28" i="1979"/>
  <c r="R28" i="1979"/>
  <c r="N28" i="1979"/>
  <c r="J28" i="1979"/>
  <c r="I28" i="1979"/>
  <c r="AF27" i="1979"/>
  <c r="Q27" i="1979"/>
  <c r="AF26" i="1979"/>
  <c r="Q26" i="1979"/>
  <c r="P26" i="1979" s="1"/>
  <c r="AC26" i="1979" s="1"/>
  <c r="O26" i="1979"/>
  <c r="AB26" i="1979"/>
  <c r="AF25" i="1979"/>
  <c r="Q25" i="1979"/>
  <c r="P25" i="1979" s="1"/>
  <c r="AC25" i="1979" s="1"/>
  <c r="AF24" i="1979"/>
  <c r="Q24" i="1979"/>
  <c r="AF23" i="1979"/>
  <c r="AB23" i="1979"/>
  <c r="Q23" i="1979"/>
  <c r="P23" i="1979"/>
  <c r="AC23" i="1979" s="1"/>
  <c r="O23" i="1979"/>
  <c r="M23" i="1979"/>
  <c r="K23" i="1979"/>
  <c r="AF22" i="1979"/>
  <c r="AB22" i="1979"/>
  <c r="Q22" i="1979"/>
  <c r="P22" i="1979"/>
  <c r="AC22" i="1979" s="1"/>
  <c r="AD22" i="1979" s="1"/>
  <c r="O22" i="1979"/>
  <c r="M22" i="1979"/>
  <c r="K22" i="1979"/>
  <c r="AF21" i="1979"/>
  <c r="AB21" i="1979"/>
  <c r="Q21" i="1979"/>
  <c r="P21" i="1979"/>
  <c r="AC21" i="1979" s="1"/>
  <c r="O21" i="1979"/>
  <c r="M21" i="1979"/>
  <c r="K21" i="1979"/>
  <c r="AF20" i="1979"/>
  <c r="AB20" i="1979"/>
  <c r="Q20" i="1979"/>
  <c r="P20" i="1979"/>
  <c r="AC20" i="1979" s="1"/>
  <c r="O20" i="1979"/>
  <c r="M20" i="1979"/>
  <c r="AF19" i="1979"/>
  <c r="AB19" i="1979"/>
  <c r="Q19" i="1979"/>
  <c r="P19" i="1979" s="1"/>
  <c r="AC19" i="1979" s="1"/>
  <c r="M19" i="1979"/>
  <c r="AF18" i="1979"/>
  <c r="Q18" i="1979"/>
  <c r="P18" i="1979"/>
  <c r="AC18" i="1979" s="1"/>
  <c r="AF17" i="1979"/>
  <c r="Q17" i="1979"/>
  <c r="P17" i="1979"/>
  <c r="AC17" i="1979" s="1"/>
  <c r="O17" i="1979"/>
  <c r="AB17" i="1979"/>
  <c r="AF16" i="1979"/>
  <c r="AB16" i="1979"/>
  <c r="Q16" i="1979"/>
  <c r="P16" i="1979" s="1"/>
  <c r="AC16" i="1979" s="1"/>
  <c r="O16" i="1979"/>
  <c r="M16" i="1979"/>
  <c r="AF15" i="1979"/>
  <c r="AB15" i="1979"/>
  <c r="Q15" i="1979"/>
  <c r="P15" i="1979"/>
  <c r="AC15" i="1979" s="1"/>
  <c r="AD15" i="1979" s="1"/>
  <c r="O15" i="1979"/>
  <c r="M15" i="1979"/>
  <c r="K15" i="1979"/>
  <c r="AF14" i="1979"/>
  <c r="AB14" i="1979"/>
  <c r="Q14" i="1979"/>
  <c r="P14" i="1979"/>
  <c r="AC14" i="1979" s="1"/>
  <c r="O14" i="1979"/>
  <c r="M14" i="1979"/>
  <c r="K14" i="1979"/>
  <c r="AF13" i="1979"/>
  <c r="AB13" i="1979"/>
  <c r="Q13" i="1979"/>
  <c r="P13" i="1979" s="1"/>
  <c r="AC13" i="1979" s="1"/>
  <c r="O13" i="1979"/>
  <c r="M13" i="1979"/>
  <c r="AF12" i="1979"/>
  <c r="AB12" i="1979"/>
  <c r="Q12" i="1979"/>
  <c r="M12" i="1979"/>
  <c r="P12" i="1979"/>
  <c r="AC12" i="1979" s="1"/>
  <c r="AF11" i="1979"/>
  <c r="Q11" i="1979"/>
  <c r="O11" i="1979"/>
  <c r="M11" i="1979"/>
  <c r="AF10" i="1979"/>
  <c r="AC10" i="1979"/>
  <c r="AB10" i="1979"/>
  <c r="Q10" i="1979"/>
  <c r="P10" i="1979"/>
  <c r="O10" i="1979"/>
  <c r="M10" i="1979"/>
  <c r="K10" i="1979"/>
  <c r="AF9" i="1979"/>
  <c r="Q9" i="1979"/>
  <c r="P9" i="1979" s="1"/>
  <c r="AC9" i="1979" s="1"/>
  <c r="AF8" i="1979"/>
  <c r="Q8" i="1979"/>
  <c r="P8" i="1979" s="1"/>
  <c r="AC8" i="1979" s="1"/>
  <c r="O8" i="1979"/>
  <c r="AB8" i="1979"/>
  <c r="AF7" i="1979"/>
  <c r="AB7" i="1979"/>
  <c r="Q7" i="1979"/>
  <c r="P7" i="1979"/>
  <c r="AC7" i="1979" s="1"/>
  <c r="AD7" i="1979" s="1"/>
  <c r="O7" i="1979"/>
  <c r="M7" i="1979"/>
  <c r="K7" i="1979"/>
  <c r="AF6" i="1979"/>
  <c r="Q6" i="1979"/>
  <c r="F24" i="16"/>
  <c r="F23" i="16"/>
  <c r="F22" i="16"/>
  <c r="F21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L21" i="1978"/>
  <c r="L20" i="1978"/>
  <c r="L19" i="1978"/>
  <c r="L18" i="1978"/>
  <c r="L17" i="1978"/>
  <c r="AF17" i="1978"/>
  <c r="AB17" i="1978"/>
  <c r="Q17" i="1978"/>
  <c r="P17" i="1978" s="1"/>
  <c r="AC17" i="1978" s="1"/>
  <c r="O17" i="1978"/>
  <c r="M17" i="1978"/>
  <c r="K17" i="1978"/>
  <c r="K16" i="1978"/>
  <c r="L12" i="1978"/>
  <c r="L9" i="1978"/>
  <c r="K9" i="1978" s="1"/>
  <c r="L8" i="1978"/>
  <c r="AB8" i="1978" s="1"/>
  <c r="AF8" i="1978"/>
  <c r="Q8" i="1978"/>
  <c r="P8" i="1978" s="1"/>
  <c r="AC8" i="1978" s="1"/>
  <c r="O8" i="1978"/>
  <c r="M8" i="1978"/>
  <c r="K8" i="1978"/>
  <c r="L6" i="1978"/>
  <c r="AE23" i="1986" l="1"/>
  <c r="AE13" i="1986"/>
  <c r="AE27" i="1986"/>
  <c r="AE21" i="1986"/>
  <c r="AE12" i="1986"/>
  <c r="AE7" i="1986"/>
  <c r="AE22" i="1986"/>
  <c r="AE16" i="1986"/>
  <c r="AE14" i="1986"/>
  <c r="AE18" i="1986"/>
  <c r="AE25" i="1986"/>
  <c r="AE17" i="1986"/>
  <c r="AE28" i="1986"/>
  <c r="AE11" i="1986"/>
  <c r="AE10" i="1986"/>
  <c r="AE24" i="1986"/>
  <c r="AE26" i="1986"/>
  <c r="AE20" i="1986"/>
  <c r="AE9" i="1986"/>
  <c r="AE19" i="1986"/>
  <c r="AE15" i="1986"/>
  <c r="AE6" i="1986"/>
  <c r="AE8" i="1986"/>
  <c r="AE13" i="1985"/>
  <c r="AE21" i="1985"/>
  <c r="AE24" i="1985"/>
  <c r="AE23" i="1985"/>
  <c r="AE10" i="1985"/>
  <c r="AE19" i="1985"/>
  <c r="AE15" i="1985"/>
  <c r="AE6" i="1985"/>
  <c r="AE26" i="1985"/>
  <c r="AE8" i="1985"/>
  <c r="AE18" i="1985"/>
  <c r="AE16" i="1985"/>
  <c r="AE25" i="1985"/>
  <c r="AE9" i="1985"/>
  <c r="AE20" i="1985"/>
  <c r="AE17" i="1985"/>
  <c r="AE7" i="1985"/>
  <c r="AE11" i="1985"/>
  <c r="AE22" i="1985"/>
  <c r="AE12" i="1985"/>
  <c r="AE14" i="1985"/>
  <c r="AD28" i="1983"/>
  <c r="AD18" i="1982"/>
  <c r="AD7" i="1982"/>
  <c r="AD10" i="1982"/>
  <c r="M33" i="1982"/>
  <c r="AD9" i="1982"/>
  <c r="K33" i="1982"/>
  <c r="AB33" i="1982"/>
  <c r="AC6" i="1982"/>
  <c r="P33" i="1982"/>
  <c r="AD18" i="1981"/>
  <c r="AB29" i="1981"/>
  <c r="AD21" i="1981"/>
  <c r="M29" i="1981"/>
  <c r="AC29" i="1981"/>
  <c r="AD17" i="1981"/>
  <c r="AD26" i="1981"/>
  <c r="AD12" i="1981"/>
  <c r="P29" i="1981"/>
  <c r="L29" i="1980"/>
  <c r="O29" i="1980" s="1"/>
  <c r="AD15" i="1980"/>
  <c r="AD24" i="1980"/>
  <c r="AD14" i="1980"/>
  <c r="AD23" i="1980"/>
  <c r="AD12" i="1980"/>
  <c r="AD10" i="1980"/>
  <c r="AD9" i="1980"/>
  <c r="AD7" i="1980"/>
  <c r="AD17" i="1980"/>
  <c r="AD18" i="1980"/>
  <c r="AD13" i="1980"/>
  <c r="Q29" i="1980"/>
  <c r="AD27" i="1980"/>
  <c r="AD28" i="1980"/>
  <c r="AD6" i="1980"/>
  <c r="O8" i="1980"/>
  <c r="AD8" i="1980" s="1"/>
  <c r="O11" i="1980"/>
  <c r="AD11" i="1980" s="1"/>
  <c r="M16" i="1980"/>
  <c r="AB16" i="1980"/>
  <c r="M20" i="1980"/>
  <c r="AB20" i="1980"/>
  <c r="O21" i="1980"/>
  <c r="AD21" i="1980" s="1"/>
  <c r="K29" i="1980"/>
  <c r="M13" i="1980"/>
  <c r="O16" i="1980"/>
  <c r="M18" i="1980"/>
  <c r="O20" i="1980"/>
  <c r="AD20" i="1980" s="1"/>
  <c r="O25" i="1980"/>
  <c r="P26" i="1980"/>
  <c r="AC26" i="1980" s="1"/>
  <c r="M28" i="1980"/>
  <c r="P25" i="1980"/>
  <c r="AC25" i="1980" s="1"/>
  <c r="M26" i="1980"/>
  <c r="AB26" i="1980"/>
  <c r="M25" i="1980"/>
  <c r="AD10" i="1979"/>
  <c r="P11" i="1979"/>
  <c r="AC11" i="1979" s="1"/>
  <c r="AD14" i="1979"/>
  <c r="AD17" i="1979"/>
  <c r="AD21" i="1979"/>
  <c r="P6" i="1979"/>
  <c r="K11" i="1979"/>
  <c r="AD20" i="1979"/>
  <c r="AB24" i="1979"/>
  <c r="AF69" i="1979"/>
  <c r="O27" i="1979"/>
  <c r="P27" i="1979"/>
  <c r="AC27" i="1979" s="1"/>
  <c r="M25" i="1979"/>
  <c r="AB25" i="1979"/>
  <c r="AD25" i="1979" s="1"/>
  <c r="K25" i="1979"/>
  <c r="Q28" i="1979"/>
  <c r="AD11" i="1979"/>
  <c r="AD13" i="1979"/>
  <c r="AD23" i="1979"/>
  <c r="AD16" i="1979"/>
  <c r="AC6" i="1979"/>
  <c r="AD8" i="1979"/>
  <c r="AD26" i="1979"/>
  <c r="M18" i="1979"/>
  <c r="AB18" i="1979"/>
  <c r="O19" i="1979"/>
  <c r="AD19" i="1979" s="1"/>
  <c r="O24" i="1979"/>
  <c r="M27" i="1979"/>
  <c r="AB27" i="1979"/>
  <c r="L28" i="1979"/>
  <c r="O28" i="1979" s="1"/>
  <c r="M6" i="1979"/>
  <c r="AB6" i="1979"/>
  <c r="M9" i="1979"/>
  <c r="AB9" i="1979"/>
  <c r="O12" i="1979"/>
  <c r="AD12" i="1979" s="1"/>
  <c r="O6" i="1979"/>
  <c r="M8" i="1979"/>
  <c r="O9" i="1979"/>
  <c r="M17" i="1979"/>
  <c r="O18" i="1979"/>
  <c r="P24" i="1979"/>
  <c r="AC24" i="1979" s="1"/>
  <c r="M26" i="1979"/>
  <c r="M24" i="1979"/>
  <c r="AD17" i="1978"/>
  <c r="AD8" i="1978"/>
  <c r="AE27" i="1983" l="1"/>
  <c r="AE17" i="1983"/>
  <c r="AE19" i="1983"/>
  <c r="AE18" i="1983"/>
  <c r="AE20" i="1983"/>
  <c r="AE13" i="1983"/>
  <c r="AE26" i="1983"/>
  <c r="AE11" i="1983"/>
  <c r="AE9" i="1983"/>
  <c r="AE21" i="1983"/>
  <c r="AE15" i="1983"/>
  <c r="AE7" i="1983"/>
  <c r="AE22" i="1983"/>
  <c r="AE14" i="1983"/>
  <c r="AE10" i="1983"/>
  <c r="AE6" i="1983"/>
  <c r="AE12" i="1983"/>
  <c r="AE24" i="1983"/>
  <c r="AE23" i="1983"/>
  <c r="AE16" i="1983"/>
  <c r="AE8" i="1983"/>
  <c r="AE25" i="1983"/>
  <c r="AC33" i="1982"/>
  <c r="AD6" i="1982"/>
  <c r="AD33" i="1982" s="1"/>
  <c r="AE23" i="1982" s="1"/>
  <c r="AD29" i="1981"/>
  <c r="AB29" i="1980"/>
  <c r="AD16" i="1980"/>
  <c r="AD26" i="1980"/>
  <c r="M29" i="1980"/>
  <c r="AD25" i="1980"/>
  <c r="P29" i="1980"/>
  <c r="AC29" i="1980"/>
  <c r="AD27" i="1979"/>
  <c r="AB28" i="1979"/>
  <c r="AD9" i="1979"/>
  <c r="AD24" i="1979"/>
  <c r="AD18" i="1979"/>
  <c r="P28" i="1979"/>
  <c r="K28" i="1979"/>
  <c r="M28" i="1979"/>
  <c r="AD6" i="1979"/>
  <c r="AC28" i="1979"/>
  <c r="L28" i="1978"/>
  <c r="L27" i="1978"/>
  <c r="K27" i="1978" s="1"/>
  <c r="L26" i="1978"/>
  <c r="K26" i="1978" s="1"/>
  <c r="L25" i="1978"/>
  <c r="K28" i="1978"/>
  <c r="K21" i="1978"/>
  <c r="K20" i="1978"/>
  <c r="K19" i="1978"/>
  <c r="K18" i="1978"/>
  <c r="K12" i="1978"/>
  <c r="K10" i="1978"/>
  <c r="K6" i="1978"/>
  <c r="A84" i="1978"/>
  <c r="A85" i="1978" s="1"/>
  <c r="A86" i="1978" s="1"/>
  <c r="A87" i="1978" s="1"/>
  <c r="A88" i="1978" s="1"/>
  <c r="A89" i="1978" s="1"/>
  <c r="AF68" i="1978"/>
  <c r="AF67" i="1978"/>
  <c r="AF70" i="1978" s="1"/>
  <c r="AA29" i="1978"/>
  <c r="Z29" i="1978"/>
  <c r="Y29" i="1978"/>
  <c r="X29" i="1978"/>
  <c r="W29" i="1978"/>
  <c r="V29" i="1978"/>
  <c r="U29" i="1978"/>
  <c r="T29" i="1978"/>
  <c r="S29" i="1978"/>
  <c r="R29" i="1978"/>
  <c r="N29" i="1978"/>
  <c r="J29" i="1978"/>
  <c r="I29" i="1978"/>
  <c r="AF28" i="1978"/>
  <c r="Q28" i="1978"/>
  <c r="O28" i="1978"/>
  <c r="AF27" i="1978"/>
  <c r="AB27" i="1978"/>
  <c r="Q27" i="1978"/>
  <c r="O27" i="1978"/>
  <c r="M27" i="1978"/>
  <c r="AF26" i="1978"/>
  <c r="Q26" i="1978"/>
  <c r="M26" i="1978"/>
  <c r="AB26" i="1978"/>
  <c r="AF25" i="1978"/>
  <c r="Q25" i="1978"/>
  <c r="M25" i="1978"/>
  <c r="K25" i="1978"/>
  <c r="AF24" i="1978"/>
  <c r="AB24" i="1978"/>
  <c r="Q24" i="1978"/>
  <c r="P24" i="1978"/>
  <c r="AC24" i="1978" s="1"/>
  <c r="O24" i="1978"/>
  <c r="M24" i="1978"/>
  <c r="K24" i="1978"/>
  <c r="AF23" i="1978"/>
  <c r="AB23" i="1978"/>
  <c r="Q23" i="1978"/>
  <c r="P23" i="1978"/>
  <c r="AC23" i="1978" s="1"/>
  <c r="O23" i="1978"/>
  <c r="M23" i="1978"/>
  <c r="K23" i="1978"/>
  <c r="AF22" i="1978"/>
  <c r="AB22" i="1978"/>
  <c r="Q22" i="1978"/>
  <c r="P22" i="1978"/>
  <c r="AC22" i="1978" s="1"/>
  <c r="O22" i="1978"/>
  <c r="M22" i="1978"/>
  <c r="K22" i="1978"/>
  <c r="AF21" i="1978"/>
  <c r="Q21" i="1978"/>
  <c r="P21" i="1978" s="1"/>
  <c r="AC21" i="1978" s="1"/>
  <c r="AF20" i="1978"/>
  <c r="AB20" i="1978"/>
  <c r="Q20" i="1978"/>
  <c r="P20" i="1978"/>
  <c r="AC20" i="1978" s="1"/>
  <c r="O20" i="1978"/>
  <c r="M20" i="1978"/>
  <c r="AF19" i="1978"/>
  <c r="AB19" i="1978"/>
  <c r="Q19" i="1978"/>
  <c r="O19" i="1978"/>
  <c r="M19" i="1978"/>
  <c r="P19" i="1978"/>
  <c r="AC19" i="1978" s="1"/>
  <c r="AF18" i="1978"/>
  <c r="AB18" i="1978"/>
  <c r="Q18" i="1978"/>
  <c r="M18" i="1978"/>
  <c r="P18" i="1978"/>
  <c r="AC18" i="1978" s="1"/>
  <c r="AF16" i="1978"/>
  <c r="AB16" i="1978"/>
  <c r="Q16" i="1978"/>
  <c r="P16" i="1978" s="1"/>
  <c r="AC16" i="1978" s="1"/>
  <c r="O16" i="1978"/>
  <c r="M16" i="1978"/>
  <c r="AF15" i="1978"/>
  <c r="AC15" i="1978"/>
  <c r="AB15" i="1978"/>
  <c r="Q15" i="1978"/>
  <c r="P15" i="1978"/>
  <c r="O15" i="1978"/>
  <c r="M15" i="1978"/>
  <c r="K15" i="1978"/>
  <c r="AF14" i="1978"/>
  <c r="AB14" i="1978"/>
  <c r="Q14" i="1978"/>
  <c r="P14" i="1978"/>
  <c r="AC14" i="1978" s="1"/>
  <c r="O14" i="1978"/>
  <c r="M14" i="1978"/>
  <c r="K14" i="1978"/>
  <c r="AF13" i="1978"/>
  <c r="AB13" i="1978"/>
  <c r="Q13" i="1978"/>
  <c r="P13" i="1978"/>
  <c r="AC13" i="1978" s="1"/>
  <c r="O13" i="1978"/>
  <c r="M13" i="1978"/>
  <c r="K13" i="1978"/>
  <c r="AF12" i="1978"/>
  <c r="Q12" i="1978"/>
  <c r="P12" i="1978"/>
  <c r="AC12" i="1978" s="1"/>
  <c r="AF11" i="1978"/>
  <c r="AB11" i="1978"/>
  <c r="Q11" i="1978"/>
  <c r="P11" i="1978"/>
  <c r="AC11" i="1978" s="1"/>
  <c r="AD11" i="1978" s="1"/>
  <c r="O11" i="1978"/>
  <c r="M11" i="1978"/>
  <c r="K11" i="1978"/>
  <c r="AF10" i="1978"/>
  <c r="AB10" i="1978"/>
  <c r="Q10" i="1978"/>
  <c r="M10" i="1978"/>
  <c r="P10" i="1978"/>
  <c r="AC10" i="1978" s="1"/>
  <c r="AF9" i="1978"/>
  <c r="AB9" i="1978"/>
  <c r="Q9" i="1978"/>
  <c r="P9" i="1978" s="1"/>
  <c r="AC9" i="1978" s="1"/>
  <c r="O9" i="1978"/>
  <c r="M9" i="1978"/>
  <c r="AF7" i="1978"/>
  <c r="AB7" i="1978"/>
  <c r="Q7" i="1978"/>
  <c r="P7" i="1978"/>
  <c r="AC7" i="1978" s="1"/>
  <c r="O7" i="1978"/>
  <c r="M7" i="1978"/>
  <c r="K7" i="1978"/>
  <c r="AF6" i="1978"/>
  <c r="AB6" i="1978"/>
  <c r="Q6" i="1978"/>
  <c r="P6" i="1978" s="1"/>
  <c r="AC6" i="1978" s="1"/>
  <c r="O6" i="1978"/>
  <c r="M6" i="1978"/>
  <c r="L29" i="1978"/>
  <c r="O29" i="1978" s="1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L20" i="1977"/>
  <c r="K20" i="1977" s="1"/>
  <c r="L19" i="1977"/>
  <c r="K19" i="1977" s="1"/>
  <c r="L18" i="1977"/>
  <c r="K18" i="1977" s="1"/>
  <c r="L17" i="1977"/>
  <c r="K17" i="1977" s="1"/>
  <c r="L12" i="1977"/>
  <c r="AB12" i="1977" s="1"/>
  <c r="L10" i="1977"/>
  <c r="M10" i="1977" s="1"/>
  <c r="L8" i="1977"/>
  <c r="O8" i="1977" s="1"/>
  <c r="L6" i="1977"/>
  <c r="K6" i="1977" s="1"/>
  <c r="L27" i="1977"/>
  <c r="P27" i="1977" s="1"/>
  <c r="AC27" i="1977" s="1"/>
  <c r="L25" i="1977"/>
  <c r="M25" i="1977" s="1"/>
  <c r="K27" i="1977"/>
  <c r="K26" i="1977"/>
  <c r="K24" i="1977"/>
  <c r="K16" i="1977"/>
  <c r="K11" i="1977"/>
  <c r="K9" i="1977"/>
  <c r="K8" i="1977"/>
  <c r="K7" i="1977"/>
  <c r="A83" i="1977"/>
  <c r="A84" i="1977" s="1"/>
  <c r="A85" i="1977" s="1"/>
  <c r="A86" i="1977" s="1"/>
  <c r="A87" i="1977" s="1"/>
  <c r="A88" i="1977" s="1"/>
  <c r="AF67" i="1977"/>
  <c r="AF66" i="1977"/>
  <c r="AF69" i="1977" s="1"/>
  <c r="AA28" i="1977"/>
  <c r="Z28" i="1977"/>
  <c r="Y28" i="1977"/>
  <c r="X28" i="1977"/>
  <c r="W28" i="1977"/>
  <c r="V28" i="1977"/>
  <c r="U28" i="1977"/>
  <c r="T28" i="1977"/>
  <c r="S28" i="1977"/>
  <c r="R28" i="1977"/>
  <c r="N28" i="1977"/>
  <c r="J28" i="1977"/>
  <c r="I28" i="1977"/>
  <c r="AF27" i="1977"/>
  <c r="Q27" i="1977"/>
  <c r="O27" i="1977"/>
  <c r="AF26" i="1977"/>
  <c r="Q26" i="1977"/>
  <c r="O26" i="1977"/>
  <c r="P26" i="1977"/>
  <c r="AC26" i="1977" s="1"/>
  <c r="AF25" i="1977"/>
  <c r="Q25" i="1977"/>
  <c r="P25" i="1977" s="1"/>
  <c r="AC25" i="1977" s="1"/>
  <c r="O25" i="1977"/>
  <c r="AF24" i="1977"/>
  <c r="Q24" i="1977"/>
  <c r="AB24" i="1977"/>
  <c r="AF23" i="1977"/>
  <c r="AB23" i="1977"/>
  <c r="Q23" i="1977"/>
  <c r="P23" i="1977"/>
  <c r="AC23" i="1977" s="1"/>
  <c r="O23" i="1977"/>
  <c r="M23" i="1977"/>
  <c r="K23" i="1977"/>
  <c r="AF22" i="1977"/>
  <c r="AB22" i="1977"/>
  <c r="Q22" i="1977"/>
  <c r="P22" i="1977"/>
  <c r="AC22" i="1977" s="1"/>
  <c r="AD22" i="1977" s="1"/>
  <c r="O22" i="1977"/>
  <c r="M22" i="1977"/>
  <c r="K22" i="1977"/>
  <c r="AF21" i="1977"/>
  <c r="AB21" i="1977"/>
  <c r="Q21" i="1977"/>
  <c r="P21" i="1977"/>
  <c r="AC21" i="1977" s="1"/>
  <c r="O21" i="1977"/>
  <c r="M21" i="1977"/>
  <c r="K21" i="1977"/>
  <c r="AF20" i="1977"/>
  <c r="Q20" i="1977"/>
  <c r="AF19" i="1977"/>
  <c r="Q19" i="1977"/>
  <c r="AF18" i="1977"/>
  <c r="Q18" i="1977"/>
  <c r="P18" i="1977"/>
  <c r="AC18" i="1977" s="1"/>
  <c r="AF17" i="1977"/>
  <c r="AB17" i="1977"/>
  <c r="Q17" i="1977"/>
  <c r="O17" i="1977"/>
  <c r="M17" i="1977"/>
  <c r="AF16" i="1977"/>
  <c r="AB16" i="1977"/>
  <c r="Q16" i="1977"/>
  <c r="O16" i="1977"/>
  <c r="M16" i="1977"/>
  <c r="P16" i="1977"/>
  <c r="AC16" i="1977" s="1"/>
  <c r="AF15" i="1977"/>
  <c r="AB15" i="1977"/>
  <c r="Q15" i="1977"/>
  <c r="P15" i="1977"/>
  <c r="AC15" i="1977" s="1"/>
  <c r="O15" i="1977"/>
  <c r="M15" i="1977"/>
  <c r="K15" i="1977"/>
  <c r="AF14" i="1977"/>
  <c r="AB14" i="1977"/>
  <c r="Q14" i="1977"/>
  <c r="P14" i="1977"/>
  <c r="AC14" i="1977" s="1"/>
  <c r="O14" i="1977"/>
  <c r="M14" i="1977"/>
  <c r="K14" i="1977"/>
  <c r="AF13" i="1977"/>
  <c r="AB13" i="1977"/>
  <c r="Q13" i="1977"/>
  <c r="P13" i="1977"/>
  <c r="AC13" i="1977" s="1"/>
  <c r="O13" i="1977"/>
  <c r="M13" i="1977"/>
  <c r="K13" i="1977"/>
  <c r="AF12" i="1977"/>
  <c r="Q12" i="1977"/>
  <c r="O12" i="1977"/>
  <c r="AF11" i="1977"/>
  <c r="Q11" i="1977"/>
  <c r="O11" i="1977"/>
  <c r="M11" i="1977"/>
  <c r="AB11" i="1977"/>
  <c r="AF10" i="1977"/>
  <c r="Q10" i="1977"/>
  <c r="AF9" i="1977"/>
  <c r="Q9" i="1977"/>
  <c r="P9" i="1977"/>
  <c r="AC9" i="1977" s="1"/>
  <c r="AF8" i="1977"/>
  <c r="Q8" i="1977"/>
  <c r="P8" i="1977"/>
  <c r="AC8" i="1977" s="1"/>
  <c r="M8" i="1977"/>
  <c r="AF7" i="1977"/>
  <c r="AB7" i="1977"/>
  <c r="Q7" i="1977"/>
  <c r="O7" i="1977"/>
  <c r="M7" i="1977"/>
  <c r="P7" i="1977"/>
  <c r="AC7" i="1977" s="1"/>
  <c r="AF6" i="1977"/>
  <c r="Q6" i="1977"/>
  <c r="M6" i="1977"/>
  <c r="C25" i="16"/>
  <c r="C24" i="16"/>
  <c r="C23" i="16"/>
  <c r="C22" i="16"/>
  <c r="AG22" i="16" s="1"/>
  <c r="C21" i="16"/>
  <c r="C20" i="16"/>
  <c r="C19" i="16"/>
  <c r="C18" i="16"/>
  <c r="C17" i="16"/>
  <c r="C16" i="16"/>
  <c r="C15" i="16"/>
  <c r="C14" i="16"/>
  <c r="AG14" i="16" s="1"/>
  <c r="C13" i="16"/>
  <c r="C12" i="16"/>
  <c r="C11" i="16"/>
  <c r="C10" i="16"/>
  <c r="AG10" i="16" s="1"/>
  <c r="C9" i="16"/>
  <c r="C8" i="16"/>
  <c r="C7" i="16"/>
  <c r="C6" i="16"/>
  <c r="AG6" i="16" s="1"/>
  <c r="C5" i="16"/>
  <c r="C4" i="16"/>
  <c r="C3" i="16"/>
  <c r="L20" i="1976"/>
  <c r="L19" i="1976"/>
  <c r="L18" i="1976"/>
  <c r="O18" i="1976" s="1"/>
  <c r="L17" i="1976"/>
  <c r="L16" i="1976"/>
  <c r="O16" i="1976" s="1"/>
  <c r="L12" i="1976"/>
  <c r="L11" i="1976"/>
  <c r="L10" i="1976"/>
  <c r="L9" i="1976"/>
  <c r="L8" i="1976"/>
  <c r="AB8" i="1976" s="1"/>
  <c r="L7" i="1976"/>
  <c r="M7" i="1976" s="1"/>
  <c r="L6" i="1976"/>
  <c r="L27" i="1976"/>
  <c r="P27" i="1976" s="1"/>
  <c r="AC27" i="1976" s="1"/>
  <c r="L26" i="1976"/>
  <c r="L25" i="1976"/>
  <c r="L24" i="1976"/>
  <c r="K27" i="1976"/>
  <c r="K26" i="1976"/>
  <c r="K25" i="1976"/>
  <c r="K24" i="1976"/>
  <c r="K19" i="1976"/>
  <c r="K18" i="1976"/>
  <c r="K17" i="1976"/>
  <c r="K12" i="1976"/>
  <c r="K11" i="1976"/>
  <c r="K10" i="1976"/>
  <c r="K9" i="1976"/>
  <c r="K7" i="1976"/>
  <c r="K6" i="1976"/>
  <c r="A83" i="1976"/>
  <c r="A84" i="1976" s="1"/>
  <c r="A85" i="1976" s="1"/>
  <c r="A86" i="1976" s="1"/>
  <c r="A87" i="1976" s="1"/>
  <c r="A88" i="1976" s="1"/>
  <c r="AF69" i="1976"/>
  <c r="AF67" i="1976"/>
  <c r="AF66" i="1976"/>
  <c r="AA28" i="1976"/>
  <c r="Z28" i="1976"/>
  <c r="Y28" i="1976"/>
  <c r="X28" i="1976"/>
  <c r="W28" i="1976"/>
  <c r="V28" i="1976"/>
  <c r="U28" i="1976"/>
  <c r="T28" i="1976"/>
  <c r="S28" i="1976"/>
  <c r="R28" i="1976"/>
  <c r="N28" i="1976"/>
  <c r="J28" i="1976"/>
  <c r="I28" i="1976"/>
  <c r="AF27" i="1976"/>
  <c r="Q27" i="1976"/>
  <c r="O27" i="1976"/>
  <c r="AB27" i="1976"/>
  <c r="AF26" i="1976"/>
  <c r="AB26" i="1976"/>
  <c r="Q26" i="1976"/>
  <c r="P26" i="1976"/>
  <c r="AC26" i="1976" s="1"/>
  <c r="O26" i="1976"/>
  <c r="M26" i="1976"/>
  <c r="AF25" i="1976"/>
  <c r="Q25" i="1976"/>
  <c r="O25" i="1976"/>
  <c r="AF24" i="1976"/>
  <c r="Q24" i="1976"/>
  <c r="P24" i="1976"/>
  <c r="AC24" i="1976" s="1"/>
  <c r="AB24" i="1976"/>
  <c r="AF23" i="1976"/>
  <c r="AB23" i="1976"/>
  <c r="Q23" i="1976"/>
  <c r="P23" i="1976"/>
  <c r="AC23" i="1976" s="1"/>
  <c r="AD23" i="1976" s="1"/>
  <c r="O23" i="1976"/>
  <c r="M23" i="1976"/>
  <c r="K23" i="1976"/>
  <c r="AF22" i="1976"/>
  <c r="AB22" i="1976"/>
  <c r="Q22" i="1976"/>
  <c r="P22" i="1976"/>
  <c r="AC22" i="1976" s="1"/>
  <c r="O22" i="1976"/>
  <c r="M22" i="1976"/>
  <c r="K22" i="1976"/>
  <c r="AF21" i="1976"/>
  <c r="AB21" i="1976"/>
  <c r="Q21" i="1976"/>
  <c r="P21" i="1976"/>
  <c r="AC21" i="1976" s="1"/>
  <c r="O21" i="1976"/>
  <c r="M21" i="1976"/>
  <c r="K21" i="1976"/>
  <c r="AF20" i="1976"/>
  <c r="Q20" i="1976"/>
  <c r="AF19" i="1976"/>
  <c r="Q19" i="1976"/>
  <c r="P19" i="1976" s="1"/>
  <c r="AC19" i="1976" s="1"/>
  <c r="AF18" i="1976"/>
  <c r="Q18" i="1976"/>
  <c r="P18" i="1976"/>
  <c r="AC18" i="1976" s="1"/>
  <c r="AF17" i="1976"/>
  <c r="AC17" i="1976"/>
  <c r="AB17" i="1976"/>
  <c r="Q17" i="1976"/>
  <c r="P17" i="1976"/>
  <c r="O17" i="1976"/>
  <c r="M17" i="1976"/>
  <c r="AF16" i="1976"/>
  <c r="Q16" i="1976"/>
  <c r="M16" i="1976"/>
  <c r="AF15" i="1976"/>
  <c r="AB15" i="1976"/>
  <c r="Q15" i="1976"/>
  <c r="P15" i="1976"/>
  <c r="AC15" i="1976" s="1"/>
  <c r="O15" i="1976"/>
  <c r="M15" i="1976"/>
  <c r="K15" i="1976"/>
  <c r="AF14" i="1976"/>
  <c r="AB14" i="1976"/>
  <c r="Q14" i="1976"/>
  <c r="P14" i="1976"/>
  <c r="AC14" i="1976" s="1"/>
  <c r="AD14" i="1976" s="1"/>
  <c r="O14" i="1976"/>
  <c r="M14" i="1976"/>
  <c r="K14" i="1976"/>
  <c r="AF13" i="1976"/>
  <c r="AB13" i="1976"/>
  <c r="Q13" i="1976"/>
  <c r="P13" i="1976"/>
  <c r="AC13" i="1976" s="1"/>
  <c r="O13" i="1976"/>
  <c r="M13" i="1976"/>
  <c r="K13" i="1976"/>
  <c r="AF12" i="1976"/>
  <c r="AB12" i="1976"/>
  <c r="Q12" i="1976"/>
  <c r="P12" i="1976"/>
  <c r="AC12" i="1976" s="1"/>
  <c r="O12" i="1976"/>
  <c r="M12" i="1976"/>
  <c r="AF11" i="1976"/>
  <c r="AB11" i="1976"/>
  <c r="Q11" i="1976"/>
  <c r="M11" i="1976"/>
  <c r="O11" i="1976"/>
  <c r="AF10" i="1976"/>
  <c r="Q10" i="1976"/>
  <c r="AB10" i="1976"/>
  <c r="AF9" i="1976"/>
  <c r="Q9" i="1976"/>
  <c r="P9" i="1976"/>
  <c r="AC9" i="1976" s="1"/>
  <c r="O9" i="1976"/>
  <c r="AB9" i="1976"/>
  <c r="AF8" i="1976"/>
  <c r="Q8" i="1976"/>
  <c r="P8" i="1976"/>
  <c r="AC8" i="1976" s="1"/>
  <c r="O8" i="1976"/>
  <c r="AF7" i="1976"/>
  <c r="Q7" i="1976"/>
  <c r="AF6" i="1976"/>
  <c r="Q6" i="1976"/>
  <c r="M6" i="197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L27" i="1975"/>
  <c r="P27" i="1975" s="1"/>
  <c r="AC27" i="1975" s="1"/>
  <c r="L26" i="1975"/>
  <c r="L25" i="1975"/>
  <c r="L24" i="1975"/>
  <c r="L20" i="1975"/>
  <c r="K20" i="1975" s="1"/>
  <c r="L19" i="1975"/>
  <c r="K19" i="1975" s="1"/>
  <c r="L18" i="1975"/>
  <c r="L17" i="1975"/>
  <c r="L16" i="1975"/>
  <c r="P16" i="1975" s="1"/>
  <c r="AC16" i="1975" s="1"/>
  <c r="L12" i="1975"/>
  <c r="K12" i="1975" s="1"/>
  <c r="L11" i="1975"/>
  <c r="K11" i="1975" s="1"/>
  <c r="L10" i="1975"/>
  <c r="O10" i="1975" s="1"/>
  <c r="L9" i="1975"/>
  <c r="K9" i="1975"/>
  <c r="L8" i="1975"/>
  <c r="L7" i="1975"/>
  <c r="K7" i="1975" s="1"/>
  <c r="L6" i="1975"/>
  <c r="AG24" i="16"/>
  <c r="AG23" i="16"/>
  <c r="AG21" i="16"/>
  <c r="AG17" i="16"/>
  <c r="AG16" i="16"/>
  <c r="AG15" i="16"/>
  <c r="AG13" i="16"/>
  <c r="AG12" i="16"/>
  <c r="AG11" i="16"/>
  <c r="AG9" i="16"/>
  <c r="AG8" i="16"/>
  <c r="AG7" i="16"/>
  <c r="AG5" i="16"/>
  <c r="AG4" i="16"/>
  <c r="AG3" i="16"/>
  <c r="K27" i="1975"/>
  <c r="K26" i="1975"/>
  <c r="K25" i="1975"/>
  <c r="K24" i="1975"/>
  <c r="K18" i="1975"/>
  <c r="K17" i="1975"/>
  <c r="K16" i="1975"/>
  <c r="K13" i="1975"/>
  <c r="K10" i="1975"/>
  <c r="K8" i="1975"/>
  <c r="K6" i="1975"/>
  <c r="M18" i="1975"/>
  <c r="P17" i="1975"/>
  <c r="AC17" i="1975" s="1"/>
  <c r="O16" i="1975"/>
  <c r="O7" i="1975"/>
  <c r="AB24" i="1975"/>
  <c r="K14" i="1975"/>
  <c r="A83" i="1975"/>
  <c r="A84" i="1975" s="1"/>
  <c r="A85" i="1975" s="1"/>
  <c r="A86" i="1975" s="1"/>
  <c r="A87" i="1975" s="1"/>
  <c r="A88" i="1975" s="1"/>
  <c r="AF67" i="1975"/>
  <c r="AF66" i="1975"/>
  <c r="AF69" i="1975" s="1"/>
  <c r="AA28" i="1975"/>
  <c r="Z28" i="1975"/>
  <c r="Y28" i="1975"/>
  <c r="X28" i="1975"/>
  <c r="W28" i="1975"/>
  <c r="V28" i="1975"/>
  <c r="U28" i="1975"/>
  <c r="T28" i="1975"/>
  <c r="S28" i="1975"/>
  <c r="R28" i="1975"/>
  <c r="N28" i="1975"/>
  <c r="J28" i="1975"/>
  <c r="I28" i="1975"/>
  <c r="AF27" i="1975"/>
  <c r="AB27" i="1975"/>
  <c r="Q27" i="1975"/>
  <c r="M27" i="1975"/>
  <c r="AF26" i="1975"/>
  <c r="Q26" i="1975"/>
  <c r="P26" i="1975"/>
  <c r="AC26" i="1975" s="1"/>
  <c r="AF25" i="1975"/>
  <c r="Q25" i="1975"/>
  <c r="P25" i="1975"/>
  <c r="AC25" i="1975" s="1"/>
  <c r="O25" i="1975"/>
  <c r="AF24" i="1975"/>
  <c r="Q24" i="1975"/>
  <c r="O24" i="1975"/>
  <c r="AF23" i="1975"/>
  <c r="AB23" i="1975"/>
  <c r="Q23" i="1975"/>
  <c r="P23" i="1975"/>
  <c r="AC23" i="1975" s="1"/>
  <c r="O23" i="1975"/>
  <c r="M23" i="1975"/>
  <c r="K23" i="1975"/>
  <c r="AF22" i="1975"/>
  <c r="AB22" i="1975"/>
  <c r="Q22" i="1975"/>
  <c r="P22" i="1975"/>
  <c r="AC22" i="1975" s="1"/>
  <c r="AD22" i="1975" s="1"/>
  <c r="O22" i="1975"/>
  <c r="M22" i="1975"/>
  <c r="K22" i="1975"/>
  <c r="AF21" i="1975"/>
  <c r="AB21" i="1975"/>
  <c r="Q21" i="1975"/>
  <c r="P21" i="1975"/>
  <c r="AC21" i="1975" s="1"/>
  <c r="O21" i="1975"/>
  <c r="M21" i="1975"/>
  <c r="K21" i="1975"/>
  <c r="AF20" i="1975"/>
  <c r="Q20" i="1975"/>
  <c r="AF19" i="1975"/>
  <c r="Q19" i="1975"/>
  <c r="AF18" i="1975"/>
  <c r="AB18" i="1975"/>
  <c r="Q18" i="1975"/>
  <c r="P18" i="1975" s="1"/>
  <c r="AC18" i="1975" s="1"/>
  <c r="O18" i="1975"/>
  <c r="AF17" i="1975"/>
  <c r="Q17" i="1975"/>
  <c r="O17" i="1975"/>
  <c r="AF16" i="1975"/>
  <c r="AB16" i="1975"/>
  <c r="Q16" i="1975"/>
  <c r="AF15" i="1975"/>
  <c r="AB15" i="1975"/>
  <c r="Q15" i="1975"/>
  <c r="P15" i="1975"/>
  <c r="AC15" i="1975" s="1"/>
  <c r="O15" i="1975"/>
  <c r="M15" i="1975"/>
  <c r="K15" i="1975"/>
  <c r="AF14" i="1975"/>
  <c r="AB14" i="1975"/>
  <c r="Q14" i="1975"/>
  <c r="P14" i="1975" s="1"/>
  <c r="AC14" i="1975" s="1"/>
  <c r="O14" i="1975"/>
  <c r="M14" i="1975"/>
  <c r="AF13" i="1975"/>
  <c r="Q13" i="1975"/>
  <c r="O13" i="1975"/>
  <c r="AB13" i="1975"/>
  <c r="AF12" i="1975"/>
  <c r="AB12" i="1975"/>
  <c r="Q12" i="1975"/>
  <c r="M12" i="1975"/>
  <c r="O12" i="1975"/>
  <c r="AF11" i="1975"/>
  <c r="Q11" i="1975"/>
  <c r="AF10" i="1975"/>
  <c r="Q10" i="1975"/>
  <c r="AB10" i="1975"/>
  <c r="AF9" i="1975"/>
  <c r="AB9" i="1975"/>
  <c r="Q9" i="1975"/>
  <c r="P9" i="1975" s="1"/>
  <c r="AC9" i="1975" s="1"/>
  <c r="M9" i="1975"/>
  <c r="O9" i="1975"/>
  <c r="AF8" i="1975"/>
  <c r="Q8" i="1975"/>
  <c r="AF7" i="1975"/>
  <c r="AB7" i="1975"/>
  <c r="Q7" i="1975"/>
  <c r="P7" i="1975"/>
  <c r="AC7" i="1975" s="1"/>
  <c r="M7" i="1975"/>
  <c r="AF6" i="1975"/>
  <c r="AB6" i="1975"/>
  <c r="Q6" i="1975"/>
  <c r="P6" i="1975" s="1"/>
  <c r="M6" i="1975"/>
  <c r="AE19" i="1982" l="1"/>
  <c r="AE21" i="1982"/>
  <c r="AE8" i="1982"/>
  <c r="AE12" i="1982"/>
  <c r="AE32" i="1982"/>
  <c r="AE24" i="1982"/>
  <c r="AE20" i="1982"/>
  <c r="AE16" i="1982"/>
  <c r="AE14" i="1982"/>
  <c r="AE7" i="1982"/>
  <c r="AE9" i="1982"/>
  <c r="AE29" i="1982"/>
  <c r="AE27" i="1982"/>
  <c r="AE25" i="1982"/>
  <c r="AE10" i="1982"/>
  <c r="AE30" i="1982"/>
  <c r="AE22" i="1982"/>
  <c r="AE17" i="1982"/>
  <c r="AE15" i="1982"/>
  <c r="AE11" i="1982"/>
  <c r="AE6" i="1982"/>
  <c r="AE31" i="1982"/>
  <c r="AE28" i="1982"/>
  <c r="AE26" i="1982"/>
  <c r="AE18" i="1982"/>
  <c r="AE13" i="1982"/>
  <c r="AE28" i="1981"/>
  <c r="AE10" i="1981"/>
  <c r="AE8" i="1981"/>
  <c r="AE12" i="1981"/>
  <c r="AE23" i="1981"/>
  <c r="AE13" i="1981"/>
  <c r="AE26" i="1981"/>
  <c r="AE27" i="1981"/>
  <c r="AE20" i="1981"/>
  <c r="AE19" i="1981"/>
  <c r="AE15" i="1981"/>
  <c r="AE17" i="1981"/>
  <c r="AE11" i="1981"/>
  <c r="AE9" i="1981"/>
  <c r="AE6" i="1981"/>
  <c r="AE21" i="1981"/>
  <c r="AE16" i="1981"/>
  <c r="AE18" i="1981"/>
  <c r="AE14" i="1981"/>
  <c r="AE25" i="1981"/>
  <c r="AE22" i="1981"/>
  <c r="AE7" i="1981"/>
  <c r="AE24" i="1981"/>
  <c r="AD29" i="1980"/>
  <c r="AD28" i="1979"/>
  <c r="AE27" i="1979" s="1"/>
  <c r="AD24" i="1978"/>
  <c r="F20" i="16" s="1"/>
  <c r="AG20" i="16" s="1"/>
  <c r="AD23" i="1978"/>
  <c r="F19" i="16" s="1"/>
  <c r="AG19" i="16" s="1"/>
  <c r="AD22" i="1978"/>
  <c r="F18" i="16" s="1"/>
  <c r="AG18" i="16" s="1"/>
  <c r="AD15" i="1978"/>
  <c r="AD9" i="1978"/>
  <c r="Q29" i="1978"/>
  <c r="P28" i="1978"/>
  <c r="AC28" i="1978" s="1"/>
  <c r="P25" i="1978"/>
  <c r="AC25" i="1978" s="1"/>
  <c r="P27" i="1978"/>
  <c r="AC27" i="1978" s="1"/>
  <c r="AD27" i="1978" s="1"/>
  <c r="AB25" i="1978"/>
  <c r="O25" i="1978"/>
  <c r="AD13" i="1978"/>
  <c r="AD14" i="1978"/>
  <c r="AD19" i="1978"/>
  <c r="AD20" i="1978"/>
  <c r="AD16" i="1978"/>
  <c r="AD7" i="1978"/>
  <c r="AD6" i="1978"/>
  <c r="O10" i="1978"/>
  <c r="AD10" i="1978" s="1"/>
  <c r="M12" i="1978"/>
  <c r="AB12" i="1978"/>
  <c r="O18" i="1978"/>
  <c r="AD18" i="1978" s="1"/>
  <c r="M21" i="1978"/>
  <c r="AB21" i="1978"/>
  <c r="O26" i="1978"/>
  <c r="M28" i="1978"/>
  <c r="AB28" i="1978"/>
  <c r="O12" i="1978"/>
  <c r="O21" i="1978"/>
  <c r="P26" i="1978"/>
  <c r="AC26" i="1978" s="1"/>
  <c r="AD26" i="1978" s="1"/>
  <c r="K29" i="1978"/>
  <c r="AB20" i="1977"/>
  <c r="O20" i="1977"/>
  <c r="M20" i="1977"/>
  <c r="AB19" i="1977"/>
  <c r="O18" i="1977"/>
  <c r="P17" i="1977"/>
  <c r="AC17" i="1977" s="1"/>
  <c r="P12" i="1977"/>
  <c r="AC12" i="1977" s="1"/>
  <c r="AD12" i="1977" s="1"/>
  <c r="K12" i="1977"/>
  <c r="M12" i="1977"/>
  <c r="Q28" i="1977"/>
  <c r="K10" i="1977"/>
  <c r="AB10" i="1977"/>
  <c r="AB8" i="1977"/>
  <c r="AD8" i="1977" s="1"/>
  <c r="AB6" i="1977"/>
  <c r="P6" i="1977"/>
  <c r="AC6" i="1977" s="1"/>
  <c r="K25" i="1977"/>
  <c r="AB25" i="1977"/>
  <c r="AD25" i="1977" s="1"/>
  <c r="AD17" i="1977"/>
  <c r="AD15" i="1977"/>
  <c r="AD16" i="1977"/>
  <c r="AD21" i="1977"/>
  <c r="AD7" i="1977"/>
  <c r="AD14" i="1977"/>
  <c r="AD13" i="1977"/>
  <c r="AD23" i="1977"/>
  <c r="O6" i="1977"/>
  <c r="M9" i="1977"/>
  <c r="AB9" i="1977"/>
  <c r="O10" i="1977"/>
  <c r="P11" i="1977"/>
  <c r="AC11" i="1977" s="1"/>
  <c r="AD11" i="1977" s="1"/>
  <c r="M18" i="1977"/>
  <c r="AB18" i="1977"/>
  <c r="AD18" i="1977" s="1"/>
  <c r="O19" i="1977"/>
  <c r="P20" i="1977"/>
  <c r="AC20" i="1977" s="1"/>
  <c r="O24" i="1977"/>
  <c r="M27" i="1977"/>
  <c r="AB27" i="1977"/>
  <c r="AD27" i="1977" s="1"/>
  <c r="L28" i="1977"/>
  <c r="O28" i="1977" s="1"/>
  <c r="O9" i="1977"/>
  <c r="AD9" i="1977" s="1"/>
  <c r="P10" i="1977"/>
  <c r="AC10" i="1977" s="1"/>
  <c r="P19" i="1977"/>
  <c r="AC19" i="1977" s="1"/>
  <c r="P24" i="1977"/>
  <c r="AC24" i="1977" s="1"/>
  <c r="M26" i="1977"/>
  <c r="AB26" i="1977"/>
  <c r="AD26" i="1977" s="1"/>
  <c r="M19" i="1977"/>
  <c r="M24" i="1977"/>
  <c r="P20" i="1976"/>
  <c r="AC20" i="1976" s="1"/>
  <c r="K20" i="1976"/>
  <c r="AB20" i="1976"/>
  <c r="M20" i="1976"/>
  <c r="AB18" i="1976"/>
  <c r="AD17" i="1976"/>
  <c r="K16" i="1976"/>
  <c r="AB16" i="1976"/>
  <c r="K8" i="1976"/>
  <c r="M8" i="1976"/>
  <c r="Q28" i="1976"/>
  <c r="AB7" i="1976"/>
  <c r="P7" i="1976"/>
  <c r="AC7" i="1976" s="1"/>
  <c r="AD26" i="1976"/>
  <c r="AD22" i="1976"/>
  <c r="AD8" i="1976"/>
  <c r="AD12" i="1976"/>
  <c r="AD21" i="1976"/>
  <c r="AD15" i="1976"/>
  <c r="AD13" i="1976"/>
  <c r="AD18" i="1976"/>
  <c r="AD27" i="1976"/>
  <c r="AD9" i="1976"/>
  <c r="AB6" i="1976"/>
  <c r="O7" i="1976"/>
  <c r="M10" i="1976"/>
  <c r="M19" i="1976"/>
  <c r="AB19" i="1976"/>
  <c r="AD19" i="1976" s="1"/>
  <c r="O20" i="1976"/>
  <c r="O6" i="1976"/>
  <c r="M9" i="1976"/>
  <c r="O10" i="1976"/>
  <c r="P11" i="1976"/>
  <c r="AC11" i="1976" s="1"/>
  <c r="AD11" i="1976" s="1"/>
  <c r="P16" i="1976"/>
  <c r="AC16" i="1976" s="1"/>
  <c r="AD16" i="1976" s="1"/>
  <c r="M18" i="1976"/>
  <c r="O19" i="1976"/>
  <c r="O24" i="1976"/>
  <c r="AD24" i="1976" s="1"/>
  <c r="P25" i="1976"/>
  <c r="AC25" i="1976" s="1"/>
  <c r="M27" i="1976"/>
  <c r="L28" i="1976"/>
  <c r="O28" i="1976" s="1"/>
  <c r="P6" i="1976"/>
  <c r="P10" i="1976"/>
  <c r="AC10" i="1976" s="1"/>
  <c r="AD10" i="1976" s="1"/>
  <c r="M25" i="1976"/>
  <c r="AB25" i="1976"/>
  <c r="M24" i="1976"/>
  <c r="AB20" i="1975"/>
  <c r="O20" i="1975"/>
  <c r="M20" i="1975"/>
  <c r="O19" i="1975"/>
  <c r="M16" i="1975"/>
  <c r="P11" i="1975"/>
  <c r="AC11" i="1975" s="1"/>
  <c r="M11" i="1975"/>
  <c r="AB11" i="1975"/>
  <c r="O11" i="1975"/>
  <c r="AD15" i="1975"/>
  <c r="AD23" i="1975"/>
  <c r="P20" i="1975"/>
  <c r="AC20" i="1975" s="1"/>
  <c r="AD16" i="1975"/>
  <c r="P12" i="1975"/>
  <c r="AC12" i="1975" s="1"/>
  <c r="AD12" i="1975" s="1"/>
  <c r="P8" i="1975"/>
  <c r="AC8" i="1975" s="1"/>
  <c r="Q28" i="1975"/>
  <c r="L28" i="1975"/>
  <c r="O28" i="1975" s="1"/>
  <c r="AD7" i="1975"/>
  <c r="AD21" i="1975"/>
  <c r="AD14" i="1975"/>
  <c r="AD9" i="1975"/>
  <c r="AD18" i="1975"/>
  <c r="O6" i="1975"/>
  <c r="AC6" i="1975"/>
  <c r="M8" i="1975"/>
  <c r="AB8" i="1975"/>
  <c r="P10" i="1975"/>
  <c r="AC10" i="1975" s="1"/>
  <c r="AD10" i="1975" s="1"/>
  <c r="P13" i="1975"/>
  <c r="AC13" i="1975" s="1"/>
  <c r="AD13" i="1975" s="1"/>
  <c r="M17" i="1975"/>
  <c r="AB17" i="1975"/>
  <c r="AD17" i="1975" s="1"/>
  <c r="P19" i="1975"/>
  <c r="AC19" i="1975" s="1"/>
  <c r="P24" i="1975"/>
  <c r="AC24" i="1975" s="1"/>
  <c r="AD24" i="1975" s="1"/>
  <c r="M26" i="1975"/>
  <c r="AB26" i="1975"/>
  <c r="O27" i="1975"/>
  <c r="AD27" i="1975" s="1"/>
  <c r="O8" i="1975"/>
  <c r="M25" i="1975"/>
  <c r="AB25" i="1975"/>
  <c r="AD25" i="1975" s="1"/>
  <c r="O26" i="1975"/>
  <c r="K28" i="1975"/>
  <c r="M10" i="1975"/>
  <c r="M13" i="1975"/>
  <c r="M19" i="1975"/>
  <c r="AB19" i="1975"/>
  <c r="M24" i="1975"/>
  <c r="AE28" i="1980" l="1"/>
  <c r="AE19" i="1980"/>
  <c r="AE22" i="1980"/>
  <c r="AE17" i="1980"/>
  <c r="AE14" i="1980"/>
  <c r="AE16" i="1980"/>
  <c r="AE20" i="1980"/>
  <c r="AE13" i="1980"/>
  <c r="AE27" i="1980"/>
  <c r="AE21" i="1980"/>
  <c r="AE25" i="1980"/>
  <c r="AE7" i="1980"/>
  <c r="AE15" i="1980"/>
  <c r="AE9" i="1980"/>
  <c r="AE8" i="1980"/>
  <c r="AE23" i="1980"/>
  <c r="AE24" i="1980"/>
  <c r="AE6" i="1980"/>
  <c r="AE10" i="1980"/>
  <c r="AE18" i="1980"/>
  <c r="AE12" i="1980"/>
  <c r="AE11" i="1980"/>
  <c r="AE26" i="1980"/>
  <c r="AE15" i="1979"/>
  <c r="AE10" i="1979"/>
  <c r="AE16" i="1979"/>
  <c r="AE6" i="1979"/>
  <c r="AE8" i="1979"/>
  <c r="AE20" i="1979"/>
  <c r="AE19" i="1979"/>
  <c r="AE11" i="1979"/>
  <c r="AE12" i="1979"/>
  <c r="AE17" i="1979"/>
  <c r="AE21" i="1979"/>
  <c r="AE14" i="1979"/>
  <c r="AE9" i="1979"/>
  <c r="AE13" i="1979"/>
  <c r="AE25" i="1979"/>
  <c r="AE24" i="1979"/>
  <c r="AE23" i="1979"/>
  <c r="AE26" i="1979"/>
  <c r="AE18" i="1979"/>
  <c r="AE7" i="1979"/>
  <c r="AE22" i="1979"/>
  <c r="AD25" i="1978"/>
  <c r="AD28" i="1978"/>
  <c r="AD12" i="1978"/>
  <c r="AD29" i="1978" s="1"/>
  <c r="F25" i="16" s="1"/>
  <c r="AG25" i="16" s="1"/>
  <c r="AC29" i="1978"/>
  <c r="P29" i="1978"/>
  <c r="AD21" i="1978"/>
  <c r="M29" i="1978"/>
  <c r="AB29" i="1978"/>
  <c r="AD20" i="1977"/>
  <c r="AD19" i="1977"/>
  <c r="AD10" i="1977"/>
  <c r="AB28" i="1977"/>
  <c r="M28" i="1977"/>
  <c r="AD24" i="1977"/>
  <c r="AC28" i="1977"/>
  <c r="AD6" i="1977"/>
  <c r="K28" i="1977"/>
  <c r="P28" i="1977"/>
  <c r="AD20" i="1976"/>
  <c r="M28" i="1976"/>
  <c r="AD7" i="1976"/>
  <c r="AB28" i="1976"/>
  <c r="P28" i="1976"/>
  <c r="AC6" i="1976"/>
  <c r="AD25" i="1976"/>
  <c r="K28" i="1976"/>
  <c r="AD20" i="1975"/>
  <c r="AD11" i="1975"/>
  <c r="AD26" i="1975"/>
  <c r="AB28" i="1975"/>
  <c r="M28" i="1975"/>
  <c r="AD8" i="1975"/>
  <c r="AD6" i="1975"/>
  <c r="AC28" i="1975"/>
  <c r="AD19" i="1975"/>
  <c r="P28" i="1975"/>
  <c r="AE8" i="1978" l="1"/>
  <c r="AE17" i="1978"/>
  <c r="AE28" i="1978"/>
  <c r="AE25" i="1978"/>
  <c r="AE23" i="1978"/>
  <c r="AE21" i="1978"/>
  <c r="AE16" i="1978"/>
  <c r="AE14" i="1978"/>
  <c r="AE12" i="1978"/>
  <c r="AE9" i="1978"/>
  <c r="AE26" i="1978"/>
  <c r="AE18" i="1978"/>
  <c r="AE10" i="1978"/>
  <c r="AE7" i="1978"/>
  <c r="AE24" i="1978"/>
  <c r="AE22" i="1978"/>
  <c r="AE19" i="1978"/>
  <c r="AE15" i="1978"/>
  <c r="AE13" i="1978"/>
  <c r="AE27" i="1978"/>
  <c r="AE20" i="1978"/>
  <c r="AE11" i="1978"/>
  <c r="AE6" i="1978"/>
  <c r="AD28" i="1977"/>
  <c r="AE27" i="1977" s="1"/>
  <c r="AC28" i="1976"/>
  <c r="AD6" i="1976"/>
  <c r="AD28" i="1976" s="1"/>
  <c r="AD28" i="1975"/>
  <c r="AE14" i="1977" l="1"/>
  <c r="AE11" i="1977"/>
  <c r="AE25" i="1977"/>
  <c r="AE15" i="1977"/>
  <c r="AE17" i="1977"/>
  <c r="AE16" i="1977"/>
  <c r="AE6" i="1977"/>
  <c r="AE19" i="1977"/>
  <c r="AE8" i="1977"/>
  <c r="AE26" i="1977"/>
  <c r="AE20" i="1977"/>
  <c r="AE10" i="1977"/>
  <c r="AE9" i="1977"/>
  <c r="AE12" i="1977"/>
  <c r="AE7" i="1977"/>
  <c r="AE22" i="1977"/>
  <c r="AE13" i="1977"/>
  <c r="AE18" i="1977"/>
  <c r="AE21" i="1977"/>
  <c r="AE24" i="1977"/>
  <c r="AE23" i="1977"/>
  <c r="AE27" i="1976"/>
  <c r="AE23" i="1976"/>
  <c r="AE21" i="1976"/>
  <c r="AE13" i="1976"/>
  <c r="AE6" i="1976"/>
  <c r="AE24" i="1976"/>
  <c r="AE19" i="1976"/>
  <c r="AE15" i="1976"/>
  <c r="AE25" i="1976"/>
  <c r="AE22" i="1976"/>
  <c r="AE20" i="1976"/>
  <c r="AE16" i="1976"/>
  <c r="AE11" i="1976"/>
  <c r="AE7" i="1976"/>
  <c r="AE26" i="1976"/>
  <c r="AE17" i="1976"/>
  <c r="AE14" i="1976"/>
  <c r="AE12" i="1976"/>
  <c r="AE8" i="1976"/>
  <c r="AE18" i="1976"/>
  <c r="AE9" i="1976"/>
  <c r="AE10" i="1976"/>
  <c r="AE26" i="1975"/>
  <c r="AE6" i="1975"/>
  <c r="AE19" i="1975"/>
  <c r="AE14" i="1975"/>
  <c r="AE22" i="1975"/>
  <c r="AE21" i="1975"/>
  <c r="AE25" i="1975"/>
  <c r="AE23" i="1975"/>
  <c r="AE7" i="1975"/>
  <c r="AE13" i="1975"/>
  <c r="AE9" i="1975"/>
  <c r="AE27" i="1975"/>
  <c r="AE20" i="1975"/>
  <c r="AE15" i="1975"/>
  <c r="AE12" i="1975"/>
  <c r="AE11" i="1975"/>
  <c r="AE17" i="1975"/>
  <c r="AE16" i="1975"/>
  <c r="AE10" i="1975"/>
  <c r="AE24" i="1975"/>
  <c r="AE18" i="1975"/>
  <c r="AE8" i="1975"/>
</calcChain>
</file>

<file path=xl/sharedStrings.xml><?xml version="1.0" encoding="utf-8"?>
<sst xmlns="http://schemas.openxmlformats.org/spreadsheetml/2006/main" count="6860" uniqueCount="645">
  <si>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</si>
  <si>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</si>
  <si>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</si>
  <si>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</si>
  <si>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</si>
  <si>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</si>
  <si>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</si>
  <si>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</si>
  <si>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</si>
  <si>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</si>
  <si>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</si>
  <si>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</si>
  <si>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</si>
  <si>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</si>
  <si>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</si>
  <si>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</si>
  <si>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</si>
  <si>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</si>
  <si>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</si>
  <si>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</si>
  <si>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</si>
  <si>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</si>
  <si>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</si>
  <si>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</si>
  <si>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</si>
  <si>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</si>
  <si>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</si>
  <si>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</si>
  <si>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</si>
  <si>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</si>
  <si>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</si>
  <si>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</si>
  <si>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</si>
  <si>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</si>
  <si>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</si>
  <si>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</si>
  <si>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</si>
  <si>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</si>
  <si>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</si>
  <si>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</si>
  <si>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</si>
  <si>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</si>
  <si>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</si>
  <si>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</si>
  <si>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</si>
  <si>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</si>
  <si>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</si>
  <si>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</si>
  <si>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</si>
  <si>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</si>
  <si>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</si>
  <si>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</si>
  <si>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</si>
  <si>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</si>
  <si>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</si>
  <si>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</si>
  <si>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</si>
  <si>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</si>
  <si>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</si>
  <si>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</si>
  <si>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</si>
  <si>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</si>
  <si>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</si>
  <si>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</si>
  <si>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</si>
  <si>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</si>
  <si>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</si>
  <si>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</si>
  <si>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</si>
  <si>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</si>
  <si>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</si>
  <si>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</si>
  <si>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</si>
  <si>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</si>
  <si>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</si>
  <si>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</si>
  <si>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</si>
  <si>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</si>
  <si>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</si>
  <si>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</si>
  <si>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</si>
  <si>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</si>
  <si>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</si>
  <si>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</si>
  <si>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</si>
  <si>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</si>
  <si>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</si>
  <si>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</si>
  <si>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</si>
  <si>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</si>
  <si>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</si>
  <si>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</si>
  <si>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</si>
  <si>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</si>
  <si>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</si>
  <si>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</si>
  <si>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</si>
  <si>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</si>
  <si>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</si>
  <si>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</si>
  <si>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</si>
  <si>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</si>
  <si>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</si>
  <si>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</si>
  <si>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</si>
  <si>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</si>
  <si>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</si>
  <si>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</si>
  <si>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</si>
  <si>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</si>
  <si>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</si>
  <si>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</si>
  <si>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</si>
  <si>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</si>
  <si>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</si>
  <si>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</si>
  <si>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SST</t>
    <phoneticPr fontId="2" type="noConversion"/>
  </si>
  <si>
    <t>14호기</t>
    <phoneticPr fontId="2" type="noConversion"/>
  </si>
  <si>
    <t>15호기</t>
    <phoneticPr fontId="2" type="noConversion"/>
  </si>
  <si>
    <t>16호기</t>
    <phoneticPr fontId="2" type="noConversion"/>
  </si>
  <si>
    <t>수리후양산</t>
    <phoneticPr fontId="2" type="noConversion"/>
  </si>
  <si>
    <t>품  명</t>
    <phoneticPr fontId="2" type="noConversion"/>
  </si>
  <si>
    <t>SGF2033</t>
    <phoneticPr fontId="2" type="noConversion"/>
  </si>
  <si>
    <t>COVER</t>
    <phoneticPr fontId="2" type="noConversion"/>
  </si>
  <si>
    <t>STOPPPER</t>
    <phoneticPr fontId="2" type="noConversion"/>
  </si>
  <si>
    <t>발주분양산</t>
    <phoneticPr fontId="2" type="noConversion"/>
  </si>
  <si>
    <t>KR6458AB456PMA</t>
    <phoneticPr fontId="2" type="noConversion"/>
  </si>
  <si>
    <t>에젝터 이상</t>
    <phoneticPr fontId="2" type="noConversion"/>
  </si>
  <si>
    <t>소딕</t>
    <phoneticPr fontId="2" type="noConversion"/>
  </si>
  <si>
    <t>15</t>
    <phoneticPr fontId="2" type="noConversion"/>
  </si>
  <si>
    <t>ADAPTER</t>
    <phoneticPr fontId="2" type="noConversion"/>
  </si>
  <si>
    <t>SF2255</t>
    <phoneticPr fontId="2" type="noConversion"/>
  </si>
  <si>
    <t>1</t>
    <phoneticPr fontId="2" type="noConversion"/>
  </si>
  <si>
    <t>협의중</t>
    <phoneticPr fontId="2" type="noConversion"/>
  </si>
  <si>
    <t>SGF2030</t>
    <phoneticPr fontId="2" type="noConversion"/>
  </si>
  <si>
    <t>SGF2033 N/P</t>
    <phoneticPr fontId="2" type="noConversion"/>
  </si>
  <si>
    <t>에젝터 볼스크류 교체 완료</t>
    <phoneticPr fontId="2" type="noConversion"/>
  </si>
  <si>
    <t>K-AR3533-1A</t>
    <phoneticPr fontId="2" type="noConversion"/>
  </si>
  <si>
    <t>KR6197-D475PA</t>
    <phoneticPr fontId="2" type="noConversion"/>
  </si>
  <si>
    <t>72P</t>
    <phoneticPr fontId="2" type="noConversion"/>
  </si>
  <si>
    <t>STOPPER</t>
    <phoneticPr fontId="2" type="noConversion"/>
  </si>
  <si>
    <t>K-AR3464-1A</t>
    <phoneticPr fontId="2" type="noConversion"/>
  </si>
  <si>
    <t>ACTUATOR</t>
    <phoneticPr fontId="2" type="noConversion"/>
  </si>
  <si>
    <t>HICON</t>
    <phoneticPr fontId="2" type="noConversion"/>
  </si>
  <si>
    <t>SGF2041</t>
    <phoneticPr fontId="2" type="noConversion"/>
  </si>
  <si>
    <t>JD4901</t>
    <phoneticPr fontId="2" type="noConversion"/>
  </si>
  <si>
    <t>PX13322 W/T</t>
    <phoneticPr fontId="2" type="noConversion"/>
  </si>
  <si>
    <t>SF2255 I/V</t>
    <phoneticPr fontId="2" type="noConversion"/>
  </si>
  <si>
    <t>F/A</t>
    <phoneticPr fontId="2" type="noConversion"/>
  </si>
  <si>
    <t>AMB20E4A-KAA-R9</t>
    <phoneticPr fontId="2" type="noConversion"/>
  </si>
  <si>
    <t>SLIDER</t>
    <phoneticPr fontId="2" type="noConversion"/>
  </si>
  <si>
    <t>GN2330</t>
    <phoneticPr fontId="2" type="noConversion"/>
  </si>
  <si>
    <t>LEAD GUIDE</t>
    <phoneticPr fontId="2" type="noConversion"/>
  </si>
  <si>
    <t>AMB0172A-KAA-R2</t>
    <phoneticPr fontId="2" type="noConversion"/>
  </si>
  <si>
    <t>SGF2030 N/P</t>
    <phoneticPr fontId="2" type="noConversion"/>
  </si>
  <si>
    <t>7</t>
    <phoneticPr fontId="2" type="noConversion"/>
  </si>
  <si>
    <t>AAM0818D-KAB-R3</t>
    <phoneticPr fontId="2" type="noConversion"/>
  </si>
  <si>
    <t>KR6463-GA180PLA</t>
  </si>
  <si>
    <t>KR6463-GA180PLA</t>
    <phoneticPr fontId="2" type="noConversion"/>
  </si>
  <si>
    <t>HSCB65-M02A1</t>
    <phoneticPr fontId="2" type="noConversion"/>
  </si>
  <si>
    <t>EEEEEEEEEEEEEEEEEEEEEEEEE</t>
    <phoneticPr fontId="2" type="noConversion"/>
  </si>
  <si>
    <t>AMB1901D-JAA-R2</t>
    <phoneticPr fontId="2" type="noConversion"/>
  </si>
  <si>
    <t>HDB08PL-96B1</t>
    <phoneticPr fontId="2" type="noConversion"/>
  </si>
  <si>
    <t>K-JR01887-A221ATA</t>
    <phoneticPr fontId="2" type="noConversion"/>
  </si>
  <si>
    <t>K-AR3534-1A</t>
    <phoneticPr fontId="2" type="noConversion"/>
  </si>
  <si>
    <t>K-AR3532-1A</t>
    <phoneticPr fontId="2" type="noConversion"/>
  </si>
  <si>
    <t>K-AR3531-1A</t>
    <phoneticPr fontId="2" type="noConversion"/>
  </si>
  <si>
    <t>SF2255EPR</t>
    <phoneticPr fontId="2" type="noConversion"/>
  </si>
  <si>
    <t>AMB0201C-JAA-R3</t>
    <phoneticPr fontId="2" type="noConversion"/>
  </si>
  <si>
    <t>2</t>
    <phoneticPr fontId="2" type="noConversion"/>
  </si>
  <si>
    <t>SST</t>
    <phoneticPr fontId="2" type="noConversion"/>
  </si>
  <si>
    <t>BASE</t>
    <phoneticPr fontId="2" type="noConversion"/>
  </si>
  <si>
    <t>KR6197-06KA</t>
    <phoneticPr fontId="2" type="noConversion"/>
  </si>
  <si>
    <t>SHAFT</t>
    <phoneticPr fontId="2" type="noConversion"/>
  </si>
  <si>
    <t>HDB08PL-96T4</t>
    <phoneticPr fontId="2" type="noConversion"/>
  </si>
  <si>
    <t>4</t>
    <phoneticPr fontId="2" type="noConversion"/>
  </si>
  <si>
    <t>K-AR3548-1A</t>
    <phoneticPr fontId="2" type="noConversion"/>
  </si>
  <si>
    <t>SGF2033 N/P</t>
    <phoneticPr fontId="2" type="noConversion"/>
  </si>
  <si>
    <t>수정</t>
    <phoneticPr fontId="2" type="noConversion"/>
  </si>
  <si>
    <r>
      <t>2021년 04월 01일 일일생산현황</t>
    </r>
    <r>
      <rPr>
        <b/>
        <sz val="14"/>
        <color indexed="8"/>
        <rFont val="굴림체"/>
        <family val="3"/>
        <charset val="129"/>
      </rPr>
      <t>(02일 09시 현재)</t>
    </r>
    <phoneticPr fontId="2" type="noConversion"/>
  </si>
  <si>
    <t>04월 호기별 가동현황</t>
    <phoneticPr fontId="2" type="noConversion"/>
  </si>
  <si>
    <t>31호기</t>
    <phoneticPr fontId="2" type="noConversion"/>
  </si>
  <si>
    <t>32호기</t>
    <phoneticPr fontId="2" type="noConversion"/>
  </si>
  <si>
    <t>33호기</t>
    <phoneticPr fontId="2" type="noConversion"/>
  </si>
  <si>
    <t>34호기</t>
    <phoneticPr fontId="2" type="noConversion"/>
  </si>
  <si>
    <t>35호기</t>
    <phoneticPr fontId="2" type="noConversion"/>
  </si>
  <si>
    <t>36호기</t>
    <phoneticPr fontId="2" type="noConversion"/>
  </si>
  <si>
    <t>JCL3030</t>
    <phoneticPr fontId="2" type="noConversion"/>
  </si>
  <si>
    <t>전일 ISSUE 사항(01일)</t>
    <phoneticPr fontId="2" type="noConversion"/>
  </si>
  <si>
    <t>런너막힘2회-&gt;1C막음</t>
    <phoneticPr fontId="2" type="noConversion"/>
  </si>
  <si>
    <t>HDB08PL-96B1</t>
    <phoneticPr fontId="2" type="noConversion"/>
  </si>
  <si>
    <t>밀핀파손수리</t>
    <phoneticPr fontId="2" type="noConversion"/>
  </si>
  <si>
    <t>HICON</t>
    <phoneticPr fontId="2" type="noConversion"/>
  </si>
  <si>
    <t>3</t>
    <phoneticPr fontId="2" type="noConversion"/>
  </si>
  <si>
    <t>HDB08PL-96T4</t>
    <phoneticPr fontId="2" type="noConversion"/>
  </si>
  <si>
    <t>발주분양산-&gt;미성형2회정지</t>
    <phoneticPr fontId="2" type="noConversion"/>
  </si>
  <si>
    <t>4</t>
    <phoneticPr fontId="2" type="noConversion"/>
  </si>
  <si>
    <t>KR6197-06KA</t>
    <phoneticPr fontId="2" type="noConversion"/>
  </si>
  <si>
    <t>6</t>
    <phoneticPr fontId="2" type="noConversion"/>
  </si>
  <si>
    <t>SHAFT</t>
    <phoneticPr fontId="2" type="noConversion"/>
  </si>
  <si>
    <t>당일 진행 사항(02일)</t>
    <phoneticPr fontId="2" type="noConversion"/>
  </si>
  <si>
    <t>SAMPLE 진행 사항(01일)</t>
    <phoneticPr fontId="2" type="noConversion"/>
  </si>
  <si>
    <t>288C64-U148X</t>
    <phoneticPr fontId="2" type="noConversion"/>
  </si>
  <si>
    <t>OKINS</t>
    <phoneticPr fontId="2" type="noConversion"/>
  </si>
  <si>
    <t>UNDER BASE</t>
    <phoneticPr fontId="2" type="noConversion"/>
  </si>
  <si>
    <t>신작</t>
    <phoneticPr fontId="2" type="noConversion"/>
  </si>
  <si>
    <t>9</t>
    <phoneticPr fontId="2" type="noConversion"/>
  </si>
  <si>
    <t>AMB0361A-KAA-R2</t>
    <phoneticPr fontId="2" type="noConversion"/>
  </si>
  <si>
    <t>MCS</t>
    <phoneticPr fontId="2" type="noConversion"/>
  </si>
  <si>
    <t>COVER</t>
    <phoneticPr fontId="2" type="noConversion"/>
  </si>
  <si>
    <t>JD4901</t>
    <phoneticPr fontId="2" type="noConversion"/>
  </si>
  <si>
    <t>수정</t>
    <phoneticPr fontId="2" type="noConversion"/>
  </si>
  <si>
    <t>15</t>
    <phoneticPr fontId="2" type="noConversion"/>
  </si>
  <si>
    <t>금형 수리 내역(01일)</t>
    <phoneticPr fontId="2" type="noConversion"/>
  </si>
  <si>
    <t>설비 점검 내역(01일)</t>
    <phoneticPr fontId="2" type="noConversion"/>
  </si>
  <si>
    <r>
      <t>2021년 04월 02일 일일생산현황</t>
    </r>
    <r>
      <rPr>
        <b/>
        <sz val="14"/>
        <color indexed="8"/>
        <rFont val="굴림체"/>
        <family val="3"/>
        <charset val="129"/>
      </rPr>
      <t>(03일 09시 현재)</t>
    </r>
    <phoneticPr fontId="2" type="noConversion"/>
  </si>
  <si>
    <t>전일 ISSUE 사항(02일)</t>
    <phoneticPr fontId="2" type="noConversion"/>
  </si>
  <si>
    <t>런너막힘-&gt;1C막음</t>
    <phoneticPr fontId="2" type="noConversion"/>
  </si>
  <si>
    <t>수리후양산-&gt;미성형2회정지</t>
    <phoneticPr fontId="2" type="noConversion"/>
  </si>
  <si>
    <t>노즐막힘수리-&gt;스크류파손정지</t>
    <phoneticPr fontId="2" type="noConversion"/>
  </si>
  <si>
    <t>세척후양산-&gt;코아파손정지</t>
    <phoneticPr fontId="2" type="noConversion"/>
  </si>
  <si>
    <t>14</t>
    <phoneticPr fontId="2" type="noConversion"/>
  </si>
  <si>
    <t>당일 진행 사항(03일)</t>
    <phoneticPr fontId="2" type="noConversion"/>
  </si>
  <si>
    <t>K-JR01918-B484AWA</t>
    <phoneticPr fontId="2" type="noConversion"/>
  </si>
  <si>
    <t>SAMPLE 진행 사항(02일)</t>
    <phoneticPr fontId="2" type="noConversion"/>
  </si>
  <si>
    <t>288F84M-B121A</t>
    <phoneticPr fontId="2" type="noConversion"/>
  </si>
  <si>
    <t>288F84M-B122A</t>
    <phoneticPr fontId="2" type="noConversion"/>
  </si>
  <si>
    <t>G1300H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</si>
  <si>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</si>
  <si>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</si>
  <si>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t>스크류파손</t>
    <phoneticPr fontId="2" type="noConversion"/>
  </si>
  <si>
    <t>에이원</t>
    <phoneticPr fontId="2" type="noConversion"/>
  </si>
  <si>
    <t>에젝터봉 파손</t>
    <phoneticPr fontId="2" type="noConversion"/>
  </si>
  <si>
    <t>스미토모</t>
    <phoneticPr fontId="2" type="noConversion"/>
  </si>
  <si>
    <r>
      <t>2021년 04월 03일 일일생산현황</t>
    </r>
    <r>
      <rPr>
        <b/>
        <sz val="14"/>
        <color indexed="8"/>
        <rFont val="굴림체"/>
        <family val="3"/>
        <charset val="129"/>
      </rPr>
      <t>(04일 09시 현재)</t>
    </r>
    <phoneticPr fontId="2" type="noConversion"/>
  </si>
  <si>
    <t>전일 ISSUE 사항(03일)</t>
    <phoneticPr fontId="2" type="noConversion"/>
  </si>
  <si>
    <t>수리후양산-&gt;코아파손정지</t>
    <phoneticPr fontId="2" type="noConversion"/>
  </si>
  <si>
    <t>당일 진행 사항(05일)</t>
    <phoneticPr fontId="2" type="noConversion"/>
  </si>
  <si>
    <t>세척후양산</t>
    <phoneticPr fontId="2" type="noConversion"/>
  </si>
  <si>
    <t>11</t>
    <phoneticPr fontId="2" type="noConversion"/>
  </si>
  <si>
    <t>NP636-2406-001#LB</t>
    <phoneticPr fontId="2" type="noConversion"/>
  </si>
  <si>
    <t>AYE</t>
    <phoneticPr fontId="2" type="noConversion"/>
  </si>
  <si>
    <t>HDBF05-M04B1</t>
    <phoneticPr fontId="2" type="noConversion"/>
  </si>
  <si>
    <t>SAMPLE 진행 사항(03일)</t>
    <phoneticPr fontId="2" type="noConversion"/>
  </si>
  <si>
    <t>288C64A-B148X</t>
    <phoneticPr fontId="2" type="noConversion"/>
  </si>
  <si>
    <t>상측박힘2회정지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</si>
  <si>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</si>
  <si>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</si>
  <si>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t>HSA08-M03A1</t>
    <phoneticPr fontId="2" type="noConversion"/>
  </si>
  <si>
    <t>HDBF05-M01B1</t>
    <phoneticPr fontId="2" type="noConversion"/>
  </si>
  <si>
    <r>
      <t>2021년 04월 05일 일일생산현황</t>
    </r>
    <r>
      <rPr>
        <b/>
        <sz val="14"/>
        <color indexed="8"/>
        <rFont val="굴림체"/>
        <family val="3"/>
        <charset val="129"/>
      </rPr>
      <t>(06일 09시 현재)</t>
    </r>
    <phoneticPr fontId="2" type="noConversion"/>
  </si>
  <si>
    <t>발주분양산-&gt;BURR수리</t>
    <phoneticPr fontId="2" type="noConversion"/>
  </si>
  <si>
    <t>HSA08-M03A1(1C)</t>
    <phoneticPr fontId="2" type="noConversion"/>
  </si>
  <si>
    <t>발주분양산-&gt;치수NG 12호기이동 NG</t>
    <phoneticPr fontId="2" type="noConversion"/>
  </si>
  <si>
    <t>전일 ISSUE 사항(05일)</t>
    <phoneticPr fontId="2" type="noConversion"/>
  </si>
  <si>
    <t>당일 진행 사항(06일)</t>
    <phoneticPr fontId="2" type="noConversion"/>
  </si>
  <si>
    <t>12</t>
    <phoneticPr fontId="2" type="noConversion"/>
  </si>
  <si>
    <t>NP636-2406-001#IN</t>
    <phoneticPr fontId="2" type="noConversion"/>
  </si>
  <si>
    <t>HB12X12-1.3-22T1</t>
    <phoneticPr fontId="2" type="noConversion"/>
  </si>
  <si>
    <t>8</t>
    <phoneticPr fontId="2" type="noConversion"/>
  </si>
  <si>
    <t>TOP</t>
    <phoneticPr fontId="2" type="noConversion"/>
  </si>
  <si>
    <t>SAMPLE 진행 사항(05일)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</si>
  <si>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</si>
  <si>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</si>
  <si>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t>에젝터 홀더 교체</t>
    <phoneticPr fontId="2" type="noConversion"/>
  </si>
  <si>
    <r>
      <t>2021년 04월 06일 일일생산현황</t>
    </r>
    <r>
      <rPr>
        <b/>
        <sz val="14"/>
        <color indexed="8"/>
        <rFont val="굴림체"/>
        <family val="3"/>
        <charset val="129"/>
      </rPr>
      <t>(07일 09시 현재)</t>
    </r>
    <phoneticPr fontId="2" type="noConversion"/>
  </si>
  <si>
    <t>BLOCK</t>
    <phoneticPr fontId="2" type="noConversion"/>
  </si>
  <si>
    <t>12*12</t>
    <phoneticPr fontId="2" type="noConversion"/>
  </si>
  <si>
    <t>SGP2030R</t>
    <phoneticPr fontId="2" type="noConversion"/>
  </si>
  <si>
    <t>전일 ISSUE 사항(06일)</t>
    <phoneticPr fontId="2" type="noConversion"/>
  </si>
  <si>
    <t>단차수리</t>
    <phoneticPr fontId="2" type="noConversion"/>
  </si>
  <si>
    <t>미성형정지</t>
    <phoneticPr fontId="2" type="noConversion"/>
  </si>
  <si>
    <t>수리후양산-&gt;치수NG</t>
    <phoneticPr fontId="2" type="noConversion"/>
  </si>
  <si>
    <t>당일 진행 사항(07일)</t>
    <phoneticPr fontId="2" type="noConversion"/>
  </si>
  <si>
    <t>발주분양산-&gt;밀핀파손-&gt;수리후양산</t>
    <phoneticPr fontId="2" type="noConversion"/>
  </si>
  <si>
    <t>NP620-464-001#CV</t>
    <phoneticPr fontId="2" type="noConversion"/>
  </si>
  <si>
    <t>AMB0157C-KAA-R1</t>
    <phoneticPr fontId="2" type="noConversion"/>
  </si>
  <si>
    <t>5</t>
    <phoneticPr fontId="2" type="noConversion"/>
  </si>
  <si>
    <t>SAMPLE 진행 사항(06일)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</si>
  <si>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</si>
  <si>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</si>
  <si>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r>
      <t>2021년 04월 07일 일일생산현황</t>
    </r>
    <r>
      <rPr>
        <b/>
        <sz val="14"/>
        <color indexed="8"/>
        <rFont val="굴림체"/>
        <family val="3"/>
        <charset val="129"/>
      </rPr>
      <t>(08일 09시 현재)</t>
    </r>
    <phoneticPr fontId="2" type="noConversion"/>
  </si>
  <si>
    <t>전일 ISSUE 사항(07일)</t>
    <phoneticPr fontId="2" type="noConversion"/>
  </si>
  <si>
    <t>BURR정지</t>
    <phoneticPr fontId="2" type="noConversion"/>
  </si>
  <si>
    <t>수리후양산-&gt;미성형수리</t>
    <phoneticPr fontId="2" type="noConversion"/>
  </si>
  <si>
    <t>수리후양산-&gt;코아파손2회정지</t>
    <phoneticPr fontId="2" type="noConversion"/>
  </si>
  <si>
    <t>13</t>
    <phoneticPr fontId="2" type="noConversion"/>
  </si>
  <si>
    <t>당일 진행 사항(08일)</t>
    <phoneticPr fontId="2" type="noConversion"/>
  </si>
  <si>
    <t>AMB1920A-KAA-R1</t>
    <phoneticPr fontId="2" type="noConversion"/>
  </si>
  <si>
    <t>KR6454-A352YA</t>
    <phoneticPr fontId="2" type="noConversion"/>
  </si>
  <si>
    <t>KR6422AA496YA</t>
    <phoneticPr fontId="2" type="noConversion"/>
  </si>
  <si>
    <t>SAMPLE 진행 사항(07일)</t>
    <phoneticPr fontId="2" type="noConversion"/>
  </si>
  <si>
    <t>AMB07U1A-KAA-R5(2C)</t>
    <phoneticPr fontId="2" type="noConversion"/>
  </si>
  <si>
    <t>증작</t>
    <phoneticPr fontId="2" type="noConversion"/>
  </si>
  <si>
    <t>AMM08008B-KAA-R1</t>
    <phoneticPr fontId="2" type="noConversion"/>
  </si>
  <si>
    <t>AMM08008A-KAA-R1</t>
    <phoneticPr fontId="2" type="noConversion"/>
  </si>
  <si>
    <t>설비이동</t>
    <phoneticPr fontId="2" type="noConversion"/>
  </si>
  <si>
    <t>뜯김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</si>
  <si>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</si>
  <si>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</si>
  <si>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r>
      <t>2021년 04월 08일 일일생산현황</t>
    </r>
    <r>
      <rPr>
        <b/>
        <sz val="14"/>
        <color indexed="8"/>
        <rFont val="굴림체"/>
        <family val="3"/>
        <charset val="129"/>
      </rPr>
      <t>(09일 09시 현재)</t>
    </r>
    <phoneticPr fontId="2" type="noConversion"/>
  </si>
  <si>
    <t>SGF2050</t>
    <phoneticPr fontId="2" type="noConversion"/>
  </si>
  <si>
    <t>SGP2030R N/P</t>
    <phoneticPr fontId="2" type="noConversion"/>
  </si>
  <si>
    <t>SP-A/B</t>
    <phoneticPr fontId="2" type="noConversion"/>
  </si>
  <si>
    <t>2*1</t>
    <phoneticPr fontId="2" type="noConversion"/>
  </si>
  <si>
    <t>전일 ISSUE 사항(08일)</t>
    <phoneticPr fontId="2" type="noConversion"/>
  </si>
  <si>
    <t>발주분양산-&gt;런너막힘수리</t>
    <phoneticPr fontId="2" type="noConversion"/>
  </si>
  <si>
    <t>당일 진행 사항(09일)</t>
    <phoneticPr fontId="2" type="noConversion"/>
  </si>
  <si>
    <t>AMB20E4B-KAA-R3</t>
    <phoneticPr fontId="2" type="noConversion"/>
  </si>
  <si>
    <t>HSB05-M001B1(2C)</t>
    <phoneticPr fontId="2" type="noConversion"/>
  </si>
  <si>
    <t>SAMPLE 진행 사항(08일)</t>
    <phoneticPr fontId="2" type="noConversion"/>
  </si>
  <si>
    <t>AMB20G7A-KAA-R1</t>
    <phoneticPr fontId="2" type="noConversion"/>
  </si>
  <si>
    <t>치수NG2회진행 -&gt;NG</t>
    <phoneticPr fontId="2" type="noConversion"/>
  </si>
  <si>
    <t>AMB09J8A-KAA-R1</t>
    <phoneticPr fontId="2" type="noConversion"/>
  </si>
  <si>
    <t>LATCH PLATE</t>
    <phoneticPr fontId="2" type="noConversion"/>
  </si>
  <si>
    <t>원재료틀림</t>
    <phoneticPr fontId="2" type="noConversion"/>
  </si>
  <si>
    <t>AMB09J9A-KAA-R1</t>
    <phoneticPr fontId="2" type="noConversion"/>
  </si>
  <si>
    <t>LATCH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</si>
  <si>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</si>
  <si>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</si>
  <si>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2021년 04월 09일 일일생산현황</t>
    </r>
    <r>
      <rPr>
        <b/>
        <sz val="14"/>
        <color indexed="8"/>
        <rFont val="굴림체"/>
        <family val="3"/>
        <charset val="129"/>
      </rPr>
      <t>(09일 09시 현재)</t>
    </r>
    <phoneticPr fontId="2" type="noConversion"/>
  </si>
  <si>
    <t>AMB0193A-KAA-R1</t>
    <phoneticPr fontId="2" type="noConversion"/>
  </si>
  <si>
    <t>AMB0365A-KAA-R1</t>
    <phoneticPr fontId="2" type="noConversion"/>
  </si>
  <si>
    <t>KR6170BD740UB</t>
    <phoneticPr fontId="2" type="noConversion"/>
  </si>
  <si>
    <t>HSB05-M001B1</t>
    <phoneticPr fontId="2" type="noConversion"/>
  </si>
  <si>
    <t>NP413-187-105#IN-B</t>
    <phoneticPr fontId="2" type="noConversion"/>
  </si>
  <si>
    <t>NP413-078-043#GP</t>
    <phoneticPr fontId="2" type="noConversion"/>
  </si>
  <si>
    <t>AMB0482A-KAA-R1</t>
    <phoneticPr fontId="2" type="noConversion"/>
  </si>
  <si>
    <t>PX13012</t>
    <phoneticPr fontId="2" type="noConversion"/>
  </si>
  <si>
    <t>전일 ISSUE 사항(09일)</t>
    <phoneticPr fontId="2" type="noConversion"/>
  </si>
  <si>
    <t>발주분양산-&gt;코아파손정지</t>
    <phoneticPr fontId="2" type="noConversion"/>
  </si>
  <si>
    <t>가스정지</t>
    <phoneticPr fontId="2" type="noConversion"/>
  </si>
  <si>
    <t>수리후양산-&gt;이물제거</t>
    <phoneticPr fontId="2" type="noConversion"/>
  </si>
  <si>
    <t>발주분양산-&gt;오조립수리</t>
    <phoneticPr fontId="2" type="noConversion"/>
  </si>
  <si>
    <t>AMB0484A-KAA-R1</t>
    <phoneticPr fontId="2" type="noConversion"/>
  </si>
  <si>
    <t>발주분양산-&gt;밀핀수리</t>
    <phoneticPr fontId="2" type="noConversion"/>
  </si>
  <si>
    <t>원재료 변경 양산</t>
    <phoneticPr fontId="2" type="noConversion"/>
  </si>
  <si>
    <t>당일 진행 사항(10일)</t>
    <phoneticPr fontId="2" type="noConversion"/>
  </si>
  <si>
    <t>HDBF05-M02B1</t>
    <phoneticPr fontId="2" type="noConversion"/>
  </si>
  <si>
    <t>HSCB65-M02A1(3C)</t>
    <phoneticPr fontId="2" type="noConversion"/>
  </si>
  <si>
    <t>HRCS-03C18</t>
    <phoneticPr fontId="2" type="noConversion"/>
  </si>
  <si>
    <t>SAMPLE 진행 사항(09일)</t>
    <phoneticPr fontId="2" type="noConversion"/>
  </si>
  <si>
    <t>오조립2회진행</t>
    <phoneticPr fontId="2" type="noConversion"/>
  </si>
  <si>
    <t>밀핀수리</t>
    <phoneticPr fontId="2" type="noConversion"/>
  </si>
  <si>
    <t>이관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</si>
  <si>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</si>
  <si>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</si>
  <si>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2021년 04월 10일 일일생산현황</t>
    </r>
    <r>
      <rPr>
        <b/>
        <sz val="14"/>
        <color indexed="8"/>
        <rFont val="굴림체"/>
        <family val="3"/>
        <charset val="129"/>
      </rPr>
      <t>(11일 09시 현재)</t>
    </r>
    <phoneticPr fontId="2" type="noConversion"/>
  </si>
  <si>
    <t>SGF2041 N/P</t>
    <phoneticPr fontId="2" type="noConversion"/>
  </si>
  <si>
    <t>LID</t>
    <phoneticPr fontId="2" type="noConversion"/>
  </si>
  <si>
    <t>7301</t>
    <phoneticPr fontId="2" type="noConversion"/>
  </si>
  <si>
    <t>전일 ISSUE 사항(10일)</t>
    <phoneticPr fontId="2" type="noConversion"/>
  </si>
  <si>
    <t>발주분양산-&gt;BURR정지</t>
    <phoneticPr fontId="2" type="noConversion"/>
  </si>
  <si>
    <t>코아파손수리</t>
    <phoneticPr fontId="2" type="noConversion"/>
  </si>
  <si>
    <t>당일 진행 사항(12일)</t>
    <phoneticPr fontId="2" type="noConversion"/>
  </si>
  <si>
    <t>KR6156CA841YA</t>
    <phoneticPr fontId="2" type="noConversion"/>
  </si>
  <si>
    <t>KR6156BB841CA</t>
    <phoneticPr fontId="2" type="noConversion"/>
  </si>
  <si>
    <t>SAMPLE 진행 사항(10일)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</si>
  <si>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</si>
  <si>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</si>
  <si>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2021년 04월 12일 일일생산현황</t>
    </r>
    <r>
      <rPr>
        <b/>
        <sz val="14"/>
        <color indexed="8"/>
        <rFont val="굴림체"/>
        <family val="3"/>
        <charset val="129"/>
      </rPr>
      <t>(13일 09시 현재)</t>
    </r>
    <phoneticPr fontId="2" type="noConversion"/>
  </si>
  <si>
    <t>AMB0114B-JAA-R6</t>
    <phoneticPr fontId="2" type="noConversion"/>
  </si>
  <si>
    <t xml:space="preserve">SGF2041 </t>
    <phoneticPr fontId="2" type="noConversion"/>
  </si>
  <si>
    <t>전일 ISSUE 사항(12일)</t>
    <phoneticPr fontId="2" type="noConversion"/>
  </si>
  <si>
    <t>코아파손3회정지</t>
    <phoneticPr fontId="2" type="noConversion"/>
  </si>
  <si>
    <t>33</t>
    <phoneticPr fontId="2" type="noConversion"/>
  </si>
  <si>
    <t>당일 진행 사항(13일)</t>
    <phoneticPr fontId="2" type="noConversion"/>
  </si>
  <si>
    <t>수리후양산(1CAV)</t>
    <phoneticPr fontId="2" type="noConversion"/>
  </si>
  <si>
    <t>코아파손정지</t>
    <phoneticPr fontId="2" type="noConversion"/>
  </si>
  <si>
    <t>AMM08007A-KAA-R1</t>
    <phoneticPr fontId="2" type="noConversion"/>
  </si>
  <si>
    <t>발주분양산-&gt;뜯김-&gt;치수NG정지</t>
    <phoneticPr fontId="2" type="noConversion"/>
  </si>
  <si>
    <t>SAMPLE 진행 사항(12일)</t>
    <phoneticPr fontId="2" type="noConversion"/>
  </si>
  <si>
    <t>HDB08PL-96S2(B)</t>
    <phoneticPr fontId="2" type="noConversion"/>
  </si>
  <si>
    <t>HDB08NL-78S2 E</t>
    <phoneticPr fontId="2" type="noConversion"/>
  </si>
  <si>
    <t>AMB20G2B-KAA-R2</t>
    <phoneticPr fontId="2" type="noConversion"/>
  </si>
  <si>
    <t>요청</t>
    <phoneticPr fontId="2" type="noConversion"/>
  </si>
  <si>
    <t>AMB09J4B-KAA-R3</t>
    <phoneticPr fontId="2" type="noConversion"/>
  </si>
  <si>
    <t>금형 수리 내역(12일)</t>
    <phoneticPr fontId="2" type="noConversion"/>
  </si>
  <si>
    <t>설비 점검 내역(12일)</t>
    <phoneticPr fontId="2" type="noConversion"/>
  </si>
  <si>
    <r>
      <t>2021년 04월 13일 일일생산현황</t>
    </r>
    <r>
      <rPr>
        <b/>
        <sz val="14"/>
        <color indexed="8"/>
        <rFont val="굴림체"/>
        <family val="3"/>
        <charset val="129"/>
      </rPr>
      <t>(14일 09시 현재)</t>
    </r>
    <phoneticPr fontId="2" type="noConversion"/>
  </si>
  <si>
    <t>라인</t>
    <phoneticPr fontId="2" type="noConversion"/>
  </si>
  <si>
    <t>Pattern Cover-1</t>
    <phoneticPr fontId="2" type="noConversion"/>
  </si>
  <si>
    <t>LCP ESD</t>
    <phoneticPr fontId="2" type="noConversion"/>
  </si>
  <si>
    <t>NP413-187-105#MO</t>
    <phoneticPr fontId="2" type="noConversion"/>
  </si>
  <si>
    <t>24P</t>
    <phoneticPr fontId="2" type="noConversion"/>
  </si>
  <si>
    <t>전일 ISSUE 사항(13일)</t>
    <phoneticPr fontId="2" type="noConversion"/>
  </si>
  <si>
    <t>코아파손2회정지</t>
    <phoneticPr fontId="2" type="noConversion"/>
  </si>
  <si>
    <t>수리후양산-&gt;BURR정지</t>
    <phoneticPr fontId="2" type="noConversion"/>
  </si>
  <si>
    <t>제품눌림정지</t>
    <phoneticPr fontId="2" type="noConversion"/>
  </si>
  <si>
    <t>36</t>
    <phoneticPr fontId="2" type="noConversion"/>
  </si>
  <si>
    <t>16</t>
    <phoneticPr fontId="2" type="noConversion"/>
  </si>
  <si>
    <t>밀핀파손-&gt;코아파손정지</t>
    <phoneticPr fontId="2" type="noConversion"/>
  </si>
  <si>
    <t>당일 진행 사항(14일)</t>
    <phoneticPr fontId="2" type="noConversion"/>
  </si>
  <si>
    <t>SAMPLE 진행 사항(13일)</t>
    <phoneticPr fontId="2" type="noConversion"/>
  </si>
  <si>
    <t>K-JR01933-C03AWA</t>
    <phoneticPr fontId="2" type="noConversion"/>
  </si>
  <si>
    <t>옵션</t>
    <phoneticPr fontId="2" type="noConversion"/>
  </si>
  <si>
    <t>오조립수리</t>
    <phoneticPr fontId="2" type="noConversion"/>
  </si>
  <si>
    <t>288C64-U149X</t>
    <phoneticPr fontId="2" type="noConversion"/>
  </si>
  <si>
    <t>UNDER</t>
    <phoneticPr fontId="2" type="noConversion"/>
  </si>
  <si>
    <t>금형 수리 내역(13일)</t>
    <phoneticPr fontId="2" type="noConversion"/>
  </si>
  <si>
    <t>설비 점검 내역(13일)</t>
    <phoneticPr fontId="2" type="noConversion"/>
  </si>
  <si>
    <r>
      <t>2021년 04월 14일 일일생산현황</t>
    </r>
    <r>
      <rPr>
        <b/>
        <sz val="14"/>
        <color indexed="8"/>
        <rFont val="굴림체"/>
        <family val="3"/>
        <charset val="129"/>
      </rPr>
      <t>(15일 09시 현재)</t>
    </r>
    <phoneticPr fontId="2" type="noConversion"/>
  </si>
  <si>
    <t>K-AR3552-1A</t>
    <phoneticPr fontId="2" type="noConversion"/>
  </si>
  <si>
    <t>KR6458BB456PMA</t>
    <phoneticPr fontId="2" type="noConversion"/>
  </si>
  <si>
    <t>전일 ISSUE 사항(14일)</t>
    <phoneticPr fontId="2" type="noConversion"/>
  </si>
  <si>
    <t>수리후양산-&gt;BURR수리</t>
    <phoneticPr fontId="2" type="noConversion"/>
  </si>
  <si>
    <t>당일 진행 사항(15일)</t>
    <phoneticPr fontId="2" type="noConversion"/>
  </si>
  <si>
    <t>AMB0201A-JAA-R3</t>
    <phoneticPr fontId="2" type="noConversion"/>
  </si>
  <si>
    <t>NP413-187-105#IN-A</t>
    <phoneticPr fontId="2" type="noConversion"/>
  </si>
  <si>
    <t>SAMPLE 진행 사항(14일)</t>
    <phoneticPr fontId="2" type="noConversion"/>
  </si>
  <si>
    <t>HL81-1.0-16.0-T1/B1</t>
    <phoneticPr fontId="2" type="noConversion"/>
  </si>
  <si>
    <t>TOP/BOTTOM</t>
    <phoneticPr fontId="2" type="noConversion"/>
  </si>
  <si>
    <t>HL563-1.0-16.0-T1/B1</t>
    <phoneticPr fontId="2" type="noConversion"/>
  </si>
  <si>
    <t>K-JR01933-G02AWA</t>
    <phoneticPr fontId="2" type="noConversion"/>
  </si>
  <si>
    <t>K-JR01933-E02AWA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</si>
  <si>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</si>
  <si>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</si>
  <si>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r>
      <t>2021년 04월 15일 일일생산현황</t>
    </r>
    <r>
      <rPr>
        <b/>
        <sz val="14"/>
        <color indexed="8"/>
        <rFont val="굴림체"/>
        <family val="3"/>
        <charset val="129"/>
      </rPr>
      <t>(16일 09시 현재)</t>
    </r>
    <phoneticPr fontId="2" type="noConversion"/>
  </si>
  <si>
    <t>전일 ISSUE 사항(15일)</t>
    <phoneticPr fontId="2" type="noConversion"/>
  </si>
  <si>
    <t>1C파손막음</t>
    <phoneticPr fontId="2" type="noConversion"/>
  </si>
  <si>
    <t>HSB05-M001B1(1C)</t>
    <phoneticPr fontId="2" type="noConversion"/>
  </si>
  <si>
    <t>뜯김정지</t>
    <phoneticPr fontId="2" type="noConversion"/>
  </si>
  <si>
    <t>당일 진행 사항(16일)</t>
    <phoneticPr fontId="2" type="noConversion"/>
  </si>
  <si>
    <t>SAMPLE 진행 사항(15일)</t>
    <phoneticPr fontId="2" type="noConversion"/>
  </si>
  <si>
    <t>KR6446-GF078PLA</t>
    <phoneticPr fontId="2" type="noConversion"/>
  </si>
  <si>
    <t>K-JR01933-G03AWA</t>
    <phoneticPr fontId="2" type="noConversion"/>
  </si>
  <si>
    <t>KR6446-E03TA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</si>
  <si>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</si>
  <si>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</si>
  <si>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2021년 04월 16일 일일생산현황</t>
    </r>
    <r>
      <rPr>
        <b/>
        <sz val="14"/>
        <color indexed="8"/>
        <rFont val="굴림체"/>
        <family val="3"/>
        <charset val="129"/>
      </rPr>
      <t>(17일 09시 현재)</t>
    </r>
    <phoneticPr fontId="2" type="noConversion"/>
  </si>
  <si>
    <t>AMM0899A-KAB-R1</t>
    <phoneticPr fontId="2" type="noConversion"/>
  </si>
  <si>
    <t>전일 ISSUE 사항(16일)</t>
    <phoneticPr fontId="2" type="noConversion"/>
  </si>
  <si>
    <t>수리후양산-&gt;코아파손수리</t>
    <phoneticPr fontId="2" type="noConversion"/>
  </si>
  <si>
    <t>3</t>
    <phoneticPr fontId="2" type="noConversion"/>
  </si>
  <si>
    <t>AMB0114B-JAA-R6</t>
    <phoneticPr fontId="2" type="noConversion"/>
  </si>
  <si>
    <t>BURR정지</t>
    <phoneticPr fontId="2" type="noConversion"/>
  </si>
  <si>
    <t>발주분양산</t>
    <phoneticPr fontId="2" type="noConversion"/>
  </si>
  <si>
    <t>당일 진행 사항(17일)</t>
    <phoneticPr fontId="2" type="noConversion"/>
  </si>
  <si>
    <t>AMB0240A-KAA-R1(2C)</t>
    <phoneticPr fontId="2" type="noConversion"/>
  </si>
  <si>
    <t>AMB07Z1A-KAA-R1</t>
    <phoneticPr fontId="2" type="noConversion"/>
  </si>
  <si>
    <t>2</t>
    <phoneticPr fontId="2" type="noConversion"/>
  </si>
  <si>
    <t>ADAPTER</t>
    <phoneticPr fontId="2" type="noConversion"/>
  </si>
  <si>
    <t>K-R2863-1C</t>
    <phoneticPr fontId="2" type="noConversion"/>
  </si>
  <si>
    <t>SST</t>
    <phoneticPr fontId="2" type="noConversion"/>
  </si>
  <si>
    <t>SAMPLE 진행 사항(16일)</t>
    <phoneticPr fontId="2" type="noConversion"/>
  </si>
  <si>
    <t>HDB0708-S2</t>
    <phoneticPr fontId="2" type="noConversion"/>
  </si>
  <si>
    <t>HICON</t>
    <phoneticPr fontId="2" type="noConversion"/>
  </si>
  <si>
    <t>SLIDER</t>
    <phoneticPr fontId="2" type="noConversion"/>
  </si>
  <si>
    <t>SGF2030 N/P</t>
    <phoneticPr fontId="2" type="noConversion"/>
  </si>
  <si>
    <t>수정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</si>
  <si>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</si>
  <si>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</si>
  <si>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r>
      <t>2021년 04월 17일 일일생산현황</t>
    </r>
    <r>
      <rPr>
        <b/>
        <sz val="14"/>
        <color indexed="8"/>
        <rFont val="굴림체"/>
        <family val="3"/>
        <charset val="129"/>
      </rPr>
      <t>(18일 09시 현재)</t>
    </r>
    <phoneticPr fontId="2" type="noConversion"/>
  </si>
  <si>
    <t>AMB0240A-KAA-R1</t>
    <phoneticPr fontId="2" type="noConversion"/>
  </si>
  <si>
    <t>전일 ISSUE 사항(17일)</t>
    <phoneticPr fontId="2" type="noConversion"/>
  </si>
  <si>
    <t>발주분양산-&gt;런너막힘2회수리</t>
    <phoneticPr fontId="2" type="noConversion"/>
  </si>
  <si>
    <t>당일 진행 사항(19일)</t>
    <phoneticPr fontId="2" type="noConversion"/>
  </si>
  <si>
    <t>KR6414-B414UA</t>
    <phoneticPr fontId="2" type="noConversion"/>
  </si>
  <si>
    <t>KR6166-01TB</t>
    <phoneticPr fontId="2" type="noConversion"/>
  </si>
  <si>
    <t>AMM0890A-KAD-R1</t>
    <phoneticPr fontId="2" type="noConversion"/>
  </si>
  <si>
    <t>AMM0822B-KAB-R1</t>
    <phoneticPr fontId="2" type="noConversion"/>
  </si>
  <si>
    <t>SAMPLE 진행 사항(17일)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</si>
  <si>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</si>
  <si>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</si>
  <si>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2021년 04월 19일 일일생산현황</t>
    </r>
    <r>
      <rPr>
        <b/>
        <sz val="14"/>
        <color indexed="8"/>
        <rFont val="굴림체"/>
        <family val="3"/>
        <charset val="129"/>
      </rPr>
      <t>(20일 09시 현재)</t>
    </r>
    <phoneticPr fontId="2" type="noConversion"/>
  </si>
  <si>
    <t>4*8</t>
    <phoneticPr fontId="2" type="noConversion"/>
  </si>
  <si>
    <t>전일 ISSUE 사항(19일)</t>
    <phoneticPr fontId="2" type="noConversion"/>
  </si>
  <si>
    <t>치수확인후양산-&gt;2회진행</t>
    <phoneticPr fontId="2" type="noConversion"/>
  </si>
  <si>
    <t>치수확인후양산</t>
    <phoneticPr fontId="2" type="noConversion"/>
  </si>
  <si>
    <t>발주분양산-&gt;코아파손2회정지</t>
    <phoneticPr fontId="2" type="noConversion"/>
  </si>
  <si>
    <t>당일 진행 사항(20일)</t>
    <phoneticPr fontId="2" type="noConversion"/>
  </si>
  <si>
    <t>KR6414-D414PA</t>
    <phoneticPr fontId="2" type="noConversion"/>
  </si>
  <si>
    <t>SAMPLE 진행 사항(19일)</t>
    <phoneticPr fontId="2" type="noConversion"/>
  </si>
  <si>
    <t>금형 수리 내역(19일)</t>
    <phoneticPr fontId="2" type="noConversion"/>
  </si>
  <si>
    <t>설비 점검 내역(19일)</t>
    <phoneticPr fontId="2" type="noConversion"/>
  </si>
  <si>
    <r>
      <t>2021년 04월 20일 일일생산현황</t>
    </r>
    <r>
      <rPr>
        <b/>
        <sz val="14"/>
        <color indexed="8"/>
        <rFont val="굴림체"/>
        <family val="3"/>
        <charset val="129"/>
      </rPr>
      <t>(21일 09시 현재)</t>
    </r>
    <phoneticPr fontId="2" type="noConversion"/>
  </si>
  <si>
    <t>HRCS-00C14-N</t>
    <phoneticPr fontId="2" type="noConversion"/>
  </si>
  <si>
    <t>LH-01D2</t>
    <phoneticPr fontId="2" type="noConversion"/>
  </si>
  <si>
    <t>전일 ISSUE 사항(20일)</t>
    <phoneticPr fontId="2" type="noConversion"/>
  </si>
  <si>
    <t>당일 진행 사항(21일)</t>
    <phoneticPr fontId="2" type="noConversion"/>
  </si>
  <si>
    <t>AMB0104J-KAA-R3</t>
    <phoneticPr fontId="2" type="noConversion"/>
  </si>
  <si>
    <t>발주분양산</t>
    <phoneticPr fontId="2" type="noConversion"/>
  </si>
  <si>
    <t>11</t>
    <phoneticPr fontId="2" type="noConversion"/>
  </si>
  <si>
    <t>AMB1901D-JAA-R2</t>
    <phoneticPr fontId="2" type="noConversion"/>
  </si>
  <si>
    <t>BURR정지</t>
    <phoneticPr fontId="2" type="noConversion"/>
  </si>
  <si>
    <t>14</t>
    <phoneticPr fontId="2" type="noConversion"/>
  </si>
  <si>
    <t>ACTUATOR</t>
    <phoneticPr fontId="2" type="noConversion"/>
  </si>
  <si>
    <t>AMB0189A-KAA-R1</t>
    <phoneticPr fontId="2" type="noConversion"/>
  </si>
  <si>
    <t>AMB0361A-KAA-R2</t>
    <phoneticPr fontId="2" type="noConversion"/>
  </si>
  <si>
    <t>15</t>
    <phoneticPr fontId="2" type="noConversion"/>
  </si>
  <si>
    <t>COVER</t>
    <phoneticPr fontId="2" type="noConversion"/>
  </si>
  <si>
    <t>13</t>
    <phoneticPr fontId="2" type="noConversion"/>
  </si>
  <si>
    <t>SAMPLE 진행 사항(20일)</t>
    <phoneticPr fontId="2" type="noConversion"/>
  </si>
  <si>
    <t>K-JR01933-G02AWA</t>
    <phoneticPr fontId="2" type="noConversion"/>
  </si>
  <si>
    <t>SST</t>
    <phoneticPr fontId="2" type="noConversion"/>
  </si>
  <si>
    <t>ADAPTER</t>
    <phoneticPr fontId="2" type="noConversion"/>
  </si>
  <si>
    <t>SGF2030</t>
    <phoneticPr fontId="2" type="noConversion"/>
  </si>
  <si>
    <t>수정</t>
    <phoneticPr fontId="2" type="noConversion"/>
  </si>
  <si>
    <t>5</t>
    <phoneticPr fontId="2" type="noConversion"/>
  </si>
  <si>
    <t>HL81-1.0-16.0-T1 / B1</t>
    <phoneticPr fontId="2" type="noConversion"/>
  </si>
  <si>
    <t>SF2255</t>
    <phoneticPr fontId="2" type="noConversion"/>
  </si>
  <si>
    <t>HL563-1.0-16.0-T1 /B1</t>
    <phoneticPr fontId="2" type="noConversion"/>
  </si>
  <si>
    <t>HICON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</si>
  <si>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</si>
  <si>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</si>
  <si>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r>
      <t>2021년 04월 21일 일일생산현황</t>
    </r>
    <r>
      <rPr>
        <b/>
        <sz val="14"/>
        <color indexed="8"/>
        <rFont val="굴림체"/>
        <family val="3"/>
        <charset val="129"/>
      </rPr>
      <t>(22일 09시 현재)</t>
    </r>
    <phoneticPr fontId="2" type="noConversion"/>
  </si>
  <si>
    <t>전일 ISSUE 사항(21일)</t>
    <phoneticPr fontId="2" type="noConversion"/>
  </si>
  <si>
    <t>수리후양산-&gt;밀핀파손-&gt;코아파손정지</t>
    <phoneticPr fontId="2" type="noConversion"/>
  </si>
  <si>
    <t>BODY</t>
    <phoneticPr fontId="2" type="noConversion"/>
  </si>
  <si>
    <t>당일 진행 사항(22일)</t>
    <phoneticPr fontId="2" type="noConversion"/>
  </si>
  <si>
    <t>K-AR3548-1B</t>
    <phoneticPr fontId="2" type="noConversion"/>
  </si>
  <si>
    <t>260D83M-B118A</t>
    <phoneticPr fontId="2" type="noConversion"/>
  </si>
  <si>
    <t>K-AR3550-1A</t>
    <phoneticPr fontId="2" type="noConversion"/>
  </si>
  <si>
    <t>K-AR3553-1A</t>
    <phoneticPr fontId="2" type="noConversion"/>
  </si>
  <si>
    <t>CAM</t>
    <phoneticPr fontId="2" type="noConversion"/>
  </si>
  <si>
    <t>SAMPLE 진행 사항(21일)</t>
    <phoneticPr fontId="2" type="noConversion"/>
  </si>
  <si>
    <t>K-JR01933-E03AWA</t>
    <phoneticPr fontId="2" type="noConversion"/>
  </si>
  <si>
    <t>금형 수리 내역(21일)</t>
    <phoneticPr fontId="2" type="noConversion"/>
  </si>
  <si>
    <t>설비 점검 내역(21일)</t>
    <phoneticPr fontId="2" type="noConversion"/>
  </si>
  <si>
    <r>
      <t>2021년 04월 22일 일일생산현황</t>
    </r>
    <r>
      <rPr>
        <b/>
        <sz val="14"/>
        <color indexed="8"/>
        <rFont val="굴림체"/>
        <family val="3"/>
        <charset val="129"/>
      </rPr>
      <t>(23일 09시 현재)</t>
    </r>
    <phoneticPr fontId="2" type="noConversion"/>
  </si>
  <si>
    <t xml:space="preserve">SGF2033 </t>
    <phoneticPr fontId="2" type="noConversion"/>
  </si>
  <si>
    <t>AMB0172A-KAA-R3</t>
    <phoneticPr fontId="2" type="noConversion"/>
  </si>
  <si>
    <t>28P</t>
    <phoneticPr fontId="2" type="noConversion"/>
  </si>
  <si>
    <t>전일 ISSUE 사항(22일)</t>
    <phoneticPr fontId="2" type="noConversion"/>
  </si>
  <si>
    <t>코아파손2회수리</t>
    <phoneticPr fontId="2" type="noConversion"/>
  </si>
  <si>
    <t>치수확인후양산-&gt;오조립-&gt;뜯김-&gt;치수수리후양산</t>
    <phoneticPr fontId="2" type="noConversion"/>
  </si>
  <si>
    <t>수리후양산-&gt;치수수정후양산</t>
    <phoneticPr fontId="2" type="noConversion"/>
  </si>
  <si>
    <t>수정후양산-&gt;1C막음</t>
    <phoneticPr fontId="2" type="noConversion"/>
  </si>
  <si>
    <t>당일 진행 사항(23일)</t>
    <phoneticPr fontId="2" type="noConversion"/>
  </si>
  <si>
    <t>K-AR3549-1A</t>
    <phoneticPr fontId="2" type="noConversion"/>
  </si>
  <si>
    <t>AMB0240A-KAA-R2</t>
    <phoneticPr fontId="2" type="noConversion"/>
  </si>
  <si>
    <t>SAMPLE 진행 사항(22일)</t>
    <phoneticPr fontId="2" type="noConversion"/>
  </si>
  <si>
    <t>AMB0172A-KAA-R3(2C)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</si>
  <si>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</si>
  <si>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</si>
  <si>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2021년 04월 23일 일일생산현황</t>
    </r>
    <r>
      <rPr>
        <b/>
        <sz val="14"/>
        <color indexed="8"/>
        <rFont val="굴림체"/>
        <family val="3"/>
        <charset val="129"/>
      </rPr>
      <t>(24일 09시 현재)</t>
    </r>
    <phoneticPr fontId="2" type="noConversion"/>
  </si>
  <si>
    <t>AMB07M4A-KAA-R1</t>
    <phoneticPr fontId="2" type="noConversion"/>
  </si>
  <si>
    <t>8301</t>
    <phoneticPr fontId="2" type="noConversion"/>
  </si>
  <si>
    <t>NP413-187-105#MO</t>
    <phoneticPr fontId="2" type="noConversion"/>
  </si>
  <si>
    <t>전일 ISSUE 사항(23일)</t>
    <phoneticPr fontId="2" type="noConversion"/>
  </si>
  <si>
    <t>수리후양산-&gt;미성형정지</t>
    <phoneticPr fontId="2" type="noConversion"/>
  </si>
  <si>
    <t>발주분양산-&gt;단차수리후양산</t>
    <phoneticPr fontId="2" type="noConversion"/>
  </si>
  <si>
    <t>수리후양산-&gt;BURR 1C막음</t>
    <phoneticPr fontId="2" type="noConversion"/>
  </si>
  <si>
    <t>AYE</t>
    <phoneticPr fontId="2" type="noConversion"/>
  </si>
  <si>
    <t>4</t>
    <phoneticPr fontId="2" type="noConversion"/>
  </si>
  <si>
    <t>당일 진행 사항(24일)</t>
    <phoneticPr fontId="2" type="noConversion"/>
  </si>
  <si>
    <t>KR6170BD740UB</t>
    <phoneticPr fontId="2" type="noConversion"/>
  </si>
  <si>
    <t>수리후양산</t>
    <phoneticPr fontId="2" type="noConversion"/>
  </si>
  <si>
    <t>SST</t>
    <phoneticPr fontId="2" type="noConversion"/>
  </si>
  <si>
    <t>3</t>
    <phoneticPr fontId="2" type="noConversion"/>
  </si>
  <si>
    <t>STOPPER</t>
    <phoneticPr fontId="2" type="noConversion"/>
  </si>
  <si>
    <t>SAMPLE 진행 사항(23일)</t>
    <phoneticPr fontId="2" type="noConversion"/>
  </si>
  <si>
    <t>HL81-1.0-16.0-T1/B1</t>
    <phoneticPr fontId="2" type="noConversion"/>
  </si>
  <si>
    <t>288C64A-B149A</t>
    <phoneticPr fontId="2" type="noConversion"/>
  </si>
  <si>
    <t>OKINS</t>
    <phoneticPr fontId="2" type="noConversion"/>
  </si>
  <si>
    <t>BASE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</si>
  <si>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</si>
  <si>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</si>
  <si>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2021년 04월 24일 일일생산현황</t>
    </r>
    <r>
      <rPr>
        <b/>
        <sz val="14"/>
        <color indexed="8"/>
        <rFont val="굴림체"/>
        <family val="3"/>
        <charset val="129"/>
      </rPr>
      <t>(25일 09시 현재)</t>
    </r>
    <phoneticPr fontId="2" type="noConversion"/>
  </si>
  <si>
    <t>전일 ISSUE 사항(24일)</t>
    <phoneticPr fontId="2" type="noConversion"/>
  </si>
  <si>
    <t>수리후양산-&gt;미성형2회저잊</t>
    <phoneticPr fontId="2" type="noConversion"/>
  </si>
  <si>
    <t>코아파손2회-&gt;1C막음</t>
    <phoneticPr fontId="2" type="noConversion"/>
  </si>
  <si>
    <t>당일 진행 사항(26일)</t>
    <phoneticPr fontId="2" type="noConversion"/>
  </si>
  <si>
    <t>AMB0150A-KAA-R1</t>
    <phoneticPr fontId="2" type="noConversion"/>
  </si>
  <si>
    <t>AMB07U1A-KAA-R5</t>
    <phoneticPr fontId="2" type="noConversion"/>
  </si>
  <si>
    <t>SAMPLE 진행 사항(24일)</t>
    <phoneticPr fontId="2" type="noConversion"/>
  </si>
  <si>
    <t>KR6197-GR153JA</t>
    <phoneticPr fontId="2" type="noConversion"/>
  </si>
  <si>
    <t>BLUE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</si>
  <si>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</si>
  <si>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</si>
  <si>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r>
      <t>2021년 04월 26일 일일생산현황</t>
    </r>
    <r>
      <rPr>
        <b/>
        <sz val="14"/>
        <color indexed="8"/>
        <rFont val="굴림체"/>
        <family val="3"/>
        <charset val="129"/>
      </rPr>
      <t>(27일 09시 현재)</t>
    </r>
    <phoneticPr fontId="2" type="noConversion"/>
  </si>
  <si>
    <t>AMM0890A-KAA-R1</t>
    <phoneticPr fontId="2" type="noConversion"/>
  </si>
  <si>
    <t>전일 ISSUE 사항(26일)</t>
    <phoneticPr fontId="2" type="noConversion"/>
  </si>
  <si>
    <t>발주분양산-&gt;슬라이드이상정지</t>
    <phoneticPr fontId="2" type="noConversion"/>
  </si>
  <si>
    <t>AMB0890A-KAA-R1</t>
    <phoneticPr fontId="2" type="noConversion"/>
  </si>
  <si>
    <t>발주분양산-&gt;뜯김수리</t>
    <phoneticPr fontId="2" type="noConversion"/>
  </si>
  <si>
    <t>당일 진행 사항(27일)</t>
    <phoneticPr fontId="2" type="noConversion"/>
  </si>
  <si>
    <t>SAMPLE 진행 사항(26일)</t>
    <phoneticPr fontId="2" type="noConversion"/>
  </si>
  <si>
    <t>SF2250EPR</t>
    <phoneticPr fontId="2" type="noConversion"/>
  </si>
  <si>
    <t>원재료</t>
    <phoneticPr fontId="2" type="noConversion"/>
  </si>
  <si>
    <t>원재료TEST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</si>
  <si>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</si>
  <si>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</si>
  <si>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r>
      <t>2021년 04월 27일 일일생산현황</t>
    </r>
    <r>
      <rPr>
        <b/>
        <sz val="14"/>
        <color indexed="8"/>
        <rFont val="굴림체"/>
        <family val="3"/>
        <charset val="129"/>
      </rPr>
      <t>(28일 09시 현재)</t>
    </r>
    <phoneticPr fontId="2" type="noConversion"/>
  </si>
  <si>
    <t>K-JR01905-E03ABA</t>
    <phoneticPr fontId="2" type="noConversion"/>
  </si>
  <si>
    <t>전일 ISSUE 사항(27일)</t>
    <phoneticPr fontId="2" type="noConversion"/>
  </si>
  <si>
    <t>수리후양산-&gt;게이트막힘수리-&gt;슬라이드파손수리</t>
    <phoneticPr fontId="2" type="noConversion"/>
  </si>
  <si>
    <t>수리후양산-&gt;코아파손3회정지</t>
    <phoneticPr fontId="2" type="noConversion"/>
  </si>
  <si>
    <t>당일 진행 사항(28일)</t>
    <phoneticPr fontId="2" type="noConversion"/>
  </si>
  <si>
    <t>AMB0443A-KAA-R1</t>
    <phoneticPr fontId="2" type="noConversion"/>
  </si>
  <si>
    <t>NP413-078-043#GP-4</t>
    <phoneticPr fontId="2" type="noConversion"/>
  </si>
  <si>
    <t>SAMPLE 진행 사항(27일)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</si>
  <si>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</si>
  <si>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</si>
  <si>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2021년 04월 28일 일일생산현황</t>
    </r>
    <r>
      <rPr>
        <b/>
        <sz val="14"/>
        <color indexed="8"/>
        <rFont val="굴림체"/>
        <family val="3"/>
        <charset val="129"/>
      </rPr>
      <t>(29일 09시 현재)</t>
    </r>
    <phoneticPr fontId="2" type="noConversion"/>
  </si>
  <si>
    <t>전일 ISSUE 사항(28일)</t>
    <phoneticPr fontId="2" type="noConversion"/>
  </si>
  <si>
    <t>발주분양산-&gt;코아교체정지</t>
    <phoneticPr fontId="2" type="noConversion"/>
  </si>
  <si>
    <t>당일 진행 사항(29일)</t>
    <phoneticPr fontId="2" type="noConversion"/>
  </si>
  <si>
    <t>원재료변경양산</t>
    <phoneticPr fontId="2" type="noConversion"/>
  </si>
  <si>
    <t>교체후양산</t>
    <phoneticPr fontId="2" type="noConversion"/>
  </si>
  <si>
    <t>288C64A-U149A</t>
    <phoneticPr fontId="2" type="noConversion"/>
  </si>
  <si>
    <t>SAMPLE 진행 사항(28일)</t>
    <phoneticPr fontId="2" type="noConversion"/>
  </si>
  <si>
    <t>AMB07AA5A-KAA-R1</t>
    <phoneticPr fontId="2" type="noConversion"/>
  </si>
  <si>
    <t>AMB0195A-KAA-R1</t>
    <phoneticPr fontId="2" type="noConversion"/>
  </si>
  <si>
    <t>AMB07AA4A-KAA-R1</t>
    <phoneticPr fontId="2" type="noConversion"/>
  </si>
  <si>
    <t>상측박힘</t>
    <phoneticPr fontId="2" type="noConversion"/>
  </si>
  <si>
    <t>SF2250EPR / SGP2030R</t>
    <phoneticPr fontId="2" type="noConversion"/>
  </si>
  <si>
    <t>상측박힘3회정지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</si>
  <si>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</si>
  <si>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</si>
  <si>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r>
      <t>2021년 04월 29일 일일생산현황</t>
    </r>
    <r>
      <rPr>
        <b/>
        <sz val="14"/>
        <color indexed="8"/>
        <rFont val="굴림체"/>
        <family val="3"/>
        <charset val="129"/>
      </rPr>
      <t>(30일 09시 현재)</t>
    </r>
    <phoneticPr fontId="2" type="noConversion"/>
  </si>
  <si>
    <t>NP635-315-006#LB</t>
    <phoneticPr fontId="2" type="noConversion"/>
  </si>
  <si>
    <t>전일 ISSUE 사항(29일)</t>
    <phoneticPr fontId="2" type="noConversion"/>
  </si>
  <si>
    <t>BURR수리</t>
    <phoneticPr fontId="2" type="noConversion"/>
  </si>
  <si>
    <t>파손정지</t>
    <phoneticPr fontId="2" type="noConversion"/>
  </si>
  <si>
    <t>발주분양산-&gt;치수NG정지</t>
    <phoneticPr fontId="2" type="noConversion"/>
  </si>
  <si>
    <t>세척후양산-&gt;게이트파손1C양산</t>
    <phoneticPr fontId="2" type="noConversion"/>
  </si>
  <si>
    <t>KR6156BA841YA</t>
    <phoneticPr fontId="2" type="noConversion"/>
  </si>
  <si>
    <t>001-906-50</t>
    <phoneticPr fontId="2" type="noConversion"/>
  </si>
  <si>
    <t>PLATE</t>
    <phoneticPr fontId="2" type="noConversion"/>
  </si>
  <si>
    <t>당일 진행 사항(30일)</t>
    <phoneticPr fontId="2" type="noConversion"/>
  </si>
  <si>
    <t>SAMPLE 진행 사항(29일)</t>
    <phoneticPr fontId="2" type="noConversion"/>
  </si>
  <si>
    <t>상측박힘2회</t>
    <phoneticPr fontId="2" type="noConversion"/>
  </si>
  <si>
    <t>AMB0249A-KAA-R1</t>
    <phoneticPr fontId="2" type="noConversion"/>
  </si>
  <si>
    <t>금형 수리 내역(29일)</t>
    <phoneticPr fontId="2" type="noConversion"/>
  </si>
  <si>
    <t>설비 점검 내역(29일)</t>
    <phoneticPr fontId="2" type="noConversion"/>
  </si>
  <si>
    <r>
      <t>2021년 04월 30일 일일생산현황</t>
    </r>
    <r>
      <rPr>
        <b/>
        <sz val="14"/>
        <color indexed="8"/>
        <rFont val="굴림체"/>
        <family val="3"/>
        <charset val="129"/>
      </rPr>
      <t>(01일 09시 현재)</t>
    </r>
    <phoneticPr fontId="2" type="noConversion"/>
  </si>
  <si>
    <t>NP413-078-043#GP-1</t>
    <phoneticPr fontId="2" type="noConversion"/>
  </si>
  <si>
    <t>전일 ISSUE 사항(30일)</t>
    <phoneticPr fontId="2" type="noConversion"/>
  </si>
  <si>
    <t>당일 진행 사항(01일)</t>
    <phoneticPr fontId="2" type="noConversion"/>
  </si>
  <si>
    <t>9</t>
    <phoneticPr fontId="2" type="noConversion"/>
  </si>
  <si>
    <t>AMM0890A-KAA-R1</t>
    <phoneticPr fontId="2" type="noConversion"/>
  </si>
  <si>
    <t>13</t>
    <phoneticPr fontId="2" type="noConversion"/>
  </si>
  <si>
    <t>PLATE</t>
    <phoneticPr fontId="2" type="noConversion"/>
  </si>
  <si>
    <t>001-906-50</t>
    <phoneticPr fontId="2" type="noConversion"/>
  </si>
  <si>
    <t>KR6156BA841YA</t>
    <phoneticPr fontId="2" type="noConversion"/>
  </si>
  <si>
    <t>4</t>
    <phoneticPr fontId="2" type="noConversion"/>
  </si>
  <si>
    <t>SLIDER</t>
    <phoneticPr fontId="2" type="noConversion"/>
  </si>
  <si>
    <t>HICON</t>
    <phoneticPr fontId="2" type="noConversion"/>
  </si>
  <si>
    <t>11</t>
    <phoneticPr fontId="2" type="noConversion"/>
  </si>
  <si>
    <t>SAMPLE 진행 사항(30일)</t>
    <phoneticPr fontId="2" type="noConversion"/>
  </si>
  <si>
    <t>F/ADAPTER</t>
    <phoneticPr fontId="2" type="noConversion"/>
  </si>
  <si>
    <t>AMB20D7A-KAA-R5</t>
    <phoneticPr fontId="2" type="noConversion"/>
  </si>
  <si>
    <t>NP413-078-043#GP-1</t>
    <phoneticPr fontId="2" type="noConversion"/>
  </si>
  <si>
    <t>금형 수리 내역(30일)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</si>
</sst>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75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/>
    </xf>
    <xf numFmtId="41" fontId="8" fillId="0" borderId="6" xfId="4" applyFont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Border="1" applyAlignment="1">
      <alignment horizontal="center" vertical="center"/>
    </xf>
    <xf numFmtId="9" fontId="9" fillId="0" borderId="7" xfId="3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 wrapText="1"/>
    </xf>
    <xf numFmtId="178" fontId="8" fillId="0" borderId="10" xfId="4" applyNumberFormat="1" applyFont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4" fillId="0" borderId="7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49" fontId="8" fillId="0" borderId="3" xfId="2" applyNumberFormat="1" applyFont="1" applyBorder="1" applyAlignment="1">
      <alignment horizontal="center" vertical="center" wrapText="1"/>
    </xf>
    <xf numFmtId="41" fontId="8" fillId="0" borderId="8" xfId="4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>
      <alignment vertical="center"/>
    </xf>
    <xf numFmtId="0" fontId="13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 shrinkToFit="1"/>
    </xf>
    <xf numFmtId="41" fontId="13" fillId="0" borderId="0" xfId="4" applyFont="1">
      <alignment vertical="center"/>
    </xf>
    <xf numFmtId="49" fontId="13" fillId="0" borderId="0" xfId="2" applyNumberFormat="1" applyFont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8" fillId="30" borderId="8" xfId="2" applyFont="1" applyFill="1" applyBorder="1" applyAlignment="1">
      <alignment horizontal="center" vertical="center"/>
    </xf>
    <xf numFmtId="0" fontId="7" fillId="30" borderId="51" xfId="0" applyFont="1" applyFill="1" applyBorder="1" applyAlignment="1">
      <alignment horizontal="center" vertical="center"/>
    </xf>
    <xf numFmtId="9" fontId="7" fillId="30" borderId="11" xfId="8" applyFont="1" applyFill="1" applyBorder="1" applyAlignment="1">
      <alignment horizontal="center" vertical="center"/>
    </xf>
    <xf numFmtId="9" fontId="7" fillId="30" borderId="9" xfId="8" applyFont="1" applyFill="1" applyBorder="1" applyAlignment="1">
      <alignment horizontal="center" vertical="center"/>
    </xf>
    <xf numFmtId="9" fontId="7" fillId="30" borderId="12" xfId="8" applyFont="1" applyFill="1" applyBorder="1" applyAlignment="1">
      <alignment horizontal="center" vertical="center"/>
    </xf>
    <xf numFmtId="9" fontId="7" fillId="30" borderId="51" xfId="8" applyFont="1" applyFill="1" applyBorder="1" applyAlignment="1">
      <alignment horizontal="center" vertical="center"/>
    </xf>
    <xf numFmtId="49" fontId="13" fillId="0" borderId="17" xfId="2" applyNumberFormat="1" applyFont="1" applyBorder="1" applyAlignment="1">
      <alignment horizontal="center" vertical="center" shrinkToFit="1"/>
    </xf>
    <xf numFmtId="0" fontId="8" fillId="29" borderId="8" xfId="2" applyFont="1" applyFill="1" applyBorder="1" applyAlignment="1">
      <alignment horizontal="center" vertical="center"/>
    </xf>
    <xf numFmtId="0" fontId="7" fillId="29" borderId="53" xfId="0" applyFont="1" applyFill="1" applyBorder="1" applyAlignment="1">
      <alignment horizontal="center" vertical="center"/>
    </xf>
    <xf numFmtId="9" fontId="7" fillId="29" borderId="38" xfId="8" applyFont="1" applyFill="1" applyBorder="1" applyAlignment="1">
      <alignment horizontal="center" vertical="center"/>
    </xf>
    <xf numFmtId="9" fontId="7" fillId="29" borderId="24" xfId="8" applyFont="1" applyFill="1" applyBorder="1" applyAlignment="1">
      <alignment horizontal="center" vertical="center"/>
    </xf>
    <xf numFmtId="9" fontId="7" fillId="29" borderId="33" xfId="8" applyFont="1" applyFill="1" applyBorder="1" applyAlignment="1">
      <alignment horizontal="center" vertical="center"/>
    </xf>
    <xf numFmtId="9" fontId="7" fillId="29" borderId="31" xfId="8" applyFont="1" applyFill="1" applyBorder="1" applyAlignment="1">
      <alignment horizontal="center" vertical="center"/>
    </xf>
    <xf numFmtId="9" fontId="7" fillId="29" borderId="53" xfId="8" applyFont="1" applyFill="1" applyBorder="1" applyAlignment="1">
      <alignment horizontal="center" vertical="center"/>
    </xf>
    <xf numFmtId="9" fontId="7" fillId="29" borderId="3" xfId="8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1" fontId="8" fillId="0" borderId="7" xfId="4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left" vertical="center" shrinkToFit="1"/>
    </xf>
    <xf numFmtId="49" fontId="13" fillId="0" borderId="26" xfId="2" applyNumberFormat="1" applyFont="1" applyBorder="1" applyAlignment="1">
      <alignment horizontal="left" vertical="center" shrinkToFit="1"/>
    </xf>
    <xf numFmtId="49" fontId="13" fillId="0" borderId="60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26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1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54" xfId="2" applyNumberFormat="1" applyFont="1" applyBorder="1" applyAlignment="1">
      <alignment horizontal="left" vertical="center" shrinkToFit="1"/>
    </xf>
    <xf numFmtId="49" fontId="13" fillId="0" borderId="61" xfId="2" applyNumberFormat="1" applyFont="1" applyBorder="1" applyAlignment="1">
      <alignment horizontal="left" vertical="center" shrinkToFit="1"/>
    </xf>
    <xf numFmtId="49" fontId="13" fillId="0" borderId="62" xfId="2" applyNumberFormat="1" applyFont="1" applyBorder="1" applyAlignment="1">
      <alignment horizontal="left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0" fontId="17" fillId="0" borderId="0" xfId="2" applyFont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 wrapText="1"/>
    </xf>
    <xf numFmtId="0" fontId="13" fillId="0" borderId="26" xfId="2" applyFont="1" applyBorder="1" applyAlignment="1">
      <alignment horizontal="center" vertical="center" wrapText="1"/>
    </xf>
    <xf numFmtId="0" fontId="13" fillId="0" borderId="11" xfId="2" applyFont="1" applyBorder="1" applyAlignment="1">
      <alignment horizontal="center" vertical="center" wrapTex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2" fillId="0" borderId="1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42" fontId="15" fillId="0" borderId="22" xfId="7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4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6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7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7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8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10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10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1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1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1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1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_rels/chart1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STOPPPER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'01'!$L$6:$L$27</c:f>
              <c:numCache>
                <c:formatCode>_(* #,##0_);_(* \(#,##0\);_(* "-"_);_(@_)</c:formatCode>
                <c:ptCount val="22"/>
                <c:pt idx="0">
                  <c:v>8821</c:v>
                </c:pt>
                <c:pt idx="1">
                  <c:v>5866</c:v>
                </c:pt>
                <c:pt idx="2">
                  <c:v>21048</c:v>
                </c:pt>
                <c:pt idx="3">
                  <c:v>12500</c:v>
                </c:pt>
                <c:pt idx="4">
                  <c:v>6752</c:v>
                </c:pt>
                <c:pt idx="5">
                  <c:v>133700</c:v>
                </c:pt>
                <c:pt idx="6">
                  <c:v>5126</c:v>
                </c:pt>
                <c:pt idx="10">
                  <c:v>5572</c:v>
                </c:pt>
                <c:pt idx="11">
                  <c:v>17745</c:v>
                </c:pt>
                <c:pt idx="12">
                  <c:v>5790</c:v>
                </c:pt>
                <c:pt idx="13">
                  <c:v>5293</c:v>
                </c:pt>
                <c:pt idx="14">
                  <c:v>4090</c:v>
                </c:pt>
                <c:pt idx="18">
                  <c:v>32488</c:v>
                </c:pt>
                <c:pt idx="19">
                  <c:v>29804</c:v>
                </c:pt>
                <c:pt idx="20">
                  <c:v>29672</c:v>
                </c:pt>
                <c:pt idx="21">
                  <c:v>26812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2D-4299-9D09-11FFFE8EA5BA}"/>
            </c:ext>
          </c:extLst>
        </c:ser>
        <c:ser>
          <c:idx val="1"/>
          <c:order val="1"/>
          <c:tx>
            <c:v>계획</c:v>
          </c:tx>
          <c:cat>
            <c:strRef>
              <c:f>'01'!$D$6:$D$27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STOPPPER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'01'!$J$6:$J$27</c:f>
              <c:numCache>
                <c:formatCode>_(* #,##0_);_(* \(#,##0\);_(* "-"_);_(@_)</c:formatCode>
                <c:ptCount val="22"/>
                <c:pt idx="0">
                  <c:v>8821</c:v>
                </c:pt>
                <c:pt idx="1">
                  <c:v>5866</c:v>
                </c:pt>
                <c:pt idx="2">
                  <c:v>21048</c:v>
                </c:pt>
                <c:pt idx="3">
                  <c:v>12500</c:v>
                </c:pt>
                <c:pt idx="4">
                  <c:v>6752</c:v>
                </c:pt>
                <c:pt idx="5">
                  <c:v>133700</c:v>
                </c:pt>
                <c:pt idx="6">
                  <c:v>5126</c:v>
                </c:pt>
                <c:pt idx="7">
                  <c:v>1346</c:v>
                </c:pt>
                <c:pt idx="8">
                  <c:v>800</c:v>
                </c:pt>
                <c:pt idx="9">
                  <c:v>12356</c:v>
                </c:pt>
                <c:pt idx="10">
                  <c:v>5572</c:v>
                </c:pt>
                <c:pt idx="11">
                  <c:v>17745</c:v>
                </c:pt>
                <c:pt idx="12">
                  <c:v>5790</c:v>
                </c:pt>
                <c:pt idx="13">
                  <c:v>5293</c:v>
                </c:pt>
                <c:pt idx="14">
                  <c:v>4090</c:v>
                </c:pt>
                <c:pt idx="15">
                  <c:v>34220</c:v>
                </c:pt>
                <c:pt idx="16">
                  <c:v>0</c:v>
                </c:pt>
                <c:pt idx="17">
                  <c:v>0</c:v>
                </c:pt>
                <c:pt idx="18">
                  <c:v>32324</c:v>
                </c:pt>
                <c:pt idx="19">
                  <c:v>29040</c:v>
                </c:pt>
                <c:pt idx="20">
                  <c:v>31848</c:v>
                </c:pt>
                <c:pt idx="21">
                  <c:v>20956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2D-4299-9D09-11FFFE8EA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'01'!$AD$6:$AD$27</c:f>
              <c:strCache>
                <c:ptCount val="22"/>
                <c:pt idx="0">
                  <c:v>88%</c:v>
                </c:pt>
                <c:pt idx="1">
                  <c:v>88%</c:v>
                </c:pt>
                <c:pt idx="2">
                  <c:v>92%</c:v>
                </c:pt>
                <c:pt idx="3">
                  <c:v>46%</c:v>
                </c:pt>
                <c:pt idx="4">
                  <c:v>100%</c:v>
                </c:pt>
                <c:pt idx="5">
                  <c:v>92%</c:v>
                </c:pt>
                <c:pt idx="6">
                  <c:v>96%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100%</c:v>
                </c:pt>
                <c:pt idx="13">
                  <c:v>100%</c:v>
                </c:pt>
                <c:pt idx="14">
                  <c:v>75%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101%</c:v>
                </c:pt>
                <c:pt idx="19">
                  <c:v>103%</c:v>
                </c:pt>
                <c:pt idx="20">
                  <c:v>93%</c:v>
                </c:pt>
                <c:pt idx="21">
                  <c:v>128%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STOPPPER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'01'!$AD$6:$AD$27</c:f>
              <c:numCache>
                <c:formatCode>0%</c:formatCode>
                <c:ptCount val="22"/>
                <c:pt idx="0">
                  <c:v>0.875</c:v>
                </c:pt>
                <c:pt idx="1">
                  <c:v>0.875</c:v>
                </c:pt>
                <c:pt idx="2">
                  <c:v>0.91666666666666663</c:v>
                </c:pt>
                <c:pt idx="3">
                  <c:v>0.45833333333333331</c:v>
                </c:pt>
                <c:pt idx="4">
                  <c:v>1</c:v>
                </c:pt>
                <c:pt idx="5">
                  <c:v>0.91666666666666663</c:v>
                </c:pt>
                <c:pt idx="6">
                  <c:v>0.95833333333333337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1.0050736295012994</c:v>
                </c:pt>
                <c:pt idx="19">
                  <c:v>1.0263085399449037</c:v>
                </c:pt>
                <c:pt idx="20">
                  <c:v>0.93167545842753074</c:v>
                </c:pt>
                <c:pt idx="21">
                  <c:v>1.2794426417255202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C2-424C-840F-489B199BC84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2C2-424C-840F-489B199BC84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STOPPPER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'01'!$AE$6:$AE$27</c:f>
              <c:numCache>
                <c:formatCode>0%</c:formatCode>
                <c:ptCount val="22"/>
                <c:pt idx="0">
                  <c:v>0.68147728498178428</c:v>
                </c:pt>
                <c:pt idx="1">
                  <c:v>0.68147728498178428</c:v>
                </c:pt>
                <c:pt idx="2">
                  <c:v>0.68147728498178428</c:v>
                </c:pt>
                <c:pt idx="3">
                  <c:v>0.68147728498178428</c:v>
                </c:pt>
                <c:pt idx="4">
                  <c:v>0.68147728498178428</c:v>
                </c:pt>
                <c:pt idx="5">
                  <c:v>0.68147728498178428</c:v>
                </c:pt>
                <c:pt idx="6">
                  <c:v>0.68147728498178428</c:v>
                </c:pt>
                <c:pt idx="7">
                  <c:v>0.68147728498178428</c:v>
                </c:pt>
                <c:pt idx="8">
                  <c:v>0.68147728498178428</c:v>
                </c:pt>
                <c:pt idx="9">
                  <c:v>0.68147728498178428</c:v>
                </c:pt>
                <c:pt idx="10">
                  <c:v>0.68147728498178428</c:v>
                </c:pt>
                <c:pt idx="11">
                  <c:v>0.68147728498178428</c:v>
                </c:pt>
                <c:pt idx="12">
                  <c:v>0.68147728498178428</c:v>
                </c:pt>
                <c:pt idx="13">
                  <c:v>0.68147728498178428</c:v>
                </c:pt>
                <c:pt idx="14">
                  <c:v>0.68147728498178428</c:v>
                </c:pt>
                <c:pt idx="15">
                  <c:v>0.68147728498178428</c:v>
                </c:pt>
                <c:pt idx="16">
                  <c:v>0.68147728498178428</c:v>
                </c:pt>
                <c:pt idx="17">
                  <c:v>0.68147728498178428</c:v>
                </c:pt>
                <c:pt idx="18">
                  <c:v>0.68147728498178428</c:v>
                </c:pt>
                <c:pt idx="19">
                  <c:v>0.68147728498178428</c:v>
                </c:pt>
                <c:pt idx="20">
                  <c:v>0.68147728498178428</c:v>
                </c:pt>
                <c:pt idx="21">
                  <c:v>0.68147728498178428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C2-424C-840F-489B199BC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STOPPPER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'01'!$L$6:$L$27</c:f>
              <c:numCache>
                <c:formatCode>_(* #,##0_);_(* \(#,##0\);_(* "-"_);_(@_)</c:formatCode>
                <c:ptCount val="22"/>
                <c:pt idx="0">
                  <c:v>8821</c:v>
                </c:pt>
                <c:pt idx="1">
                  <c:v>5866</c:v>
                </c:pt>
                <c:pt idx="2">
                  <c:v>21048</c:v>
                </c:pt>
                <c:pt idx="3">
                  <c:v>12500</c:v>
                </c:pt>
                <c:pt idx="4">
                  <c:v>6752</c:v>
                </c:pt>
                <c:pt idx="5">
                  <c:v>133700</c:v>
                </c:pt>
                <c:pt idx="6">
                  <c:v>5126</c:v>
                </c:pt>
                <c:pt idx="10">
                  <c:v>5572</c:v>
                </c:pt>
                <c:pt idx="11">
                  <c:v>17745</c:v>
                </c:pt>
                <c:pt idx="12">
                  <c:v>5790</c:v>
                </c:pt>
                <c:pt idx="13">
                  <c:v>5293</c:v>
                </c:pt>
                <c:pt idx="14">
                  <c:v>4090</c:v>
                </c:pt>
                <c:pt idx="18">
                  <c:v>32488</c:v>
                </c:pt>
                <c:pt idx="19">
                  <c:v>29804</c:v>
                </c:pt>
                <c:pt idx="20">
                  <c:v>29672</c:v>
                </c:pt>
                <c:pt idx="21">
                  <c:v>26812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41-4AE9-80D5-A8D11CBDEB03}"/>
            </c:ext>
          </c:extLst>
        </c:ser>
        <c:ser>
          <c:idx val="1"/>
          <c:order val="1"/>
          <c:tx>
            <c:v>계획</c:v>
          </c:tx>
          <c:cat>
            <c:strRef>
              <c:f>'01'!$D$6:$D$27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STOPPPER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'01'!$J$6:$J$27</c:f>
              <c:numCache>
                <c:formatCode>_(* #,##0_);_(* \(#,##0\);_(* "-"_);_(@_)</c:formatCode>
                <c:ptCount val="22"/>
                <c:pt idx="0">
                  <c:v>8821</c:v>
                </c:pt>
                <c:pt idx="1">
                  <c:v>5866</c:v>
                </c:pt>
                <c:pt idx="2">
                  <c:v>21048</c:v>
                </c:pt>
                <c:pt idx="3">
                  <c:v>12500</c:v>
                </c:pt>
                <c:pt idx="4">
                  <c:v>6752</c:v>
                </c:pt>
                <c:pt idx="5">
                  <c:v>133700</c:v>
                </c:pt>
                <c:pt idx="6">
                  <c:v>5126</c:v>
                </c:pt>
                <c:pt idx="7">
                  <c:v>1346</c:v>
                </c:pt>
                <c:pt idx="8">
                  <c:v>800</c:v>
                </c:pt>
                <c:pt idx="9">
                  <c:v>12356</c:v>
                </c:pt>
                <c:pt idx="10">
                  <c:v>5572</c:v>
                </c:pt>
                <c:pt idx="11">
                  <c:v>17745</c:v>
                </c:pt>
                <c:pt idx="12">
                  <c:v>5790</c:v>
                </c:pt>
                <c:pt idx="13">
                  <c:v>5293</c:v>
                </c:pt>
                <c:pt idx="14">
                  <c:v>4090</c:v>
                </c:pt>
                <c:pt idx="15">
                  <c:v>34220</c:v>
                </c:pt>
                <c:pt idx="16">
                  <c:v>0</c:v>
                </c:pt>
                <c:pt idx="17">
                  <c:v>0</c:v>
                </c:pt>
                <c:pt idx="18">
                  <c:v>32324</c:v>
                </c:pt>
                <c:pt idx="19">
                  <c:v>29040</c:v>
                </c:pt>
                <c:pt idx="20">
                  <c:v>31848</c:v>
                </c:pt>
                <c:pt idx="21">
                  <c:v>20956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41-4AE9-80D5-A8D11CBDE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'01'!$AD$6:$AD$27</c:f>
              <c:strCache>
                <c:ptCount val="22"/>
                <c:pt idx="0">
                  <c:v>88%</c:v>
                </c:pt>
                <c:pt idx="1">
                  <c:v>88%</c:v>
                </c:pt>
                <c:pt idx="2">
                  <c:v>92%</c:v>
                </c:pt>
                <c:pt idx="3">
                  <c:v>46%</c:v>
                </c:pt>
                <c:pt idx="4">
                  <c:v>100%</c:v>
                </c:pt>
                <c:pt idx="5">
                  <c:v>92%</c:v>
                </c:pt>
                <c:pt idx="6">
                  <c:v>96%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100%</c:v>
                </c:pt>
                <c:pt idx="13">
                  <c:v>100%</c:v>
                </c:pt>
                <c:pt idx="14">
                  <c:v>75%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101%</c:v>
                </c:pt>
                <c:pt idx="19">
                  <c:v>103%</c:v>
                </c:pt>
                <c:pt idx="20">
                  <c:v>93%</c:v>
                </c:pt>
                <c:pt idx="21">
                  <c:v>128%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STOPPPER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'01'!$AD$6:$AD$27</c:f>
              <c:numCache>
                <c:formatCode>0%</c:formatCode>
                <c:ptCount val="22"/>
                <c:pt idx="0">
                  <c:v>0.875</c:v>
                </c:pt>
                <c:pt idx="1">
                  <c:v>0.875</c:v>
                </c:pt>
                <c:pt idx="2">
                  <c:v>0.91666666666666663</c:v>
                </c:pt>
                <c:pt idx="3">
                  <c:v>0.45833333333333331</c:v>
                </c:pt>
                <c:pt idx="4">
                  <c:v>1</c:v>
                </c:pt>
                <c:pt idx="5">
                  <c:v>0.91666666666666663</c:v>
                </c:pt>
                <c:pt idx="6">
                  <c:v>0.95833333333333337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1.0050736295012994</c:v>
                </c:pt>
                <c:pt idx="19">
                  <c:v>1.0263085399449037</c:v>
                </c:pt>
                <c:pt idx="20">
                  <c:v>0.93167545842753074</c:v>
                </c:pt>
                <c:pt idx="21">
                  <c:v>1.2794426417255202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24-448B-91AD-8A7BE3FB2E1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30674658064879634"/>
                  <c:y val="1.625518632276517E-2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724-448B-91AD-8A7BE3FB2E1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STOPPPER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'01'!$AE$6:$AE$27</c:f>
              <c:numCache>
                <c:formatCode>0%</c:formatCode>
                <c:ptCount val="22"/>
                <c:pt idx="0">
                  <c:v>0.68147728498178428</c:v>
                </c:pt>
                <c:pt idx="1">
                  <c:v>0.68147728498178428</c:v>
                </c:pt>
                <c:pt idx="2">
                  <c:v>0.68147728498178428</c:v>
                </c:pt>
                <c:pt idx="3">
                  <c:v>0.68147728498178428</c:v>
                </c:pt>
                <c:pt idx="4">
                  <c:v>0.68147728498178428</c:v>
                </c:pt>
                <c:pt idx="5">
                  <c:v>0.68147728498178428</c:v>
                </c:pt>
                <c:pt idx="6">
                  <c:v>0.68147728498178428</c:v>
                </c:pt>
                <c:pt idx="7">
                  <c:v>0.68147728498178428</c:v>
                </c:pt>
                <c:pt idx="8">
                  <c:v>0.68147728498178428</c:v>
                </c:pt>
                <c:pt idx="9">
                  <c:v>0.68147728498178428</c:v>
                </c:pt>
                <c:pt idx="10">
                  <c:v>0.68147728498178428</c:v>
                </c:pt>
                <c:pt idx="11">
                  <c:v>0.68147728498178428</c:v>
                </c:pt>
                <c:pt idx="12">
                  <c:v>0.68147728498178428</c:v>
                </c:pt>
                <c:pt idx="13">
                  <c:v>0.68147728498178428</c:v>
                </c:pt>
                <c:pt idx="14">
                  <c:v>0.68147728498178428</c:v>
                </c:pt>
                <c:pt idx="15">
                  <c:v>0.68147728498178428</c:v>
                </c:pt>
                <c:pt idx="16">
                  <c:v>0.68147728498178428</c:v>
                </c:pt>
                <c:pt idx="17">
                  <c:v>0.68147728498178428</c:v>
                </c:pt>
                <c:pt idx="18">
                  <c:v>0.68147728498178428</c:v>
                </c:pt>
                <c:pt idx="19">
                  <c:v>0.68147728498178428</c:v>
                </c:pt>
                <c:pt idx="20">
                  <c:v>0.68147728498178428</c:v>
                </c:pt>
                <c:pt idx="21">
                  <c:v>0.68147728498178428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24-448B-91AD-8A7BE3FB2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815-489C-A351-67235D2D5E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0.68147728498178428</c:v>
                </c:pt>
                <c:pt idx="1">
                  <c:v>0.64962121212121204</c:v>
                </c:pt>
                <c:pt idx="2">
                  <c:v>0.37121212121212116</c:v>
                </c:pt>
                <c:pt idx="4">
                  <c:v>0.47282608695652184</c:v>
                </c:pt>
                <c:pt idx="5">
                  <c:v>0.55303030303030298</c:v>
                </c:pt>
                <c:pt idx="6">
                  <c:v>0.45833333333333331</c:v>
                </c:pt>
                <c:pt idx="7">
                  <c:v>0.47282608695652173</c:v>
                </c:pt>
                <c:pt idx="8">
                  <c:v>0.34567901234567905</c:v>
                </c:pt>
                <c:pt idx="9">
                  <c:v>0.41098484848484856</c:v>
                </c:pt>
                <c:pt idx="11">
                  <c:v>0.36742424242424243</c:v>
                </c:pt>
                <c:pt idx="12">
                  <c:v>0.48863636363636354</c:v>
                </c:pt>
                <c:pt idx="13">
                  <c:v>0.59000470952885553</c:v>
                </c:pt>
                <c:pt idx="14">
                  <c:v>0.58712121212121204</c:v>
                </c:pt>
                <c:pt idx="15">
                  <c:v>0.53462982364239564</c:v>
                </c:pt>
                <c:pt idx="16">
                  <c:v>0.45075757575757575</c:v>
                </c:pt>
                <c:pt idx="18">
                  <c:v>0.54356060606060608</c:v>
                </c:pt>
                <c:pt idx="19">
                  <c:v>0.39855072463768115</c:v>
                </c:pt>
                <c:pt idx="20">
                  <c:v>0.29347826086956524</c:v>
                </c:pt>
                <c:pt idx="21">
                  <c:v>0.45619957956867979</c:v>
                </c:pt>
                <c:pt idx="22">
                  <c:v>0.56060606060606066</c:v>
                </c:pt>
                <c:pt idx="23">
                  <c:v>0.45108695652173914</c:v>
                </c:pt>
                <c:pt idx="25">
                  <c:v>0.41493055555555552</c:v>
                </c:pt>
                <c:pt idx="26">
                  <c:v>0.53598484848484851</c:v>
                </c:pt>
                <c:pt idx="27">
                  <c:v>0.43560606060606055</c:v>
                </c:pt>
                <c:pt idx="28">
                  <c:v>0.42234848484848481</c:v>
                </c:pt>
                <c:pt idx="29">
                  <c:v>0.42529900929110415</c:v>
                </c:pt>
                <c:pt idx="31">
                  <c:v>0.41240717878611177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15-489C-A351-67235D2D5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815-489C-A351-67235D2D5EC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15-489C-A351-67235D2D5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STOPPPER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'02'!$L$6:$L$27</c:f>
              <c:numCache>
                <c:formatCode>_(* #,##0_);_(* \(#,##0\);_(* "-"_);_(@_)</c:formatCode>
                <c:ptCount val="22"/>
                <c:pt idx="0">
                  <c:v>8774</c:v>
                </c:pt>
                <c:pt idx="1">
                  <c:v>6258</c:v>
                </c:pt>
                <c:pt idx="2">
                  <c:v>24120</c:v>
                </c:pt>
                <c:pt idx="3">
                  <c:v>8020</c:v>
                </c:pt>
                <c:pt idx="4">
                  <c:v>6801</c:v>
                </c:pt>
                <c:pt idx="5">
                  <c:v>100900</c:v>
                </c:pt>
                <c:pt idx="6">
                  <c:v>5538</c:v>
                </c:pt>
                <c:pt idx="10">
                  <c:v>5552</c:v>
                </c:pt>
                <c:pt idx="11">
                  <c:v>17910</c:v>
                </c:pt>
                <c:pt idx="12">
                  <c:v>5789</c:v>
                </c:pt>
                <c:pt idx="13">
                  <c:v>1639</c:v>
                </c:pt>
                <c:pt idx="14">
                  <c:v>4902</c:v>
                </c:pt>
                <c:pt idx="18">
                  <c:v>32368</c:v>
                </c:pt>
                <c:pt idx="19">
                  <c:v>27780</c:v>
                </c:pt>
                <c:pt idx="20">
                  <c:v>31736</c:v>
                </c:pt>
                <c:pt idx="21">
                  <c:v>26716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EC-4CF2-A4FF-6A256B07FF6C}"/>
            </c:ext>
          </c:extLst>
        </c:ser>
        <c:ser>
          <c:idx val="1"/>
          <c:order val="1"/>
          <c:tx>
            <c:v>계획</c:v>
          </c:tx>
          <c:cat>
            <c:strRef>
              <c:f>'02'!$D$6:$D$27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STOPPPER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'02'!$J$6:$J$27</c:f>
              <c:numCache>
                <c:formatCode>_(* #,##0_);_(* \(#,##0\);_(* "-"_);_(@_)</c:formatCode>
                <c:ptCount val="22"/>
                <c:pt idx="0">
                  <c:v>8774</c:v>
                </c:pt>
                <c:pt idx="1">
                  <c:v>6258</c:v>
                </c:pt>
                <c:pt idx="2">
                  <c:v>24120</c:v>
                </c:pt>
                <c:pt idx="3">
                  <c:v>8020</c:v>
                </c:pt>
                <c:pt idx="4">
                  <c:v>6801</c:v>
                </c:pt>
                <c:pt idx="5">
                  <c:v>100900</c:v>
                </c:pt>
                <c:pt idx="6">
                  <c:v>5538</c:v>
                </c:pt>
                <c:pt idx="7">
                  <c:v>1346</c:v>
                </c:pt>
                <c:pt idx="8">
                  <c:v>800</c:v>
                </c:pt>
                <c:pt idx="9">
                  <c:v>12356</c:v>
                </c:pt>
                <c:pt idx="10">
                  <c:v>5552</c:v>
                </c:pt>
                <c:pt idx="11">
                  <c:v>17910</c:v>
                </c:pt>
                <c:pt idx="12">
                  <c:v>5789</c:v>
                </c:pt>
                <c:pt idx="13">
                  <c:v>1639</c:v>
                </c:pt>
                <c:pt idx="14">
                  <c:v>4902</c:v>
                </c:pt>
                <c:pt idx="15">
                  <c:v>34220</c:v>
                </c:pt>
                <c:pt idx="16">
                  <c:v>0</c:v>
                </c:pt>
                <c:pt idx="17">
                  <c:v>0</c:v>
                </c:pt>
                <c:pt idx="18">
                  <c:v>32368</c:v>
                </c:pt>
                <c:pt idx="19">
                  <c:v>27780</c:v>
                </c:pt>
                <c:pt idx="20">
                  <c:v>31736</c:v>
                </c:pt>
                <c:pt idx="21">
                  <c:v>26716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EC-4CF2-A4FF-6A256B07F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'02'!$AD$6:$AD$27</c:f>
              <c:strCache>
                <c:ptCount val="22"/>
                <c:pt idx="0">
                  <c:v>92%</c:v>
                </c:pt>
                <c:pt idx="1">
                  <c:v>100%</c:v>
                </c:pt>
                <c:pt idx="2">
                  <c:v>100%</c:v>
                </c:pt>
                <c:pt idx="3">
                  <c:v>29%</c:v>
                </c:pt>
                <c:pt idx="4">
                  <c:v>100%</c:v>
                </c:pt>
                <c:pt idx="5">
                  <c:v>71%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100%</c:v>
                </c:pt>
                <c:pt idx="13">
                  <c:v>38%</c:v>
                </c:pt>
                <c:pt idx="14">
                  <c:v>100%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100%</c:v>
                </c:pt>
                <c:pt idx="19">
                  <c:v>100%</c:v>
                </c:pt>
                <c:pt idx="20">
                  <c:v>100%</c:v>
                </c:pt>
                <c:pt idx="21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STOPPPER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'02'!$AD$6:$AD$27</c:f>
              <c:numCache>
                <c:formatCode>0%</c:formatCode>
                <c:ptCount val="22"/>
                <c:pt idx="0">
                  <c:v>0.91666666666666663</c:v>
                </c:pt>
                <c:pt idx="1">
                  <c:v>1</c:v>
                </c:pt>
                <c:pt idx="2">
                  <c:v>1</c:v>
                </c:pt>
                <c:pt idx="3">
                  <c:v>0.29166666666666669</c:v>
                </c:pt>
                <c:pt idx="4">
                  <c:v>1</c:v>
                </c:pt>
                <c:pt idx="5">
                  <c:v>0.70833333333333337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0.375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F3-4AEF-866D-5BA97FD8AB3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BF3-4AEF-866D-5BA97FD8AB3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STOPPPER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'02'!$AE$6:$AE$27</c:f>
              <c:numCache>
                <c:formatCode>0%</c:formatCode>
                <c:ptCount val="22"/>
                <c:pt idx="0">
                  <c:v>0.64962121212121204</c:v>
                </c:pt>
                <c:pt idx="1">
                  <c:v>0.64962121212121204</c:v>
                </c:pt>
                <c:pt idx="2">
                  <c:v>0.64962121212121204</c:v>
                </c:pt>
                <c:pt idx="3">
                  <c:v>0.64962121212121204</c:v>
                </c:pt>
                <c:pt idx="4">
                  <c:v>0.64962121212121204</c:v>
                </c:pt>
                <c:pt idx="5">
                  <c:v>0.64962121212121204</c:v>
                </c:pt>
                <c:pt idx="6">
                  <c:v>0.64962121212121204</c:v>
                </c:pt>
                <c:pt idx="7">
                  <c:v>0.64962121212121204</c:v>
                </c:pt>
                <c:pt idx="8">
                  <c:v>0.64962121212121204</c:v>
                </c:pt>
                <c:pt idx="9">
                  <c:v>0.64962121212121204</c:v>
                </c:pt>
                <c:pt idx="10">
                  <c:v>0.64962121212121204</c:v>
                </c:pt>
                <c:pt idx="11">
                  <c:v>0.64962121212121204</c:v>
                </c:pt>
                <c:pt idx="12">
                  <c:v>0.64962121212121204</c:v>
                </c:pt>
                <c:pt idx="13">
                  <c:v>0.64962121212121204</c:v>
                </c:pt>
                <c:pt idx="14">
                  <c:v>0.64962121212121204</c:v>
                </c:pt>
                <c:pt idx="15">
                  <c:v>0.64962121212121204</c:v>
                </c:pt>
                <c:pt idx="16">
                  <c:v>0.64962121212121204</c:v>
                </c:pt>
                <c:pt idx="17">
                  <c:v>0.64962121212121204</c:v>
                </c:pt>
                <c:pt idx="18">
                  <c:v>0.64962121212121204</c:v>
                </c:pt>
                <c:pt idx="19">
                  <c:v>0.64962121212121204</c:v>
                </c:pt>
                <c:pt idx="20">
                  <c:v>0.64962121212121204</c:v>
                </c:pt>
                <c:pt idx="21">
                  <c:v>0.64962121212121204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F3-4AEF-866D-5BA97FD8A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STOPPPER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'02'!$L$6:$L$27</c:f>
              <c:numCache>
                <c:formatCode>_(* #,##0_);_(* \(#,##0\);_(* "-"_);_(@_)</c:formatCode>
                <c:ptCount val="22"/>
                <c:pt idx="0">
                  <c:v>8774</c:v>
                </c:pt>
                <c:pt idx="1">
                  <c:v>6258</c:v>
                </c:pt>
                <c:pt idx="2">
                  <c:v>24120</c:v>
                </c:pt>
                <c:pt idx="3">
                  <c:v>8020</c:v>
                </c:pt>
                <c:pt idx="4">
                  <c:v>6801</c:v>
                </c:pt>
                <c:pt idx="5">
                  <c:v>100900</c:v>
                </c:pt>
                <c:pt idx="6">
                  <c:v>5538</c:v>
                </c:pt>
                <c:pt idx="10">
                  <c:v>5552</c:v>
                </c:pt>
                <c:pt idx="11">
                  <c:v>17910</c:v>
                </c:pt>
                <c:pt idx="12">
                  <c:v>5789</c:v>
                </c:pt>
                <c:pt idx="13">
                  <c:v>1639</c:v>
                </c:pt>
                <c:pt idx="14">
                  <c:v>4902</c:v>
                </c:pt>
                <c:pt idx="18">
                  <c:v>32368</c:v>
                </c:pt>
                <c:pt idx="19">
                  <c:v>27780</c:v>
                </c:pt>
                <c:pt idx="20">
                  <c:v>31736</c:v>
                </c:pt>
                <c:pt idx="21">
                  <c:v>26716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4F-4073-BA55-C67781719638}"/>
            </c:ext>
          </c:extLst>
        </c:ser>
        <c:ser>
          <c:idx val="1"/>
          <c:order val="1"/>
          <c:tx>
            <c:v>계획</c:v>
          </c:tx>
          <c:cat>
            <c:strRef>
              <c:f>'02'!$D$6:$D$27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STOPPPER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'02'!$J$6:$J$27</c:f>
              <c:numCache>
                <c:formatCode>_(* #,##0_);_(* \(#,##0\);_(* "-"_);_(@_)</c:formatCode>
                <c:ptCount val="22"/>
                <c:pt idx="0">
                  <c:v>8774</c:v>
                </c:pt>
                <c:pt idx="1">
                  <c:v>6258</c:v>
                </c:pt>
                <c:pt idx="2">
                  <c:v>24120</c:v>
                </c:pt>
                <c:pt idx="3">
                  <c:v>8020</c:v>
                </c:pt>
                <c:pt idx="4">
                  <c:v>6801</c:v>
                </c:pt>
                <c:pt idx="5">
                  <c:v>100900</c:v>
                </c:pt>
                <c:pt idx="6">
                  <c:v>5538</c:v>
                </c:pt>
                <c:pt idx="7">
                  <c:v>1346</c:v>
                </c:pt>
                <c:pt idx="8">
                  <c:v>800</c:v>
                </c:pt>
                <c:pt idx="9">
                  <c:v>12356</c:v>
                </c:pt>
                <c:pt idx="10">
                  <c:v>5552</c:v>
                </c:pt>
                <c:pt idx="11">
                  <c:v>17910</c:v>
                </c:pt>
                <c:pt idx="12">
                  <c:v>5789</c:v>
                </c:pt>
                <c:pt idx="13">
                  <c:v>1639</c:v>
                </c:pt>
                <c:pt idx="14">
                  <c:v>4902</c:v>
                </c:pt>
                <c:pt idx="15">
                  <c:v>34220</c:v>
                </c:pt>
                <c:pt idx="16">
                  <c:v>0</c:v>
                </c:pt>
                <c:pt idx="17">
                  <c:v>0</c:v>
                </c:pt>
                <c:pt idx="18">
                  <c:v>32368</c:v>
                </c:pt>
                <c:pt idx="19">
                  <c:v>27780</c:v>
                </c:pt>
                <c:pt idx="20">
                  <c:v>31736</c:v>
                </c:pt>
                <c:pt idx="21">
                  <c:v>26716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4F-4073-BA55-C67781719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'02'!$AD$6:$AD$27</c:f>
              <c:strCache>
                <c:ptCount val="22"/>
                <c:pt idx="0">
                  <c:v>92%</c:v>
                </c:pt>
                <c:pt idx="1">
                  <c:v>100%</c:v>
                </c:pt>
                <c:pt idx="2">
                  <c:v>100%</c:v>
                </c:pt>
                <c:pt idx="3">
                  <c:v>29%</c:v>
                </c:pt>
                <c:pt idx="4">
                  <c:v>100%</c:v>
                </c:pt>
                <c:pt idx="5">
                  <c:v>71%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100%</c:v>
                </c:pt>
                <c:pt idx="13">
                  <c:v>38%</c:v>
                </c:pt>
                <c:pt idx="14">
                  <c:v>100%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100%</c:v>
                </c:pt>
                <c:pt idx="19">
                  <c:v>100%</c:v>
                </c:pt>
                <c:pt idx="20">
                  <c:v>100%</c:v>
                </c:pt>
                <c:pt idx="21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STOPPPER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'02'!$AD$6:$AD$27</c:f>
              <c:numCache>
                <c:formatCode>0%</c:formatCode>
                <c:ptCount val="22"/>
                <c:pt idx="0">
                  <c:v>0.91666666666666663</c:v>
                </c:pt>
                <c:pt idx="1">
                  <c:v>1</c:v>
                </c:pt>
                <c:pt idx="2">
                  <c:v>1</c:v>
                </c:pt>
                <c:pt idx="3">
                  <c:v>0.29166666666666669</c:v>
                </c:pt>
                <c:pt idx="4">
                  <c:v>1</c:v>
                </c:pt>
                <c:pt idx="5">
                  <c:v>0.70833333333333337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0.375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1F-4018-8134-3F1DD0C1872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30674658064879634"/>
                  <c:y val="1.625518632276517E-2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D1F-4018-8134-3F1DD0C1872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STOPPPER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'02'!$AE$6:$AE$27</c:f>
              <c:numCache>
                <c:formatCode>0%</c:formatCode>
                <c:ptCount val="22"/>
                <c:pt idx="0">
                  <c:v>0.64962121212121204</c:v>
                </c:pt>
                <c:pt idx="1">
                  <c:v>0.64962121212121204</c:v>
                </c:pt>
                <c:pt idx="2">
                  <c:v>0.64962121212121204</c:v>
                </c:pt>
                <c:pt idx="3">
                  <c:v>0.64962121212121204</c:v>
                </c:pt>
                <c:pt idx="4">
                  <c:v>0.64962121212121204</c:v>
                </c:pt>
                <c:pt idx="5">
                  <c:v>0.64962121212121204</c:v>
                </c:pt>
                <c:pt idx="6">
                  <c:v>0.64962121212121204</c:v>
                </c:pt>
                <c:pt idx="7">
                  <c:v>0.64962121212121204</c:v>
                </c:pt>
                <c:pt idx="8">
                  <c:v>0.64962121212121204</c:v>
                </c:pt>
                <c:pt idx="9">
                  <c:v>0.64962121212121204</c:v>
                </c:pt>
                <c:pt idx="10">
                  <c:v>0.64962121212121204</c:v>
                </c:pt>
                <c:pt idx="11">
                  <c:v>0.64962121212121204</c:v>
                </c:pt>
                <c:pt idx="12">
                  <c:v>0.64962121212121204</c:v>
                </c:pt>
                <c:pt idx="13">
                  <c:v>0.64962121212121204</c:v>
                </c:pt>
                <c:pt idx="14">
                  <c:v>0.64962121212121204</c:v>
                </c:pt>
                <c:pt idx="15">
                  <c:v>0.64962121212121204</c:v>
                </c:pt>
                <c:pt idx="16">
                  <c:v>0.64962121212121204</c:v>
                </c:pt>
                <c:pt idx="17">
                  <c:v>0.64962121212121204</c:v>
                </c:pt>
                <c:pt idx="18">
                  <c:v>0.64962121212121204</c:v>
                </c:pt>
                <c:pt idx="19">
                  <c:v>0.64962121212121204</c:v>
                </c:pt>
                <c:pt idx="20">
                  <c:v>0.64962121212121204</c:v>
                </c:pt>
                <c:pt idx="21">
                  <c:v>0.64962121212121204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1F-4018-8134-3F1DD0C18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D45-4C6C-8955-2D08369F33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0.68147728498178428</c:v>
                </c:pt>
                <c:pt idx="1">
                  <c:v>0.64962121212121204</c:v>
                </c:pt>
                <c:pt idx="2">
                  <c:v>0.37121212121212116</c:v>
                </c:pt>
                <c:pt idx="4">
                  <c:v>0.47282608695652184</c:v>
                </c:pt>
                <c:pt idx="5">
                  <c:v>0.55303030303030298</c:v>
                </c:pt>
                <c:pt idx="6">
                  <c:v>0.45833333333333331</c:v>
                </c:pt>
                <c:pt idx="7">
                  <c:v>0.47282608695652173</c:v>
                </c:pt>
                <c:pt idx="8">
                  <c:v>0.34567901234567905</c:v>
                </c:pt>
                <c:pt idx="9">
                  <c:v>0.41098484848484856</c:v>
                </c:pt>
                <c:pt idx="11">
                  <c:v>0.36742424242424243</c:v>
                </c:pt>
                <c:pt idx="12">
                  <c:v>0.48863636363636354</c:v>
                </c:pt>
                <c:pt idx="13">
                  <c:v>0.59000470952885553</c:v>
                </c:pt>
                <c:pt idx="14">
                  <c:v>0.58712121212121204</c:v>
                </c:pt>
                <c:pt idx="15">
                  <c:v>0.53462982364239564</c:v>
                </c:pt>
                <c:pt idx="16">
                  <c:v>0.45075757575757575</c:v>
                </c:pt>
                <c:pt idx="18">
                  <c:v>0.54356060606060608</c:v>
                </c:pt>
                <c:pt idx="19">
                  <c:v>0.39855072463768115</c:v>
                </c:pt>
                <c:pt idx="20">
                  <c:v>0.29347826086956524</c:v>
                </c:pt>
                <c:pt idx="21">
                  <c:v>0.45619957956867979</c:v>
                </c:pt>
                <c:pt idx="22">
                  <c:v>0.56060606060606066</c:v>
                </c:pt>
                <c:pt idx="23">
                  <c:v>0.45108695652173914</c:v>
                </c:pt>
                <c:pt idx="25">
                  <c:v>0.41493055555555552</c:v>
                </c:pt>
                <c:pt idx="26">
                  <c:v>0.53598484848484851</c:v>
                </c:pt>
                <c:pt idx="27">
                  <c:v>0.43560606060606055</c:v>
                </c:pt>
                <c:pt idx="28">
                  <c:v>0.42234848484848481</c:v>
                </c:pt>
                <c:pt idx="29">
                  <c:v>0.42529900929110415</c:v>
                </c:pt>
                <c:pt idx="31">
                  <c:v>0.41240717878611177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45-4C6C-8955-2D08369F3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D45-4C6C-8955-2D08369F337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45-4C6C-8955-2D08369F3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'03'!$L$6:$L$27</c:f>
              <c:numCache>
                <c:formatCode>_(* #,##0_);_(* \(#,##0\);_(* "-"_);_(@_)</c:formatCode>
                <c:ptCount val="22"/>
                <c:pt idx="0">
                  <c:v>10138</c:v>
                </c:pt>
                <c:pt idx="2">
                  <c:v>23800</c:v>
                </c:pt>
                <c:pt idx="4">
                  <c:v>6746</c:v>
                </c:pt>
                <c:pt idx="6">
                  <c:v>5283</c:v>
                </c:pt>
                <c:pt idx="11">
                  <c:v>17925</c:v>
                </c:pt>
                <c:pt idx="12">
                  <c:v>5593</c:v>
                </c:pt>
                <c:pt idx="13">
                  <c:v>3698</c:v>
                </c:pt>
                <c:pt idx="14">
                  <c:v>4208</c:v>
                </c:pt>
                <c:pt idx="19">
                  <c:v>4064</c:v>
                </c:pt>
                <c:pt idx="21">
                  <c:v>8020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A2-4EEE-BC2C-A9F95F6080DF}"/>
            </c:ext>
          </c:extLst>
        </c:ser>
        <c:ser>
          <c:idx val="1"/>
          <c:order val="1"/>
          <c:tx>
            <c:v>계획</c:v>
          </c:tx>
          <c:cat>
            <c:strRef>
              <c:f>'03'!$D$6:$D$27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'03'!$J$6:$J$27</c:f>
              <c:numCache>
                <c:formatCode>_(* #,##0_);_(* \(#,##0\);_(* "-"_);_(@_)</c:formatCode>
                <c:ptCount val="22"/>
                <c:pt idx="0">
                  <c:v>10138</c:v>
                </c:pt>
                <c:pt idx="1">
                  <c:v>6258</c:v>
                </c:pt>
                <c:pt idx="2">
                  <c:v>23800</c:v>
                </c:pt>
                <c:pt idx="3">
                  <c:v>8020</c:v>
                </c:pt>
                <c:pt idx="4">
                  <c:v>6746</c:v>
                </c:pt>
                <c:pt idx="5">
                  <c:v>100900</c:v>
                </c:pt>
                <c:pt idx="6">
                  <c:v>5283</c:v>
                </c:pt>
                <c:pt idx="7">
                  <c:v>1346</c:v>
                </c:pt>
                <c:pt idx="8">
                  <c:v>800</c:v>
                </c:pt>
                <c:pt idx="9">
                  <c:v>12356</c:v>
                </c:pt>
                <c:pt idx="10">
                  <c:v>5552</c:v>
                </c:pt>
                <c:pt idx="11">
                  <c:v>17925</c:v>
                </c:pt>
                <c:pt idx="12">
                  <c:v>5593</c:v>
                </c:pt>
                <c:pt idx="13">
                  <c:v>3698</c:v>
                </c:pt>
                <c:pt idx="14">
                  <c:v>4208</c:v>
                </c:pt>
                <c:pt idx="15">
                  <c:v>34220</c:v>
                </c:pt>
                <c:pt idx="16">
                  <c:v>0</c:v>
                </c:pt>
                <c:pt idx="17">
                  <c:v>0</c:v>
                </c:pt>
                <c:pt idx="18">
                  <c:v>32368</c:v>
                </c:pt>
                <c:pt idx="19">
                  <c:v>4064</c:v>
                </c:pt>
                <c:pt idx="20">
                  <c:v>31736</c:v>
                </c:pt>
                <c:pt idx="21">
                  <c:v>8020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A2-4EEE-BC2C-A9F95F608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'03'!$AD$6:$AD$27</c:f>
              <c:strCache>
                <c:ptCount val="22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71%</c:v>
                </c:pt>
                <c:pt idx="14">
                  <c:v>96%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21%</c:v>
                </c:pt>
                <c:pt idx="20">
                  <c:v>0%</c:v>
                </c:pt>
                <c:pt idx="21">
                  <c:v>29%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'03'!$AD$6:$AD$27</c:f>
              <c:numCache>
                <c:formatCode>0%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0.70833333333333337</c:v>
                </c:pt>
                <c:pt idx="14">
                  <c:v>0.95833333333333337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0.20833333333333334</c:v>
                </c:pt>
                <c:pt idx="20">
                  <c:v>0</c:v>
                </c:pt>
                <c:pt idx="21">
                  <c:v>0.29166666666666669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6E-44CD-AD4F-63E761156B3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56E-44CD-AD4F-63E761156B3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'03'!$AE$6:$AE$27</c:f>
              <c:numCache>
                <c:formatCode>0%</c:formatCode>
                <c:ptCount val="22"/>
                <c:pt idx="0">
                  <c:v>0.37121212121212116</c:v>
                </c:pt>
                <c:pt idx="1">
                  <c:v>0.37121212121212116</c:v>
                </c:pt>
                <c:pt idx="2">
                  <c:v>0.37121212121212116</c:v>
                </c:pt>
                <c:pt idx="3">
                  <c:v>0.37121212121212116</c:v>
                </c:pt>
                <c:pt idx="4">
                  <c:v>0.37121212121212116</c:v>
                </c:pt>
                <c:pt idx="5">
                  <c:v>0.37121212121212116</c:v>
                </c:pt>
                <c:pt idx="6">
                  <c:v>0.37121212121212116</c:v>
                </c:pt>
                <c:pt idx="7">
                  <c:v>0.37121212121212116</c:v>
                </c:pt>
                <c:pt idx="8">
                  <c:v>0.37121212121212116</c:v>
                </c:pt>
                <c:pt idx="9">
                  <c:v>0.37121212121212116</c:v>
                </c:pt>
                <c:pt idx="10">
                  <c:v>0.37121212121212116</c:v>
                </c:pt>
                <c:pt idx="11">
                  <c:v>0.37121212121212116</c:v>
                </c:pt>
                <c:pt idx="12">
                  <c:v>0.37121212121212116</c:v>
                </c:pt>
                <c:pt idx="13">
                  <c:v>0.37121212121212116</c:v>
                </c:pt>
                <c:pt idx="14">
                  <c:v>0.37121212121212116</c:v>
                </c:pt>
                <c:pt idx="15">
                  <c:v>0.37121212121212116</c:v>
                </c:pt>
                <c:pt idx="16">
                  <c:v>0.37121212121212116</c:v>
                </c:pt>
                <c:pt idx="17">
                  <c:v>0.37121212121212116</c:v>
                </c:pt>
                <c:pt idx="18">
                  <c:v>0.37121212121212116</c:v>
                </c:pt>
                <c:pt idx="19">
                  <c:v>0.37121212121212116</c:v>
                </c:pt>
                <c:pt idx="20">
                  <c:v>0.37121212121212116</c:v>
                </c:pt>
                <c:pt idx="21">
                  <c:v>0.37121212121212116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6E-44CD-AD4F-63E761156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'03'!$L$6:$L$27</c:f>
              <c:numCache>
                <c:formatCode>_(* #,##0_);_(* \(#,##0\);_(* "-"_);_(@_)</c:formatCode>
                <c:ptCount val="22"/>
                <c:pt idx="0">
                  <c:v>10138</c:v>
                </c:pt>
                <c:pt idx="2">
                  <c:v>23800</c:v>
                </c:pt>
                <c:pt idx="4">
                  <c:v>6746</c:v>
                </c:pt>
                <c:pt idx="6">
                  <c:v>5283</c:v>
                </c:pt>
                <c:pt idx="11">
                  <c:v>17925</c:v>
                </c:pt>
                <c:pt idx="12">
                  <c:v>5593</c:v>
                </c:pt>
                <c:pt idx="13">
                  <c:v>3698</c:v>
                </c:pt>
                <c:pt idx="14">
                  <c:v>4208</c:v>
                </c:pt>
                <c:pt idx="19">
                  <c:v>4064</c:v>
                </c:pt>
                <c:pt idx="21">
                  <c:v>8020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03-4F08-A19C-944DE5A9D883}"/>
            </c:ext>
          </c:extLst>
        </c:ser>
        <c:ser>
          <c:idx val="1"/>
          <c:order val="1"/>
          <c:tx>
            <c:v>계획</c:v>
          </c:tx>
          <c:cat>
            <c:strRef>
              <c:f>'03'!$D$6:$D$27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'03'!$J$6:$J$27</c:f>
              <c:numCache>
                <c:formatCode>_(* #,##0_);_(* \(#,##0\);_(* "-"_);_(@_)</c:formatCode>
                <c:ptCount val="22"/>
                <c:pt idx="0">
                  <c:v>10138</c:v>
                </c:pt>
                <c:pt idx="1">
                  <c:v>6258</c:v>
                </c:pt>
                <c:pt idx="2">
                  <c:v>23800</c:v>
                </c:pt>
                <c:pt idx="3">
                  <c:v>8020</c:v>
                </c:pt>
                <c:pt idx="4">
                  <c:v>6746</c:v>
                </c:pt>
                <c:pt idx="5">
                  <c:v>100900</c:v>
                </c:pt>
                <c:pt idx="6">
                  <c:v>5283</c:v>
                </c:pt>
                <c:pt idx="7">
                  <c:v>1346</c:v>
                </c:pt>
                <c:pt idx="8">
                  <c:v>800</c:v>
                </c:pt>
                <c:pt idx="9">
                  <c:v>12356</c:v>
                </c:pt>
                <c:pt idx="10">
                  <c:v>5552</c:v>
                </c:pt>
                <c:pt idx="11">
                  <c:v>17925</c:v>
                </c:pt>
                <c:pt idx="12">
                  <c:v>5593</c:v>
                </c:pt>
                <c:pt idx="13">
                  <c:v>3698</c:v>
                </c:pt>
                <c:pt idx="14">
                  <c:v>4208</c:v>
                </c:pt>
                <c:pt idx="15">
                  <c:v>34220</c:v>
                </c:pt>
                <c:pt idx="16">
                  <c:v>0</c:v>
                </c:pt>
                <c:pt idx="17">
                  <c:v>0</c:v>
                </c:pt>
                <c:pt idx="18">
                  <c:v>32368</c:v>
                </c:pt>
                <c:pt idx="19">
                  <c:v>4064</c:v>
                </c:pt>
                <c:pt idx="20">
                  <c:v>31736</c:v>
                </c:pt>
                <c:pt idx="21">
                  <c:v>8020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03-4F08-A19C-944DE5A9D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'03'!$AD$6:$AD$27</c:f>
              <c:strCache>
                <c:ptCount val="22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71%</c:v>
                </c:pt>
                <c:pt idx="14">
                  <c:v>96%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21%</c:v>
                </c:pt>
                <c:pt idx="20">
                  <c:v>0%</c:v>
                </c:pt>
                <c:pt idx="21">
                  <c:v>29%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'03'!$AD$6:$AD$27</c:f>
              <c:numCache>
                <c:formatCode>0%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0.70833333333333337</c:v>
                </c:pt>
                <c:pt idx="14">
                  <c:v>0.95833333333333337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0.20833333333333334</c:v>
                </c:pt>
                <c:pt idx="20">
                  <c:v>0</c:v>
                </c:pt>
                <c:pt idx="21">
                  <c:v>0.29166666666666669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D2-46B5-9BAF-69C3FD6B1E2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30674658064879634"/>
                  <c:y val="1.625518632276517E-2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DD2-46B5-9BAF-69C3FD6B1E2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SLIDER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'03'!$AE$6:$AE$27</c:f>
              <c:numCache>
                <c:formatCode>0%</c:formatCode>
                <c:ptCount val="22"/>
                <c:pt idx="0">
                  <c:v>0.37121212121212116</c:v>
                </c:pt>
                <c:pt idx="1">
                  <c:v>0.37121212121212116</c:v>
                </c:pt>
                <c:pt idx="2">
                  <c:v>0.37121212121212116</c:v>
                </c:pt>
                <c:pt idx="3">
                  <c:v>0.37121212121212116</c:v>
                </c:pt>
                <c:pt idx="4">
                  <c:v>0.37121212121212116</c:v>
                </c:pt>
                <c:pt idx="5">
                  <c:v>0.37121212121212116</c:v>
                </c:pt>
                <c:pt idx="6">
                  <c:v>0.37121212121212116</c:v>
                </c:pt>
                <c:pt idx="7">
                  <c:v>0.37121212121212116</c:v>
                </c:pt>
                <c:pt idx="8">
                  <c:v>0.37121212121212116</c:v>
                </c:pt>
                <c:pt idx="9">
                  <c:v>0.37121212121212116</c:v>
                </c:pt>
                <c:pt idx="10">
                  <c:v>0.37121212121212116</c:v>
                </c:pt>
                <c:pt idx="11">
                  <c:v>0.37121212121212116</c:v>
                </c:pt>
                <c:pt idx="12">
                  <c:v>0.37121212121212116</c:v>
                </c:pt>
                <c:pt idx="13">
                  <c:v>0.37121212121212116</c:v>
                </c:pt>
                <c:pt idx="14">
                  <c:v>0.37121212121212116</c:v>
                </c:pt>
                <c:pt idx="15">
                  <c:v>0.37121212121212116</c:v>
                </c:pt>
                <c:pt idx="16">
                  <c:v>0.37121212121212116</c:v>
                </c:pt>
                <c:pt idx="17">
                  <c:v>0.37121212121212116</c:v>
                </c:pt>
                <c:pt idx="18">
                  <c:v>0.37121212121212116</c:v>
                </c:pt>
                <c:pt idx="19">
                  <c:v>0.37121212121212116</c:v>
                </c:pt>
                <c:pt idx="20">
                  <c:v>0.37121212121212116</c:v>
                </c:pt>
                <c:pt idx="21">
                  <c:v>0.37121212121212116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D2-46B5-9BAF-69C3FD6B1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350-4949-9DF1-141882F2DC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0.68147728498178428</c:v>
                </c:pt>
                <c:pt idx="1">
                  <c:v>0.64962121212121204</c:v>
                </c:pt>
                <c:pt idx="2">
                  <c:v>0.37121212121212116</c:v>
                </c:pt>
                <c:pt idx="4">
                  <c:v>0.47282608695652184</c:v>
                </c:pt>
                <c:pt idx="5">
                  <c:v>0.55303030303030298</c:v>
                </c:pt>
                <c:pt idx="6">
                  <c:v>0.45833333333333331</c:v>
                </c:pt>
                <c:pt idx="7">
                  <c:v>0.47282608695652173</c:v>
                </c:pt>
                <c:pt idx="8">
                  <c:v>0.34567901234567905</c:v>
                </c:pt>
                <c:pt idx="9">
                  <c:v>0.41098484848484856</c:v>
                </c:pt>
                <c:pt idx="11">
                  <c:v>0.36742424242424243</c:v>
                </c:pt>
                <c:pt idx="12">
                  <c:v>0.48863636363636354</c:v>
                </c:pt>
                <c:pt idx="13">
                  <c:v>0.59000470952885553</c:v>
                </c:pt>
                <c:pt idx="14">
                  <c:v>0.58712121212121204</c:v>
                </c:pt>
                <c:pt idx="15">
                  <c:v>0.53462982364239564</c:v>
                </c:pt>
                <c:pt idx="16">
                  <c:v>0.45075757575757575</c:v>
                </c:pt>
                <c:pt idx="18">
                  <c:v>0.54356060606060608</c:v>
                </c:pt>
                <c:pt idx="19">
                  <c:v>0.39855072463768115</c:v>
                </c:pt>
                <c:pt idx="20">
                  <c:v>0.29347826086956524</c:v>
                </c:pt>
                <c:pt idx="21">
                  <c:v>0.45619957956867979</c:v>
                </c:pt>
                <c:pt idx="22">
                  <c:v>0.56060606060606066</c:v>
                </c:pt>
                <c:pt idx="23">
                  <c:v>0.45108695652173914</c:v>
                </c:pt>
                <c:pt idx="25">
                  <c:v>0.41493055555555552</c:v>
                </c:pt>
                <c:pt idx="26">
                  <c:v>0.53598484848484851</c:v>
                </c:pt>
                <c:pt idx="27">
                  <c:v>0.43560606060606055</c:v>
                </c:pt>
                <c:pt idx="28">
                  <c:v>0.42234848484848481</c:v>
                </c:pt>
                <c:pt idx="29">
                  <c:v>0.42529900929110415</c:v>
                </c:pt>
                <c:pt idx="31">
                  <c:v>0.41240717878611177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50-4949-9DF1-141882F2D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350-4949-9DF1-141882F2DC9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50-4949-9DF1-141882F2D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BASE</c:v>
                </c:pt>
                <c:pt idx="12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  <c:pt idx="19">
                  <c:v>LEAD GUIDE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'05'!$L$6:$L$28</c:f>
              <c:numCache>
                <c:formatCode>_(* #,##0_);_(* \(#,##0\);_(* "-"_);_(@_)</c:formatCode>
                <c:ptCount val="23"/>
                <c:pt idx="0">
                  <c:v>6972</c:v>
                </c:pt>
                <c:pt idx="2">
                  <c:v>23392</c:v>
                </c:pt>
                <c:pt idx="3">
                  <c:v>6468</c:v>
                </c:pt>
                <c:pt idx="6">
                  <c:v>5334</c:v>
                </c:pt>
                <c:pt idx="10">
                  <c:v>1101</c:v>
                </c:pt>
                <c:pt idx="11">
                  <c:v>5366</c:v>
                </c:pt>
                <c:pt idx="12">
                  <c:v>2610</c:v>
                </c:pt>
                <c:pt idx="13">
                  <c:v>5282</c:v>
                </c:pt>
                <c:pt idx="14">
                  <c:v>3094</c:v>
                </c:pt>
                <c:pt idx="15">
                  <c:v>4375</c:v>
                </c:pt>
                <c:pt idx="19">
                  <c:v>29932</c:v>
                </c:pt>
                <c:pt idx="20">
                  <c:v>26996</c:v>
                </c:pt>
                <c:pt idx="21">
                  <c:v>27000</c:v>
                </c:pt>
                <c:pt idx="22">
                  <c:v>25080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D7-4070-A3B8-532DC8675C34}"/>
            </c:ext>
          </c:extLst>
        </c:ser>
        <c:ser>
          <c:idx val="1"/>
          <c:order val="1"/>
          <c:tx>
            <c:v>계획</c:v>
          </c:tx>
          <c:cat>
            <c:strRef>
              <c:f>'05'!$D$6:$D$28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BASE</c:v>
                </c:pt>
                <c:pt idx="12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  <c:pt idx="19">
                  <c:v>LEAD GUIDE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'05'!$J$6:$J$28</c:f>
              <c:numCache>
                <c:formatCode>_(* #,##0_);_(* \(#,##0\);_(* "-"_);_(@_)</c:formatCode>
                <c:ptCount val="23"/>
                <c:pt idx="0">
                  <c:v>6972</c:v>
                </c:pt>
                <c:pt idx="1">
                  <c:v>6258</c:v>
                </c:pt>
                <c:pt idx="2">
                  <c:v>23392</c:v>
                </c:pt>
                <c:pt idx="3">
                  <c:v>6468</c:v>
                </c:pt>
                <c:pt idx="4">
                  <c:v>6746</c:v>
                </c:pt>
                <c:pt idx="5">
                  <c:v>100900</c:v>
                </c:pt>
                <c:pt idx="6">
                  <c:v>5334</c:v>
                </c:pt>
                <c:pt idx="7">
                  <c:v>1346</c:v>
                </c:pt>
                <c:pt idx="8">
                  <c:v>800</c:v>
                </c:pt>
                <c:pt idx="9">
                  <c:v>12356</c:v>
                </c:pt>
                <c:pt idx="10">
                  <c:v>1101</c:v>
                </c:pt>
                <c:pt idx="11">
                  <c:v>5366</c:v>
                </c:pt>
                <c:pt idx="12">
                  <c:v>2610</c:v>
                </c:pt>
                <c:pt idx="13">
                  <c:v>5282</c:v>
                </c:pt>
                <c:pt idx="14">
                  <c:v>3094</c:v>
                </c:pt>
                <c:pt idx="15">
                  <c:v>4375</c:v>
                </c:pt>
                <c:pt idx="16">
                  <c:v>34220</c:v>
                </c:pt>
                <c:pt idx="17">
                  <c:v>0</c:v>
                </c:pt>
                <c:pt idx="18">
                  <c:v>0</c:v>
                </c:pt>
                <c:pt idx="19">
                  <c:v>29932</c:v>
                </c:pt>
                <c:pt idx="20">
                  <c:v>26996</c:v>
                </c:pt>
                <c:pt idx="21">
                  <c:v>27000</c:v>
                </c:pt>
                <c:pt idx="22">
                  <c:v>25080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D7-4070-A3B8-532DC8675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'05'!$AD$6:$AD$28</c:f>
              <c:strCache>
                <c:ptCount val="23"/>
                <c:pt idx="0">
                  <c:v>67%</c:v>
                </c:pt>
                <c:pt idx="1">
                  <c:v>0%</c:v>
                </c:pt>
                <c:pt idx="2">
                  <c:v>88%</c:v>
                </c:pt>
                <c:pt idx="3">
                  <c:v>71%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25%</c:v>
                </c:pt>
                <c:pt idx="11">
                  <c:v>67%</c:v>
                </c:pt>
                <c:pt idx="12">
                  <c:v>21%</c:v>
                </c:pt>
                <c:pt idx="13">
                  <c:v>100%</c:v>
                </c:pt>
                <c:pt idx="14">
                  <c:v>67%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96%</c:v>
                </c:pt>
                <c:pt idx="20">
                  <c:v>96%</c:v>
                </c:pt>
                <c:pt idx="21">
                  <c:v>96%</c:v>
                </c:pt>
                <c:pt idx="22">
                  <c:v>96%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BASE</c:v>
                </c:pt>
                <c:pt idx="12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  <c:pt idx="19">
                  <c:v>LEAD GUIDE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'05'!$AD$6:$AD$28</c:f>
              <c:numCache>
                <c:formatCode>0%</c:formatCode>
                <c:ptCount val="23"/>
                <c:pt idx="0">
                  <c:v>0.66666666666666663</c:v>
                </c:pt>
                <c:pt idx="1">
                  <c:v>0</c:v>
                </c:pt>
                <c:pt idx="2">
                  <c:v>0.875</c:v>
                </c:pt>
                <c:pt idx="3">
                  <c:v>0.70833333333333337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0.25</c:v>
                </c:pt>
                <c:pt idx="11">
                  <c:v>0.66666666666666663</c:v>
                </c:pt>
                <c:pt idx="12">
                  <c:v>0.20833333333333334</c:v>
                </c:pt>
                <c:pt idx="13">
                  <c:v>1</c:v>
                </c:pt>
                <c:pt idx="14">
                  <c:v>0.66666666666666663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0.95833333333333337</c:v>
                </c:pt>
                <c:pt idx="20">
                  <c:v>0.95833333333333337</c:v>
                </c:pt>
                <c:pt idx="21">
                  <c:v>0.95833333333333337</c:v>
                </c:pt>
                <c:pt idx="22">
                  <c:v>0.95833333333333337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E5-4FAA-8777-D3665397EE5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FE5-4FAA-8777-D3665397EE5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BASE</c:v>
                </c:pt>
                <c:pt idx="12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  <c:pt idx="19">
                  <c:v>LEAD GUIDE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'05'!$AE$6:$AE$28</c:f>
              <c:numCache>
                <c:formatCode>0%</c:formatCode>
                <c:ptCount val="23"/>
                <c:pt idx="0">
                  <c:v>0.47282608695652184</c:v>
                </c:pt>
                <c:pt idx="1">
                  <c:v>0.47282608695652184</c:v>
                </c:pt>
                <c:pt idx="2">
                  <c:v>0.47282608695652184</c:v>
                </c:pt>
                <c:pt idx="3">
                  <c:v>0.47282608695652184</c:v>
                </c:pt>
                <c:pt idx="4">
                  <c:v>0.47282608695652184</c:v>
                </c:pt>
                <c:pt idx="5">
                  <c:v>0.47282608695652184</c:v>
                </c:pt>
                <c:pt idx="6">
                  <c:v>0.47282608695652184</c:v>
                </c:pt>
                <c:pt idx="7">
                  <c:v>0.47282608695652184</c:v>
                </c:pt>
                <c:pt idx="8">
                  <c:v>0.47282608695652184</c:v>
                </c:pt>
                <c:pt idx="9">
                  <c:v>0.47282608695652184</c:v>
                </c:pt>
                <c:pt idx="10">
                  <c:v>0.47282608695652184</c:v>
                </c:pt>
                <c:pt idx="11">
                  <c:v>0.47282608695652184</c:v>
                </c:pt>
                <c:pt idx="12">
                  <c:v>0.47282608695652184</c:v>
                </c:pt>
                <c:pt idx="13">
                  <c:v>0.47282608695652184</c:v>
                </c:pt>
                <c:pt idx="14">
                  <c:v>0.47282608695652184</c:v>
                </c:pt>
                <c:pt idx="15">
                  <c:v>0.47282608695652184</c:v>
                </c:pt>
                <c:pt idx="16">
                  <c:v>0.47282608695652184</c:v>
                </c:pt>
                <c:pt idx="17">
                  <c:v>0.47282608695652184</c:v>
                </c:pt>
                <c:pt idx="18">
                  <c:v>0.47282608695652184</c:v>
                </c:pt>
                <c:pt idx="19">
                  <c:v>0.47282608695652184</c:v>
                </c:pt>
                <c:pt idx="20">
                  <c:v>0.47282608695652184</c:v>
                </c:pt>
                <c:pt idx="21">
                  <c:v>0.47282608695652184</c:v>
                </c:pt>
                <c:pt idx="22">
                  <c:v>0.47282608695652184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E5-4FAA-8777-D3665397E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BASE</c:v>
                </c:pt>
                <c:pt idx="12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  <c:pt idx="19">
                  <c:v>LEAD GUIDE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'05'!$L$6:$L$28</c:f>
              <c:numCache>
                <c:formatCode>_(* #,##0_);_(* \(#,##0\);_(* "-"_);_(@_)</c:formatCode>
                <c:ptCount val="23"/>
                <c:pt idx="0">
                  <c:v>6972</c:v>
                </c:pt>
                <c:pt idx="2">
                  <c:v>23392</c:v>
                </c:pt>
                <c:pt idx="3">
                  <c:v>6468</c:v>
                </c:pt>
                <c:pt idx="6">
                  <c:v>5334</c:v>
                </c:pt>
                <c:pt idx="10">
                  <c:v>1101</c:v>
                </c:pt>
                <c:pt idx="11">
                  <c:v>5366</c:v>
                </c:pt>
                <c:pt idx="12">
                  <c:v>2610</c:v>
                </c:pt>
                <c:pt idx="13">
                  <c:v>5282</c:v>
                </c:pt>
                <c:pt idx="14">
                  <c:v>3094</c:v>
                </c:pt>
                <c:pt idx="15">
                  <c:v>4375</c:v>
                </c:pt>
                <c:pt idx="19">
                  <c:v>29932</c:v>
                </c:pt>
                <c:pt idx="20">
                  <c:v>26996</c:v>
                </c:pt>
                <c:pt idx="21">
                  <c:v>27000</c:v>
                </c:pt>
                <c:pt idx="22">
                  <c:v>25080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12-49F2-A808-995E5CCFC0E7}"/>
            </c:ext>
          </c:extLst>
        </c:ser>
        <c:ser>
          <c:idx val="1"/>
          <c:order val="1"/>
          <c:tx>
            <c:v>계획</c:v>
          </c:tx>
          <c:cat>
            <c:strRef>
              <c:f>'05'!$D$6:$D$28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BASE</c:v>
                </c:pt>
                <c:pt idx="12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  <c:pt idx="19">
                  <c:v>LEAD GUIDE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'05'!$J$6:$J$28</c:f>
              <c:numCache>
                <c:formatCode>_(* #,##0_);_(* \(#,##0\);_(* "-"_);_(@_)</c:formatCode>
                <c:ptCount val="23"/>
                <c:pt idx="0">
                  <c:v>6972</c:v>
                </c:pt>
                <c:pt idx="1">
                  <c:v>6258</c:v>
                </c:pt>
                <c:pt idx="2">
                  <c:v>23392</c:v>
                </c:pt>
                <c:pt idx="3">
                  <c:v>6468</c:v>
                </c:pt>
                <c:pt idx="4">
                  <c:v>6746</c:v>
                </c:pt>
                <c:pt idx="5">
                  <c:v>100900</c:v>
                </c:pt>
                <c:pt idx="6">
                  <c:v>5334</c:v>
                </c:pt>
                <c:pt idx="7">
                  <c:v>1346</c:v>
                </c:pt>
                <c:pt idx="8">
                  <c:v>800</c:v>
                </c:pt>
                <c:pt idx="9">
                  <c:v>12356</c:v>
                </c:pt>
                <c:pt idx="10">
                  <c:v>1101</c:v>
                </c:pt>
                <c:pt idx="11">
                  <c:v>5366</c:v>
                </c:pt>
                <c:pt idx="12">
                  <c:v>2610</c:v>
                </c:pt>
                <c:pt idx="13">
                  <c:v>5282</c:v>
                </c:pt>
                <c:pt idx="14">
                  <c:v>3094</c:v>
                </c:pt>
                <c:pt idx="15">
                  <c:v>4375</c:v>
                </c:pt>
                <c:pt idx="16">
                  <c:v>34220</c:v>
                </c:pt>
                <c:pt idx="17">
                  <c:v>0</c:v>
                </c:pt>
                <c:pt idx="18">
                  <c:v>0</c:v>
                </c:pt>
                <c:pt idx="19">
                  <c:v>29932</c:v>
                </c:pt>
                <c:pt idx="20">
                  <c:v>26996</c:v>
                </c:pt>
                <c:pt idx="21">
                  <c:v>27000</c:v>
                </c:pt>
                <c:pt idx="22">
                  <c:v>25080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12-49F2-A808-995E5CCFC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'05'!$AD$6:$AD$28</c:f>
              <c:strCache>
                <c:ptCount val="23"/>
                <c:pt idx="0">
                  <c:v>67%</c:v>
                </c:pt>
                <c:pt idx="1">
                  <c:v>0%</c:v>
                </c:pt>
                <c:pt idx="2">
                  <c:v>88%</c:v>
                </c:pt>
                <c:pt idx="3">
                  <c:v>71%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25%</c:v>
                </c:pt>
                <c:pt idx="11">
                  <c:v>67%</c:v>
                </c:pt>
                <c:pt idx="12">
                  <c:v>21%</c:v>
                </c:pt>
                <c:pt idx="13">
                  <c:v>100%</c:v>
                </c:pt>
                <c:pt idx="14">
                  <c:v>67%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96%</c:v>
                </c:pt>
                <c:pt idx="20">
                  <c:v>96%</c:v>
                </c:pt>
                <c:pt idx="21">
                  <c:v>96%</c:v>
                </c:pt>
                <c:pt idx="22">
                  <c:v>96%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BASE</c:v>
                </c:pt>
                <c:pt idx="12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  <c:pt idx="19">
                  <c:v>LEAD GUIDE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'05'!$AD$6:$AD$28</c:f>
              <c:numCache>
                <c:formatCode>0%</c:formatCode>
                <c:ptCount val="23"/>
                <c:pt idx="0">
                  <c:v>0.66666666666666663</c:v>
                </c:pt>
                <c:pt idx="1">
                  <c:v>0</c:v>
                </c:pt>
                <c:pt idx="2">
                  <c:v>0.875</c:v>
                </c:pt>
                <c:pt idx="3">
                  <c:v>0.70833333333333337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0.25</c:v>
                </c:pt>
                <c:pt idx="11">
                  <c:v>0.66666666666666663</c:v>
                </c:pt>
                <c:pt idx="12">
                  <c:v>0.20833333333333334</c:v>
                </c:pt>
                <c:pt idx="13">
                  <c:v>1</c:v>
                </c:pt>
                <c:pt idx="14">
                  <c:v>0.66666666666666663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0.95833333333333337</c:v>
                </c:pt>
                <c:pt idx="20">
                  <c:v>0.95833333333333337</c:v>
                </c:pt>
                <c:pt idx="21">
                  <c:v>0.95833333333333337</c:v>
                </c:pt>
                <c:pt idx="22">
                  <c:v>0.95833333333333337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E4-4E6B-9003-CDD689E8911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30674658064879634"/>
                  <c:y val="1.625518632276517E-2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0E4-4E6B-9003-CDD689E8911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BASE</c:v>
                </c:pt>
                <c:pt idx="12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  <c:pt idx="19">
                  <c:v>LEAD GUIDE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'05'!$AE$6:$AE$28</c:f>
              <c:numCache>
                <c:formatCode>0%</c:formatCode>
                <c:ptCount val="23"/>
                <c:pt idx="0">
                  <c:v>0.47282608695652184</c:v>
                </c:pt>
                <c:pt idx="1">
                  <c:v>0.47282608695652184</c:v>
                </c:pt>
                <c:pt idx="2">
                  <c:v>0.47282608695652184</c:v>
                </c:pt>
                <c:pt idx="3">
                  <c:v>0.47282608695652184</c:v>
                </c:pt>
                <c:pt idx="4">
                  <c:v>0.47282608695652184</c:v>
                </c:pt>
                <c:pt idx="5">
                  <c:v>0.47282608695652184</c:v>
                </c:pt>
                <c:pt idx="6">
                  <c:v>0.47282608695652184</c:v>
                </c:pt>
                <c:pt idx="7">
                  <c:v>0.47282608695652184</c:v>
                </c:pt>
                <c:pt idx="8">
                  <c:v>0.47282608695652184</c:v>
                </c:pt>
                <c:pt idx="9">
                  <c:v>0.47282608695652184</c:v>
                </c:pt>
                <c:pt idx="10">
                  <c:v>0.47282608695652184</c:v>
                </c:pt>
                <c:pt idx="11">
                  <c:v>0.47282608695652184</c:v>
                </c:pt>
                <c:pt idx="12">
                  <c:v>0.47282608695652184</c:v>
                </c:pt>
                <c:pt idx="13">
                  <c:v>0.47282608695652184</c:v>
                </c:pt>
                <c:pt idx="14">
                  <c:v>0.47282608695652184</c:v>
                </c:pt>
                <c:pt idx="15">
                  <c:v>0.47282608695652184</c:v>
                </c:pt>
                <c:pt idx="16">
                  <c:v>0.47282608695652184</c:v>
                </c:pt>
                <c:pt idx="17">
                  <c:v>0.47282608695652184</c:v>
                </c:pt>
                <c:pt idx="18">
                  <c:v>0.47282608695652184</c:v>
                </c:pt>
                <c:pt idx="19">
                  <c:v>0.47282608695652184</c:v>
                </c:pt>
                <c:pt idx="20">
                  <c:v>0.47282608695652184</c:v>
                </c:pt>
                <c:pt idx="21">
                  <c:v>0.47282608695652184</c:v>
                </c:pt>
                <c:pt idx="22">
                  <c:v>0.47282608695652184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E4-4E6B-9003-CDD689E89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42E-4437-BADB-DA809CEA5A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0.68147728498178428</c:v>
                </c:pt>
                <c:pt idx="1">
                  <c:v>0.64962121212121204</c:v>
                </c:pt>
                <c:pt idx="2">
                  <c:v>0.37121212121212116</c:v>
                </c:pt>
                <c:pt idx="4">
                  <c:v>0.47282608695652184</c:v>
                </c:pt>
                <c:pt idx="5">
                  <c:v>0.55303030303030298</c:v>
                </c:pt>
                <c:pt idx="6">
                  <c:v>0.45833333333333331</c:v>
                </c:pt>
                <c:pt idx="7">
                  <c:v>0.47282608695652173</c:v>
                </c:pt>
                <c:pt idx="8">
                  <c:v>0.34567901234567905</c:v>
                </c:pt>
                <c:pt idx="9">
                  <c:v>0.41098484848484856</c:v>
                </c:pt>
                <c:pt idx="11">
                  <c:v>0.36742424242424243</c:v>
                </c:pt>
                <c:pt idx="12">
                  <c:v>0.48863636363636354</c:v>
                </c:pt>
                <c:pt idx="13">
                  <c:v>0.59000470952885553</c:v>
                </c:pt>
                <c:pt idx="14">
                  <c:v>0.58712121212121204</c:v>
                </c:pt>
                <c:pt idx="15">
                  <c:v>0.53462982364239564</c:v>
                </c:pt>
                <c:pt idx="16">
                  <c:v>0.45075757575757575</c:v>
                </c:pt>
                <c:pt idx="18">
                  <c:v>0.54356060606060608</c:v>
                </c:pt>
                <c:pt idx="19">
                  <c:v>0.39855072463768115</c:v>
                </c:pt>
                <c:pt idx="20">
                  <c:v>0.29347826086956524</c:v>
                </c:pt>
                <c:pt idx="21">
                  <c:v>0.45619957956867979</c:v>
                </c:pt>
                <c:pt idx="22">
                  <c:v>0.56060606060606066</c:v>
                </c:pt>
                <c:pt idx="23">
                  <c:v>0.45108695652173914</c:v>
                </c:pt>
                <c:pt idx="25">
                  <c:v>0.41493055555555552</c:v>
                </c:pt>
                <c:pt idx="26">
                  <c:v>0.53598484848484851</c:v>
                </c:pt>
                <c:pt idx="27">
                  <c:v>0.43560606060606055</c:v>
                </c:pt>
                <c:pt idx="28">
                  <c:v>0.42234848484848481</c:v>
                </c:pt>
                <c:pt idx="29">
                  <c:v>0.42529900929110415</c:v>
                </c:pt>
                <c:pt idx="31">
                  <c:v>0.41240717878611177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2E-4437-BADB-DA809CEA5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42E-4437-BADB-DA809CEA5A5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2E-4437-BADB-DA809CEA5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BLOCK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'06'!$L$6:$L$27</c:f>
              <c:numCache>
                <c:formatCode>_(* #,##0_);_(* \(#,##0\);_(* "-"_);_(@_)</c:formatCode>
                <c:ptCount val="22"/>
                <c:pt idx="0">
                  <c:v>8852</c:v>
                </c:pt>
                <c:pt idx="2">
                  <c:v>20408</c:v>
                </c:pt>
                <c:pt idx="3">
                  <c:v>10748</c:v>
                </c:pt>
                <c:pt idx="5">
                  <c:v>15240</c:v>
                </c:pt>
                <c:pt idx="6">
                  <c:v>5466</c:v>
                </c:pt>
                <c:pt idx="7">
                  <c:v>3371</c:v>
                </c:pt>
                <c:pt idx="10">
                  <c:v>11376</c:v>
                </c:pt>
                <c:pt idx="12">
                  <c:v>5781</c:v>
                </c:pt>
                <c:pt idx="13">
                  <c:v>5176</c:v>
                </c:pt>
                <c:pt idx="14">
                  <c:v>4363</c:v>
                </c:pt>
                <c:pt idx="18">
                  <c:v>32352</c:v>
                </c:pt>
                <c:pt idx="19">
                  <c:v>28972</c:v>
                </c:pt>
                <c:pt idx="20">
                  <c:v>29200</c:v>
                </c:pt>
                <c:pt idx="21">
                  <c:v>22728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A8-42E1-85DC-D7CDBC9EB1EE}"/>
            </c:ext>
          </c:extLst>
        </c:ser>
        <c:ser>
          <c:idx val="1"/>
          <c:order val="1"/>
          <c:tx>
            <c:v>계획</c:v>
          </c:tx>
          <c:cat>
            <c:strRef>
              <c:f>'06'!$D$6:$D$27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BLOCK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'06'!$J$6:$J$27</c:f>
              <c:numCache>
                <c:formatCode>_(* #,##0_);_(* \(#,##0\);_(* "-"_);_(@_)</c:formatCode>
                <c:ptCount val="22"/>
                <c:pt idx="0">
                  <c:v>8852</c:v>
                </c:pt>
                <c:pt idx="1">
                  <c:v>6258</c:v>
                </c:pt>
                <c:pt idx="2">
                  <c:v>20408</c:v>
                </c:pt>
                <c:pt idx="3">
                  <c:v>10748</c:v>
                </c:pt>
                <c:pt idx="4">
                  <c:v>6746</c:v>
                </c:pt>
                <c:pt idx="5">
                  <c:v>15240</c:v>
                </c:pt>
                <c:pt idx="6">
                  <c:v>5466</c:v>
                </c:pt>
                <c:pt idx="7">
                  <c:v>3371</c:v>
                </c:pt>
                <c:pt idx="8">
                  <c:v>800</c:v>
                </c:pt>
                <c:pt idx="9">
                  <c:v>12356</c:v>
                </c:pt>
                <c:pt idx="10">
                  <c:v>11376</c:v>
                </c:pt>
                <c:pt idx="11">
                  <c:v>2610</c:v>
                </c:pt>
                <c:pt idx="12">
                  <c:v>5781</c:v>
                </c:pt>
                <c:pt idx="13">
                  <c:v>5176</c:v>
                </c:pt>
                <c:pt idx="14">
                  <c:v>4363</c:v>
                </c:pt>
                <c:pt idx="15">
                  <c:v>34220</c:v>
                </c:pt>
                <c:pt idx="16">
                  <c:v>0</c:v>
                </c:pt>
                <c:pt idx="17">
                  <c:v>0</c:v>
                </c:pt>
                <c:pt idx="18">
                  <c:v>32352</c:v>
                </c:pt>
                <c:pt idx="19">
                  <c:v>28972</c:v>
                </c:pt>
                <c:pt idx="20">
                  <c:v>29200</c:v>
                </c:pt>
                <c:pt idx="21">
                  <c:v>22728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A8-42E1-85DC-D7CDBC9EB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'06'!$AD$6:$AD$27</c:f>
              <c:strCache>
                <c:ptCount val="22"/>
                <c:pt idx="0">
                  <c:v>75%</c:v>
                </c:pt>
                <c:pt idx="1">
                  <c:v>0%</c:v>
                </c:pt>
                <c:pt idx="2">
                  <c:v>75%</c:v>
                </c:pt>
                <c:pt idx="3">
                  <c:v>100%</c:v>
                </c:pt>
                <c:pt idx="4">
                  <c:v>0%</c:v>
                </c:pt>
                <c:pt idx="5">
                  <c:v>17%</c:v>
                </c:pt>
                <c:pt idx="6">
                  <c:v>100%</c:v>
                </c:pt>
                <c:pt idx="7">
                  <c:v>71%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92%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100%</c:v>
                </c:pt>
                <c:pt idx="19">
                  <c:v>100%</c:v>
                </c:pt>
                <c:pt idx="20">
                  <c:v>100%</c:v>
                </c:pt>
                <c:pt idx="21">
                  <c:v>88%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BLOCK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'06'!$AD$6:$AD$27</c:f>
              <c:numCache>
                <c:formatCode>0%</c:formatCode>
                <c:ptCount val="22"/>
                <c:pt idx="0">
                  <c:v>0.75</c:v>
                </c:pt>
                <c:pt idx="1">
                  <c:v>0</c:v>
                </c:pt>
                <c:pt idx="2">
                  <c:v>0.75</c:v>
                </c:pt>
                <c:pt idx="3">
                  <c:v>1</c:v>
                </c:pt>
                <c:pt idx="4">
                  <c:v>0</c:v>
                </c:pt>
                <c:pt idx="5">
                  <c:v>0.16666666666666666</c:v>
                </c:pt>
                <c:pt idx="6">
                  <c:v>1</c:v>
                </c:pt>
                <c:pt idx="7">
                  <c:v>0.70833333333333337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0.91666666666666663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9F-4929-9491-36CC7F6C457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19F-4929-9491-36CC7F6C457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BLOCK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'06'!$AE$6:$AE$27</c:f>
              <c:numCache>
                <c:formatCode>0%</c:formatCode>
                <c:ptCount val="22"/>
                <c:pt idx="0">
                  <c:v>0.55303030303030298</c:v>
                </c:pt>
                <c:pt idx="1">
                  <c:v>0.55303030303030298</c:v>
                </c:pt>
                <c:pt idx="2">
                  <c:v>0.55303030303030298</c:v>
                </c:pt>
                <c:pt idx="3">
                  <c:v>0.55303030303030298</c:v>
                </c:pt>
                <c:pt idx="4">
                  <c:v>0.55303030303030298</c:v>
                </c:pt>
                <c:pt idx="5">
                  <c:v>0.55303030303030298</c:v>
                </c:pt>
                <c:pt idx="6">
                  <c:v>0.55303030303030298</c:v>
                </c:pt>
                <c:pt idx="7">
                  <c:v>0.55303030303030298</c:v>
                </c:pt>
                <c:pt idx="8">
                  <c:v>0.55303030303030298</c:v>
                </c:pt>
                <c:pt idx="9">
                  <c:v>0.55303030303030298</c:v>
                </c:pt>
                <c:pt idx="10">
                  <c:v>0.55303030303030298</c:v>
                </c:pt>
                <c:pt idx="11">
                  <c:v>0.55303030303030298</c:v>
                </c:pt>
                <c:pt idx="12">
                  <c:v>0.55303030303030298</c:v>
                </c:pt>
                <c:pt idx="13">
                  <c:v>0.55303030303030298</c:v>
                </c:pt>
                <c:pt idx="14">
                  <c:v>0.55303030303030298</c:v>
                </c:pt>
                <c:pt idx="15">
                  <c:v>0.55303030303030298</c:v>
                </c:pt>
                <c:pt idx="16">
                  <c:v>0.55303030303030298</c:v>
                </c:pt>
                <c:pt idx="17">
                  <c:v>0.55303030303030298</c:v>
                </c:pt>
                <c:pt idx="18">
                  <c:v>0.55303030303030298</c:v>
                </c:pt>
                <c:pt idx="19">
                  <c:v>0.55303030303030298</c:v>
                </c:pt>
                <c:pt idx="20">
                  <c:v>0.55303030303030298</c:v>
                </c:pt>
                <c:pt idx="21">
                  <c:v>0.55303030303030298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9F-4929-9491-36CC7F6C4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BLOCK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'06'!$L$6:$L$27</c:f>
              <c:numCache>
                <c:formatCode>_(* #,##0_);_(* \(#,##0\);_(* "-"_);_(@_)</c:formatCode>
                <c:ptCount val="22"/>
                <c:pt idx="0">
                  <c:v>8852</c:v>
                </c:pt>
                <c:pt idx="2">
                  <c:v>20408</c:v>
                </c:pt>
                <c:pt idx="3">
                  <c:v>10748</c:v>
                </c:pt>
                <c:pt idx="5">
                  <c:v>15240</c:v>
                </c:pt>
                <c:pt idx="6">
                  <c:v>5466</c:v>
                </c:pt>
                <c:pt idx="7">
                  <c:v>3371</c:v>
                </c:pt>
                <c:pt idx="10">
                  <c:v>11376</c:v>
                </c:pt>
                <c:pt idx="12">
                  <c:v>5781</c:v>
                </c:pt>
                <c:pt idx="13">
                  <c:v>5176</c:v>
                </c:pt>
                <c:pt idx="14">
                  <c:v>4363</c:v>
                </c:pt>
                <c:pt idx="18">
                  <c:v>32352</c:v>
                </c:pt>
                <c:pt idx="19">
                  <c:v>28972</c:v>
                </c:pt>
                <c:pt idx="20">
                  <c:v>29200</c:v>
                </c:pt>
                <c:pt idx="21">
                  <c:v>22728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5E-416C-AFB0-F6E8CDCDE6AB}"/>
            </c:ext>
          </c:extLst>
        </c:ser>
        <c:ser>
          <c:idx val="1"/>
          <c:order val="1"/>
          <c:tx>
            <c:v>계획</c:v>
          </c:tx>
          <c:cat>
            <c:strRef>
              <c:f>'06'!$D$6:$D$27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BLOCK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'06'!$J$6:$J$27</c:f>
              <c:numCache>
                <c:formatCode>_(* #,##0_);_(* \(#,##0\);_(* "-"_);_(@_)</c:formatCode>
                <c:ptCount val="22"/>
                <c:pt idx="0">
                  <c:v>8852</c:v>
                </c:pt>
                <c:pt idx="1">
                  <c:v>6258</c:v>
                </c:pt>
                <c:pt idx="2">
                  <c:v>20408</c:v>
                </c:pt>
                <c:pt idx="3">
                  <c:v>10748</c:v>
                </c:pt>
                <c:pt idx="4">
                  <c:v>6746</c:v>
                </c:pt>
                <c:pt idx="5">
                  <c:v>15240</c:v>
                </c:pt>
                <c:pt idx="6">
                  <c:v>5466</c:v>
                </c:pt>
                <c:pt idx="7">
                  <c:v>3371</c:v>
                </c:pt>
                <c:pt idx="8">
                  <c:v>800</c:v>
                </c:pt>
                <c:pt idx="9">
                  <c:v>12356</c:v>
                </c:pt>
                <c:pt idx="10">
                  <c:v>11376</c:v>
                </c:pt>
                <c:pt idx="11">
                  <c:v>2610</c:v>
                </c:pt>
                <c:pt idx="12">
                  <c:v>5781</c:v>
                </c:pt>
                <c:pt idx="13">
                  <c:v>5176</c:v>
                </c:pt>
                <c:pt idx="14">
                  <c:v>4363</c:v>
                </c:pt>
                <c:pt idx="15">
                  <c:v>34220</c:v>
                </c:pt>
                <c:pt idx="16">
                  <c:v>0</c:v>
                </c:pt>
                <c:pt idx="17">
                  <c:v>0</c:v>
                </c:pt>
                <c:pt idx="18">
                  <c:v>32352</c:v>
                </c:pt>
                <c:pt idx="19">
                  <c:v>28972</c:v>
                </c:pt>
                <c:pt idx="20">
                  <c:v>29200</c:v>
                </c:pt>
                <c:pt idx="21">
                  <c:v>22728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5E-416C-AFB0-F6E8CDCDE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'06'!$AD$6:$AD$27</c:f>
              <c:strCache>
                <c:ptCount val="22"/>
                <c:pt idx="0">
                  <c:v>75%</c:v>
                </c:pt>
                <c:pt idx="1">
                  <c:v>0%</c:v>
                </c:pt>
                <c:pt idx="2">
                  <c:v>75%</c:v>
                </c:pt>
                <c:pt idx="3">
                  <c:v>100%</c:v>
                </c:pt>
                <c:pt idx="4">
                  <c:v>0%</c:v>
                </c:pt>
                <c:pt idx="5">
                  <c:v>17%</c:v>
                </c:pt>
                <c:pt idx="6">
                  <c:v>100%</c:v>
                </c:pt>
                <c:pt idx="7">
                  <c:v>71%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92%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100%</c:v>
                </c:pt>
                <c:pt idx="19">
                  <c:v>100%</c:v>
                </c:pt>
                <c:pt idx="20">
                  <c:v>100%</c:v>
                </c:pt>
                <c:pt idx="21">
                  <c:v>88%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BLOCK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'06'!$AD$6:$AD$27</c:f>
              <c:numCache>
                <c:formatCode>0%</c:formatCode>
                <c:ptCount val="22"/>
                <c:pt idx="0">
                  <c:v>0.75</c:v>
                </c:pt>
                <c:pt idx="1">
                  <c:v>0</c:v>
                </c:pt>
                <c:pt idx="2">
                  <c:v>0.75</c:v>
                </c:pt>
                <c:pt idx="3">
                  <c:v>1</c:v>
                </c:pt>
                <c:pt idx="4">
                  <c:v>0</c:v>
                </c:pt>
                <c:pt idx="5">
                  <c:v>0.16666666666666666</c:v>
                </c:pt>
                <c:pt idx="6">
                  <c:v>1</c:v>
                </c:pt>
                <c:pt idx="7">
                  <c:v>0.70833333333333337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0.91666666666666663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54-4B15-A8FA-34FBDCEC7AA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30674658064879634"/>
                  <c:y val="1.625518632276517E-2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554-4B15-A8FA-34FBDCEC7AA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'06'!$D$6:$D$27</c:f>
              <c:strCache>
                <c:ptCount val="22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STOPPPER</c:v>
                </c:pt>
                <c:pt idx="4">
                  <c:v>STOPPPER</c:v>
                </c:pt>
                <c:pt idx="5">
                  <c:v>SHAFT</c:v>
                </c:pt>
                <c:pt idx="6">
                  <c:v>BASE</c:v>
                </c:pt>
                <c:pt idx="7">
                  <c:v>BLOCK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LEAD GUIDE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'06'!$AE$6:$AE$27</c:f>
              <c:numCache>
                <c:formatCode>0%</c:formatCode>
                <c:ptCount val="22"/>
                <c:pt idx="0">
                  <c:v>0.55303030303030298</c:v>
                </c:pt>
                <c:pt idx="1">
                  <c:v>0.55303030303030298</c:v>
                </c:pt>
                <c:pt idx="2">
                  <c:v>0.55303030303030298</c:v>
                </c:pt>
                <c:pt idx="3">
                  <c:v>0.55303030303030298</c:v>
                </c:pt>
                <c:pt idx="4">
                  <c:v>0.55303030303030298</c:v>
                </c:pt>
                <c:pt idx="5">
                  <c:v>0.55303030303030298</c:v>
                </c:pt>
                <c:pt idx="6">
                  <c:v>0.55303030303030298</c:v>
                </c:pt>
                <c:pt idx="7">
                  <c:v>0.55303030303030298</c:v>
                </c:pt>
                <c:pt idx="8">
                  <c:v>0.55303030303030298</c:v>
                </c:pt>
                <c:pt idx="9">
                  <c:v>0.55303030303030298</c:v>
                </c:pt>
                <c:pt idx="10">
                  <c:v>0.55303030303030298</c:v>
                </c:pt>
                <c:pt idx="11">
                  <c:v>0.55303030303030298</c:v>
                </c:pt>
                <c:pt idx="12">
                  <c:v>0.55303030303030298</c:v>
                </c:pt>
                <c:pt idx="13">
                  <c:v>0.55303030303030298</c:v>
                </c:pt>
                <c:pt idx="14">
                  <c:v>0.55303030303030298</c:v>
                </c:pt>
                <c:pt idx="15">
                  <c:v>0.55303030303030298</c:v>
                </c:pt>
                <c:pt idx="16">
                  <c:v>0.55303030303030298</c:v>
                </c:pt>
                <c:pt idx="17">
                  <c:v>0.55303030303030298</c:v>
                </c:pt>
                <c:pt idx="18">
                  <c:v>0.55303030303030298</c:v>
                </c:pt>
                <c:pt idx="19">
                  <c:v>0.55303030303030298</c:v>
                </c:pt>
                <c:pt idx="20">
                  <c:v>0.55303030303030298</c:v>
                </c:pt>
                <c:pt idx="21">
                  <c:v>0.55303030303030298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54-4B15-A8FA-34FBDCEC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0BD-4570-8BCD-ABAA575F81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0.68147728498178428</c:v>
                </c:pt>
                <c:pt idx="1">
                  <c:v>0.64962121212121204</c:v>
                </c:pt>
                <c:pt idx="2">
                  <c:v>0.37121212121212116</c:v>
                </c:pt>
                <c:pt idx="4">
                  <c:v>0.47282608695652184</c:v>
                </c:pt>
                <c:pt idx="5">
                  <c:v>0.55303030303030298</c:v>
                </c:pt>
                <c:pt idx="6">
                  <c:v>0.45833333333333331</c:v>
                </c:pt>
                <c:pt idx="7">
                  <c:v>0.47282608695652173</c:v>
                </c:pt>
                <c:pt idx="8">
                  <c:v>0.34567901234567905</c:v>
                </c:pt>
                <c:pt idx="9">
                  <c:v>0.41098484848484856</c:v>
                </c:pt>
                <c:pt idx="11">
                  <c:v>0.36742424242424243</c:v>
                </c:pt>
                <c:pt idx="12">
                  <c:v>0.48863636363636354</c:v>
                </c:pt>
                <c:pt idx="13">
                  <c:v>0.59000470952885553</c:v>
                </c:pt>
                <c:pt idx="14">
                  <c:v>0.58712121212121204</c:v>
                </c:pt>
                <c:pt idx="15">
                  <c:v>0.53462982364239564</c:v>
                </c:pt>
                <c:pt idx="16">
                  <c:v>0.45075757575757575</c:v>
                </c:pt>
                <c:pt idx="18">
                  <c:v>0.54356060606060608</c:v>
                </c:pt>
                <c:pt idx="19">
                  <c:v>0.39855072463768115</c:v>
                </c:pt>
                <c:pt idx="20">
                  <c:v>0.29347826086956524</c:v>
                </c:pt>
                <c:pt idx="21">
                  <c:v>0.45619957956867979</c:v>
                </c:pt>
                <c:pt idx="22">
                  <c:v>0.56060606060606066</c:v>
                </c:pt>
                <c:pt idx="23">
                  <c:v>0.45108695652173914</c:v>
                </c:pt>
                <c:pt idx="25">
                  <c:v>0.41493055555555552</c:v>
                </c:pt>
                <c:pt idx="26">
                  <c:v>0.53598484848484851</c:v>
                </c:pt>
                <c:pt idx="27">
                  <c:v>0.43560606060606055</c:v>
                </c:pt>
                <c:pt idx="28">
                  <c:v>0.42234848484848481</c:v>
                </c:pt>
                <c:pt idx="29">
                  <c:v>0.42529900929110415</c:v>
                </c:pt>
                <c:pt idx="31">
                  <c:v>0.41240717878611177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BD-4570-8BCD-ABAA575F8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10BD-4570-8BCD-ABAA575F811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BD-4570-8BCD-ABAA575F8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STOPPPER</c:v>
                </c:pt>
                <c:pt idx="4">
                  <c:v>BASE</c:v>
                </c:pt>
                <c:pt idx="5">
                  <c:v>SHAFT</c:v>
                </c:pt>
                <c:pt idx="6">
                  <c:v>BASE</c:v>
                </c:pt>
                <c:pt idx="7">
                  <c:v>BLOCK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BASE</c:v>
                </c:pt>
                <c:pt idx="13">
                  <c:v>COVER</c:v>
                </c:pt>
                <c:pt idx="14">
                  <c:v>ACTUATOR</c:v>
                </c:pt>
                <c:pt idx="15">
                  <c:v>COVER</c:v>
                </c:pt>
                <c:pt idx="19">
                  <c:v>LEAD GUIDE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'07'!$L$6:$L$28</c:f>
              <c:numCache>
                <c:formatCode>_(* #,##0_);_(* \(#,##0\);_(* "-"_);_(@_)</c:formatCode>
                <c:ptCount val="23"/>
                <c:pt idx="0">
                  <c:v>4388</c:v>
                </c:pt>
                <c:pt idx="3">
                  <c:v>9612</c:v>
                </c:pt>
                <c:pt idx="4">
                  <c:v>4976</c:v>
                </c:pt>
                <c:pt idx="5">
                  <c:v>109380</c:v>
                </c:pt>
                <c:pt idx="6">
                  <c:v>5473</c:v>
                </c:pt>
                <c:pt idx="10">
                  <c:v>11380</c:v>
                </c:pt>
                <c:pt idx="12">
                  <c:v>1410</c:v>
                </c:pt>
                <c:pt idx="13">
                  <c:v>1297</c:v>
                </c:pt>
                <c:pt idx="15">
                  <c:v>4655</c:v>
                </c:pt>
                <c:pt idx="19">
                  <c:v>26768</c:v>
                </c:pt>
                <c:pt idx="20">
                  <c:v>25428</c:v>
                </c:pt>
                <c:pt idx="21">
                  <c:v>29420</c:v>
                </c:pt>
                <c:pt idx="22">
                  <c:v>29132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7-4A81-B3CC-A7D49BB26037}"/>
            </c:ext>
          </c:extLst>
        </c:ser>
        <c:ser>
          <c:idx val="1"/>
          <c:order val="1"/>
          <c:tx>
            <c:v>계획</c:v>
          </c:tx>
          <c:cat>
            <c:strRef>
              <c:f>'07'!$D$6:$D$28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STOPPPER</c:v>
                </c:pt>
                <c:pt idx="4">
                  <c:v>BASE</c:v>
                </c:pt>
                <c:pt idx="5">
                  <c:v>SHAFT</c:v>
                </c:pt>
                <c:pt idx="6">
                  <c:v>BASE</c:v>
                </c:pt>
                <c:pt idx="7">
                  <c:v>BLOCK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BASE</c:v>
                </c:pt>
                <c:pt idx="13">
                  <c:v>COVER</c:v>
                </c:pt>
                <c:pt idx="14">
                  <c:v>ACTUATOR</c:v>
                </c:pt>
                <c:pt idx="15">
                  <c:v>COVER</c:v>
                </c:pt>
                <c:pt idx="19">
                  <c:v>LEAD GUIDE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'07'!$J$6:$J$28</c:f>
              <c:numCache>
                <c:formatCode>_(* #,##0_);_(* \(#,##0\);_(* "-"_);_(@_)</c:formatCode>
                <c:ptCount val="23"/>
                <c:pt idx="0">
                  <c:v>4388</c:v>
                </c:pt>
                <c:pt idx="1">
                  <c:v>6258</c:v>
                </c:pt>
                <c:pt idx="2">
                  <c:v>20408</c:v>
                </c:pt>
                <c:pt idx="3">
                  <c:v>9612</c:v>
                </c:pt>
                <c:pt idx="4">
                  <c:v>4976</c:v>
                </c:pt>
                <c:pt idx="5">
                  <c:v>109380</c:v>
                </c:pt>
                <c:pt idx="6">
                  <c:v>5473</c:v>
                </c:pt>
                <c:pt idx="7">
                  <c:v>3371</c:v>
                </c:pt>
                <c:pt idx="8">
                  <c:v>800</c:v>
                </c:pt>
                <c:pt idx="9">
                  <c:v>12356</c:v>
                </c:pt>
                <c:pt idx="10">
                  <c:v>11380</c:v>
                </c:pt>
                <c:pt idx="11">
                  <c:v>2610</c:v>
                </c:pt>
                <c:pt idx="12">
                  <c:v>1410</c:v>
                </c:pt>
                <c:pt idx="13">
                  <c:v>1297</c:v>
                </c:pt>
                <c:pt idx="14">
                  <c:v>5176</c:v>
                </c:pt>
                <c:pt idx="15">
                  <c:v>4655</c:v>
                </c:pt>
                <c:pt idx="16">
                  <c:v>34220</c:v>
                </c:pt>
                <c:pt idx="17">
                  <c:v>0</c:v>
                </c:pt>
                <c:pt idx="18">
                  <c:v>0</c:v>
                </c:pt>
                <c:pt idx="19">
                  <c:v>26768</c:v>
                </c:pt>
                <c:pt idx="20">
                  <c:v>25428</c:v>
                </c:pt>
                <c:pt idx="21">
                  <c:v>29420</c:v>
                </c:pt>
                <c:pt idx="22">
                  <c:v>29132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27-4A81-B3CC-A7D49BB26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'07'!$AD$6:$AD$28</c:f>
              <c:strCache>
                <c:ptCount val="23"/>
                <c:pt idx="0">
                  <c:v>42%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96%</c:v>
                </c:pt>
                <c:pt idx="5">
                  <c:v>79%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33%</c:v>
                </c:pt>
                <c:pt idx="13">
                  <c:v>29%</c:v>
                </c:pt>
                <c:pt idx="14">
                  <c:v>0%</c:v>
                </c:pt>
                <c:pt idx="15">
                  <c:v>96%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79%</c:v>
                </c:pt>
                <c:pt idx="20">
                  <c:v>100%</c:v>
                </c:pt>
                <c:pt idx="21">
                  <c:v>100%</c:v>
                </c:pt>
                <c:pt idx="22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STOPPPER</c:v>
                </c:pt>
                <c:pt idx="4">
                  <c:v>BASE</c:v>
                </c:pt>
                <c:pt idx="5">
                  <c:v>SHAFT</c:v>
                </c:pt>
                <c:pt idx="6">
                  <c:v>BASE</c:v>
                </c:pt>
                <c:pt idx="7">
                  <c:v>BLOCK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BASE</c:v>
                </c:pt>
                <c:pt idx="13">
                  <c:v>COVER</c:v>
                </c:pt>
                <c:pt idx="14">
                  <c:v>ACTUATOR</c:v>
                </c:pt>
                <c:pt idx="15">
                  <c:v>COVER</c:v>
                </c:pt>
                <c:pt idx="19">
                  <c:v>LEAD GUIDE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'07'!$AD$6:$AD$28</c:f>
              <c:numCache>
                <c:formatCode>0%</c:formatCode>
                <c:ptCount val="23"/>
                <c:pt idx="0">
                  <c:v>0.41666666666666669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0.95833333333333337</c:v>
                </c:pt>
                <c:pt idx="5">
                  <c:v>0.79166666666666663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0.33333333333333331</c:v>
                </c:pt>
                <c:pt idx="13">
                  <c:v>0.29166666666666669</c:v>
                </c:pt>
                <c:pt idx="14">
                  <c:v>0</c:v>
                </c:pt>
                <c:pt idx="15">
                  <c:v>0.95833333333333337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0.79166666666666663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9C-4EBA-BDA4-3F1DF06DF4A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A9C-4EBA-BDA4-3F1DF06DF4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STOPPPER</c:v>
                </c:pt>
                <c:pt idx="4">
                  <c:v>BASE</c:v>
                </c:pt>
                <c:pt idx="5">
                  <c:v>SHAFT</c:v>
                </c:pt>
                <c:pt idx="6">
                  <c:v>BASE</c:v>
                </c:pt>
                <c:pt idx="7">
                  <c:v>BLOCK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BASE</c:v>
                </c:pt>
                <c:pt idx="13">
                  <c:v>COVER</c:v>
                </c:pt>
                <c:pt idx="14">
                  <c:v>ACTUATOR</c:v>
                </c:pt>
                <c:pt idx="15">
                  <c:v>COVER</c:v>
                </c:pt>
                <c:pt idx="19">
                  <c:v>LEAD GUIDE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'07'!$AE$6:$AE$28</c:f>
              <c:numCache>
                <c:formatCode>0%</c:formatCode>
                <c:ptCount val="23"/>
                <c:pt idx="0">
                  <c:v>0.45833333333333331</c:v>
                </c:pt>
                <c:pt idx="1">
                  <c:v>0.45833333333333331</c:v>
                </c:pt>
                <c:pt idx="2">
                  <c:v>0.45833333333333331</c:v>
                </c:pt>
                <c:pt idx="3">
                  <c:v>0.45833333333333331</c:v>
                </c:pt>
                <c:pt idx="4">
                  <c:v>0.45833333333333331</c:v>
                </c:pt>
                <c:pt idx="5">
                  <c:v>0.45833333333333331</c:v>
                </c:pt>
                <c:pt idx="6">
                  <c:v>0.45833333333333331</c:v>
                </c:pt>
                <c:pt idx="7">
                  <c:v>0.45833333333333331</c:v>
                </c:pt>
                <c:pt idx="8">
                  <c:v>0.45833333333333331</c:v>
                </c:pt>
                <c:pt idx="9">
                  <c:v>0.45833333333333331</c:v>
                </c:pt>
                <c:pt idx="10">
                  <c:v>0.45833333333333331</c:v>
                </c:pt>
                <c:pt idx="11">
                  <c:v>0.45833333333333331</c:v>
                </c:pt>
                <c:pt idx="12">
                  <c:v>0.45833333333333331</c:v>
                </c:pt>
                <c:pt idx="13">
                  <c:v>0.45833333333333331</c:v>
                </c:pt>
                <c:pt idx="14">
                  <c:v>0.45833333333333331</c:v>
                </c:pt>
                <c:pt idx="15">
                  <c:v>0.45833333333333331</c:v>
                </c:pt>
                <c:pt idx="16">
                  <c:v>0.45833333333333331</c:v>
                </c:pt>
                <c:pt idx="17">
                  <c:v>0.45833333333333331</c:v>
                </c:pt>
                <c:pt idx="18">
                  <c:v>0.45833333333333331</c:v>
                </c:pt>
                <c:pt idx="19">
                  <c:v>0.45833333333333331</c:v>
                </c:pt>
                <c:pt idx="20">
                  <c:v>0.45833333333333331</c:v>
                </c:pt>
                <c:pt idx="21">
                  <c:v>0.45833333333333331</c:v>
                </c:pt>
                <c:pt idx="22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9C-4EBA-BDA4-3F1DF06DF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STOPPPER</c:v>
                </c:pt>
                <c:pt idx="4">
                  <c:v>BASE</c:v>
                </c:pt>
                <c:pt idx="5">
                  <c:v>SHAFT</c:v>
                </c:pt>
                <c:pt idx="6">
                  <c:v>BASE</c:v>
                </c:pt>
                <c:pt idx="7">
                  <c:v>BLOCK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BASE</c:v>
                </c:pt>
                <c:pt idx="13">
                  <c:v>COVER</c:v>
                </c:pt>
                <c:pt idx="14">
                  <c:v>ACTUATOR</c:v>
                </c:pt>
                <c:pt idx="15">
                  <c:v>COVER</c:v>
                </c:pt>
                <c:pt idx="19">
                  <c:v>LEAD GUIDE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'07'!$L$6:$L$28</c:f>
              <c:numCache>
                <c:formatCode>_(* #,##0_);_(* \(#,##0\);_(* "-"_);_(@_)</c:formatCode>
                <c:ptCount val="23"/>
                <c:pt idx="0">
                  <c:v>4388</c:v>
                </c:pt>
                <c:pt idx="3">
                  <c:v>9612</c:v>
                </c:pt>
                <c:pt idx="4">
                  <c:v>4976</c:v>
                </c:pt>
                <c:pt idx="5">
                  <c:v>109380</c:v>
                </c:pt>
                <c:pt idx="6">
                  <c:v>5473</c:v>
                </c:pt>
                <c:pt idx="10">
                  <c:v>11380</c:v>
                </c:pt>
                <c:pt idx="12">
                  <c:v>1410</c:v>
                </c:pt>
                <c:pt idx="13">
                  <c:v>1297</c:v>
                </c:pt>
                <c:pt idx="15">
                  <c:v>4655</c:v>
                </c:pt>
                <c:pt idx="19">
                  <c:v>26768</c:v>
                </c:pt>
                <c:pt idx="20">
                  <c:v>25428</c:v>
                </c:pt>
                <c:pt idx="21">
                  <c:v>29420</c:v>
                </c:pt>
                <c:pt idx="22">
                  <c:v>29132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53-4286-B945-6EDB031EBF34}"/>
            </c:ext>
          </c:extLst>
        </c:ser>
        <c:ser>
          <c:idx val="1"/>
          <c:order val="1"/>
          <c:tx>
            <c:v>계획</c:v>
          </c:tx>
          <c:cat>
            <c:strRef>
              <c:f>'07'!$D$6:$D$28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STOPPPER</c:v>
                </c:pt>
                <c:pt idx="4">
                  <c:v>BASE</c:v>
                </c:pt>
                <c:pt idx="5">
                  <c:v>SHAFT</c:v>
                </c:pt>
                <c:pt idx="6">
                  <c:v>BASE</c:v>
                </c:pt>
                <c:pt idx="7">
                  <c:v>BLOCK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BASE</c:v>
                </c:pt>
                <c:pt idx="13">
                  <c:v>COVER</c:v>
                </c:pt>
                <c:pt idx="14">
                  <c:v>ACTUATOR</c:v>
                </c:pt>
                <c:pt idx="15">
                  <c:v>COVER</c:v>
                </c:pt>
                <c:pt idx="19">
                  <c:v>LEAD GUIDE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'07'!$J$6:$J$28</c:f>
              <c:numCache>
                <c:formatCode>_(* #,##0_);_(* \(#,##0\);_(* "-"_);_(@_)</c:formatCode>
                <c:ptCount val="23"/>
                <c:pt idx="0">
                  <c:v>4388</c:v>
                </c:pt>
                <c:pt idx="1">
                  <c:v>6258</c:v>
                </c:pt>
                <c:pt idx="2">
                  <c:v>20408</c:v>
                </c:pt>
                <c:pt idx="3">
                  <c:v>9612</c:v>
                </c:pt>
                <c:pt idx="4">
                  <c:v>4976</c:v>
                </c:pt>
                <c:pt idx="5">
                  <c:v>109380</c:v>
                </c:pt>
                <c:pt idx="6">
                  <c:v>5473</c:v>
                </c:pt>
                <c:pt idx="7">
                  <c:v>3371</c:v>
                </c:pt>
                <c:pt idx="8">
                  <c:v>800</c:v>
                </c:pt>
                <c:pt idx="9">
                  <c:v>12356</c:v>
                </c:pt>
                <c:pt idx="10">
                  <c:v>11380</c:v>
                </c:pt>
                <c:pt idx="11">
                  <c:v>2610</c:v>
                </c:pt>
                <c:pt idx="12">
                  <c:v>1410</c:v>
                </c:pt>
                <c:pt idx="13">
                  <c:v>1297</c:v>
                </c:pt>
                <c:pt idx="14">
                  <c:v>5176</c:v>
                </c:pt>
                <c:pt idx="15">
                  <c:v>4655</c:v>
                </c:pt>
                <c:pt idx="16">
                  <c:v>34220</c:v>
                </c:pt>
                <c:pt idx="17">
                  <c:v>0</c:v>
                </c:pt>
                <c:pt idx="18">
                  <c:v>0</c:v>
                </c:pt>
                <c:pt idx="19">
                  <c:v>26768</c:v>
                </c:pt>
                <c:pt idx="20">
                  <c:v>25428</c:v>
                </c:pt>
                <c:pt idx="21">
                  <c:v>29420</c:v>
                </c:pt>
                <c:pt idx="22">
                  <c:v>29132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53-4286-B945-6EDB031EB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'07'!$AD$6:$AD$28</c:f>
              <c:strCache>
                <c:ptCount val="23"/>
                <c:pt idx="0">
                  <c:v>42%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96%</c:v>
                </c:pt>
                <c:pt idx="5">
                  <c:v>79%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33%</c:v>
                </c:pt>
                <c:pt idx="13">
                  <c:v>29%</c:v>
                </c:pt>
                <c:pt idx="14">
                  <c:v>0%</c:v>
                </c:pt>
                <c:pt idx="15">
                  <c:v>96%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79%</c:v>
                </c:pt>
                <c:pt idx="20">
                  <c:v>100%</c:v>
                </c:pt>
                <c:pt idx="21">
                  <c:v>100%</c:v>
                </c:pt>
                <c:pt idx="22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STOPPPER</c:v>
                </c:pt>
                <c:pt idx="4">
                  <c:v>BASE</c:v>
                </c:pt>
                <c:pt idx="5">
                  <c:v>SHAFT</c:v>
                </c:pt>
                <c:pt idx="6">
                  <c:v>BASE</c:v>
                </c:pt>
                <c:pt idx="7">
                  <c:v>BLOCK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BASE</c:v>
                </c:pt>
                <c:pt idx="13">
                  <c:v>COVER</c:v>
                </c:pt>
                <c:pt idx="14">
                  <c:v>ACTUATOR</c:v>
                </c:pt>
                <c:pt idx="15">
                  <c:v>COVER</c:v>
                </c:pt>
                <c:pt idx="19">
                  <c:v>LEAD GUIDE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'07'!$AD$6:$AD$28</c:f>
              <c:numCache>
                <c:formatCode>0%</c:formatCode>
                <c:ptCount val="23"/>
                <c:pt idx="0">
                  <c:v>0.41666666666666669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0.95833333333333337</c:v>
                </c:pt>
                <c:pt idx="5">
                  <c:v>0.79166666666666663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0.33333333333333331</c:v>
                </c:pt>
                <c:pt idx="13">
                  <c:v>0.29166666666666669</c:v>
                </c:pt>
                <c:pt idx="14">
                  <c:v>0</c:v>
                </c:pt>
                <c:pt idx="15">
                  <c:v>0.95833333333333337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0.79166666666666663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8A-4DAD-905B-E5B2542CECC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30674658064879634"/>
                  <c:y val="1.625518632276517E-2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78A-4DAD-905B-E5B2542CECC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STOPPPER</c:v>
                </c:pt>
                <c:pt idx="4">
                  <c:v>BASE</c:v>
                </c:pt>
                <c:pt idx="5">
                  <c:v>SHAFT</c:v>
                </c:pt>
                <c:pt idx="6">
                  <c:v>BASE</c:v>
                </c:pt>
                <c:pt idx="7">
                  <c:v>BLOCK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BASE</c:v>
                </c:pt>
                <c:pt idx="13">
                  <c:v>COVER</c:v>
                </c:pt>
                <c:pt idx="14">
                  <c:v>ACTUATOR</c:v>
                </c:pt>
                <c:pt idx="15">
                  <c:v>COVER</c:v>
                </c:pt>
                <c:pt idx="19">
                  <c:v>LEAD GUIDE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'07'!$AE$6:$AE$28</c:f>
              <c:numCache>
                <c:formatCode>0%</c:formatCode>
                <c:ptCount val="23"/>
                <c:pt idx="0">
                  <c:v>0.45833333333333331</c:v>
                </c:pt>
                <c:pt idx="1">
                  <c:v>0.45833333333333331</c:v>
                </c:pt>
                <c:pt idx="2">
                  <c:v>0.45833333333333331</c:v>
                </c:pt>
                <c:pt idx="3">
                  <c:v>0.45833333333333331</c:v>
                </c:pt>
                <c:pt idx="4">
                  <c:v>0.45833333333333331</c:v>
                </c:pt>
                <c:pt idx="5">
                  <c:v>0.45833333333333331</c:v>
                </c:pt>
                <c:pt idx="6">
                  <c:v>0.45833333333333331</c:v>
                </c:pt>
                <c:pt idx="7">
                  <c:v>0.45833333333333331</c:v>
                </c:pt>
                <c:pt idx="8">
                  <c:v>0.45833333333333331</c:v>
                </c:pt>
                <c:pt idx="9">
                  <c:v>0.45833333333333331</c:v>
                </c:pt>
                <c:pt idx="10">
                  <c:v>0.45833333333333331</c:v>
                </c:pt>
                <c:pt idx="11">
                  <c:v>0.45833333333333331</c:v>
                </c:pt>
                <c:pt idx="12">
                  <c:v>0.45833333333333331</c:v>
                </c:pt>
                <c:pt idx="13">
                  <c:v>0.45833333333333331</c:v>
                </c:pt>
                <c:pt idx="14">
                  <c:v>0.45833333333333331</c:v>
                </c:pt>
                <c:pt idx="15">
                  <c:v>0.45833333333333331</c:v>
                </c:pt>
                <c:pt idx="16">
                  <c:v>0.45833333333333331</c:v>
                </c:pt>
                <c:pt idx="17">
                  <c:v>0.45833333333333331</c:v>
                </c:pt>
                <c:pt idx="18">
                  <c:v>0.45833333333333331</c:v>
                </c:pt>
                <c:pt idx="19">
                  <c:v>0.45833333333333331</c:v>
                </c:pt>
                <c:pt idx="20">
                  <c:v>0.45833333333333331</c:v>
                </c:pt>
                <c:pt idx="21">
                  <c:v>0.45833333333333331</c:v>
                </c:pt>
                <c:pt idx="22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8A-4DAD-905B-E5B2542CE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496-4599-8A48-F04BE8C1B8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0.68147728498178428</c:v>
                </c:pt>
                <c:pt idx="1">
                  <c:v>0.64962121212121204</c:v>
                </c:pt>
                <c:pt idx="2">
                  <c:v>0.37121212121212116</c:v>
                </c:pt>
                <c:pt idx="4">
                  <c:v>0.47282608695652184</c:v>
                </c:pt>
                <c:pt idx="5">
                  <c:v>0.55303030303030298</c:v>
                </c:pt>
                <c:pt idx="6">
                  <c:v>0.45833333333333331</c:v>
                </c:pt>
                <c:pt idx="7">
                  <c:v>0.47282608695652173</c:v>
                </c:pt>
                <c:pt idx="8">
                  <c:v>0.34567901234567905</c:v>
                </c:pt>
                <c:pt idx="9">
                  <c:v>0.41098484848484856</c:v>
                </c:pt>
                <c:pt idx="11">
                  <c:v>0.36742424242424243</c:v>
                </c:pt>
                <c:pt idx="12">
                  <c:v>0.48863636363636354</c:v>
                </c:pt>
                <c:pt idx="13">
                  <c:v>0.59000470952885553</c:v>
                </c:pt>
                <c:pt idx="14">
                  <c:v>0.58712121212121204</c:v>
                </c:pt>
                <c:pt idx="15">
                  <c:v>0.53462982364239564</c:v>
                </c:pt>
                <c:pt idx="16">
                  <c:v>0.45075757575757575</c:v>
                </c:pt>
                <c:pt idx="18">
                  <c:v>0.54356060606060608</c:v>
                </c:pt>
                <c:pt idx="19">
                  <c:v>0.39855072463768115</c:v>
                </c:pt>
                <c:pt idx="20">
                  <c:v>0.29347826086956524</c:v>
                </c:pt>
                <c:pt idx="21">
                  <c:v>0.45619957956867979</c:v>
                </c:pt>
                <c:pt idx="22">
                  <c:v>0.56060606060606066</c:v>
                </c:pt>
                <c:pt idx="23">
                  <c:v>0.45108695652173914</c:v>
                </c:pt>
                <c:pt idx="25">
                  <c:v>0.41493055555555552</c:v>
                </c:pt>
                <c:pt idx="26">
                  <c:v>0.53598484848484851</c:v>
                </c:pt>
                <c:pt idx="27">
                  <c:v>0.43560606060606055</c:v>
                </c:pt>
                <c:pt idx="28">
                  <c:v>0.42234848484848481</c:v>
                </c:pt>
                <c:pt idx="29">
                  <c:v>0.42529900929110415</c:v>
                </c:pt>
                <c:pt idx="31">
                  <c:v>0.41240717878611177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96-4599-8A48-F04BE8C1B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496-4599-8A48-F04BE8C1B85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96-4599-8A48-F04BE8C1B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SHAFT</c:v>
                </c:pt>
                <c:pt idx="7">
                  <c:v>BASE</c:v>
                </c:pt>
                <c:pt idx="8">
                  <c:v>BLOCK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3">
                  <c:v>BASE</c:v>
                </c:pt>
                <c:pt idx="14">
                  <c:v>ACTUATOR</c:v>
                </c:pt>
                <c:pt idx="19">
                  <c:v>LEAD GUIDE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'08'!$L$6:$L$28</c:f>
              <c:numCache>
                <c:formatCode>_(* #,##0_);_(* \(#,##0\);_(* "-"_);_(@_)</c:formatCode>
                <c:ptCount val="23"/>
                <c:pt idx="0">
                  <c:v>11916</c:v>
                </c:pt>
                <c:pt idx="2">
                  <c:v>29084</c:v>
                </c:pt>
                <c:pt idx="3">
                  <c:v>1257</c:v>
                </c:pt>
                <c:pt idx="4">
                  <c:v>2429</c:v>
                </c:pt>
                <c:pt idx="5">
                  <c:v>3711</c:v>
                </c:pt>
                <c:pt idx="6">
                  <c:v>201480</c:v>
                </c:pt>
                <c:pt idx="7">
                  <c:v>5483</c:v>
                </c:pt>
                <c:pt idx="11">
                  <c:v>11076</c:v>
                </c:pt>
                <c:pt idx="12">
                  <c:v>4138</c:v>
                </c:pt>
                <c:pt idx="15">
                  <c:v>3976</c:v>
                </c:pt>
                <c:pt idx="20">
                  <c:v>29132</c:v>
                </c:pt>
                <c:pt idx="21">
                  <c:v>29140</c:v>
                </c:pt>
                <c:pt idx="22">
                  <c:v>18472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9B-4DC5-8723-0EF5DC774A8A}"/>
            </c:ext>
          </c:extLst>
        </c:ser>
        <c:ser>
          <c:idx val="1"/>
          <c:order val="1"/>
          <c:tx>
            <c:v>계획</c:v>
          </c:tx>
          <c:cat>
            <c:strRef>
              <c:f>'08'!$D$6:$D$28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SHAFT</c:v>
                </c:pt>
                <c:pt idx="7">
                  <c:v>BASE</c:v>
                </c:pt>
                <c:pt idx="8">
                  <c:v>BLOCK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3">
                  <c:v>BASE</c:v>
                </c:pt>
                <c:pt idx="14">
                  <c:v>ACTUATOR</c:v>
                </c:pt>
                <c:pt idx="19">
                  <c:v>LEAD GUIDE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'08'!$J$6:$J$28</c:f>
              <c:numCache>
                <c:formatCode>_(* #,##0_);_(* \(#,##0\);_(* "-"_);_(@_)</c:formatCode>
                <c:ptCount val="23"/>
                <c:pt idx="0">
                  <c:v>11916</c:v>
                </c:pt>
                <c:pt idx="1">
                  <c:v>6258</c:v>
                </c:pt>
                <c:pt idx="2">
                  <c:v>29084</c:v>
                </c:pt>
                <c:pt idx="3">
                  <c:v>1257</c:v>
                </c:pt>
                <c:pt idx="4">
                  <c:v>2429</c:v>
                </c:pt>
                <c:pt idx="5">
                  <c:v>3711</c:v>
                </c:pt>
                <c:pt idx="6">
                  <c:v>201480</c:v>
                </c:pt>
                <c:pt idx="7">
                  <c:v>5483</c:v>
                </c:pt>
                <c:pt idx="8">
                  <c:v>3371</c:v>
                </c:pt>
                <c:pt idx="9">
                  <c:v>800</c:v>
                </c:pt>
                <c:pt idx="10">
                  <c:v>12356</c:v>
                </c:pt>
                <c:pt idx="11">
                  <c:v>11076</c:v>
                </c:pt>
                <c:pt idx="12">
                  <c:v>4138</c:v>
                </c:pt>
                <c:pt idx="13">
                  <c:v>1410</c:v>
                </c:pt>
                <c:pt idx="14">
                  <c:v>5176</c:v>
                </c:pt>
                <c:pt idx="15">
                  <c:v>3976</c:v>
                </c:pt>
                <c:pt idx="16">
                  <c:v>34220</c:v>
                </c:pt>
                <c:pt idx="17">
                  <c:v>0</c:v>
                </c:pt>
                <c:pt idx="18">
                  <c:v>0</c:v>
                </c:pt>
                <c:pt idx="19">
                  <c:v>26768</c:v>
                </c:pt>
                <c:pt idx="20">
                  <c:v>29132</c:v>
                </c:pt>
                <c:pt idx="21">
                  <c:v>29140</c:v>
                </c:pt>
                <c:pt idx="22">
                  <c:v>18472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9B-4DC5-8723-0EF5DC774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'08'!$AD$6:$AD$28</c:f>
              <c:strCache>
                <c:ptCount val="23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29%</c:v>
                </c:pt>
                <c:pt idx="4">
                  <c:v>58%</c:v>
                </c:pt>
                <c:pt idx="5">
                  <c:v>75%</c:v>
                </c:pt>
                <c:pt idx="6">
                  <c:v>83%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83%</c:v>
                </c:pt>
                <c:pt idx="13">
                  <c:v>0%</c:v>
                </c:pt>
                <c:pt idx="14">
                  <c:v>0%</c:v>
                </c:pt>
                <c:pt idx="15">
                  <c:v>75%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100%</c:v>
                </c:pt>
                <c:pt idx="21">
                  <c:v>100%</c:v>
                </c:pt>
                <c:pt idx="22">
                  <c:v>83%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SHAFT</c:v>
                </c:pt>
                <c:pt idx="7">
                  <c:v>BASE</c:v>
                </c:pt>
                <c:pt idx="8">
                  <c:v>BLOCK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3">
                  <c:v>BASE</c:v>
                </c:pt>
                <c:pt idx="14">
                  <c:v>ACTUATOR</c:v>
                </c:pt>
                <c:pt idx="19">
                  <c:v>LEAD GUIDE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'08'!$AD$6:$AD$28</c:f>
              <c:numCache>
                <c:formatCode>0%</c:formatCode>
                <c:ptCount val="23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0.29166666666666669</c:v>
                </c:pt>
                <c:pt idx="4">
                  <c:v>0.58333333333333337</c:v>
                </c:pt>
                <c:pt idx="5">
                  <c:v>0.75</c:v>
                </c:pt>
                <c:pt idx="6">
                  <c:v>0.83333333333333337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0.83333333333333337</c:v>
                </c:pt>
                <c:pt idx="13">
                  <c:v>0</c:v>
                </c:pt>
                <c:pt idx="14">
                  <c:v>0</c:v>
                </c:pt>
                <c:pt idx="15">
                  <c:v>0.75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3C-4165-9925-ABC6B368F71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03C-4165-9925-ABC6B368F71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SHAFT</c:v>
                </c:pt>
                <c:pt idx="7">
                  <c:v>BASE</c:v>
                </c:pt>
                <c:pt idx="8">
                  <c:v>BLOCK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3">
                  <c:v>BASE</c:v>
                </c:pt>
                <c:pt idx="14">
                  <c:v>ACTUATOR</c:v>
                </c:pt>
                <c:pt idx="19">
                  <c:v>LEAD GUIDE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'08'!$AE$6:$AE$28</c:f>
              <c:numCache>
                <c:formatCode>0%</c:formatCode>
                <c:ptCount val="23"/>
                <c:pt idx="0">
                  <c:v>0.47282608695652173</c:v>
                </c:pt>
                <c:pt idx="1">
                  <c:v>0.47282608695652173</c:v>
                </c:pt>
                <c:pt idx="2">
                  <c:v>0.47282608695652173</c:v>
                </c:pt>
                <c:pt idx="3">
                  <c:v>0.47282608695652173</c:v>
                </c:pt>
                <c:pt idx="4">
                  <c:v>0.47282608695652173</c:v>
                </c:pt>
                <c:pt idx="5">
                  <c:v>0.47282608695652173</c:v>
                </c:pt>
                <c:pt idx="6">
                  <c:v>0.47282608695652173</c:v>
                </c:pt>
                <c:pt idx="7">
                  <c:v>0.47282608695652173</c:v>
                </c:pt>
                <c:pt idx="8">
                  <c:v>0.47282608695652173</c:v>
                </c:pt>
                <c:pt idx="9">
                  <c:v>0.47282608695652173</c:v>
                </c:pt>
                <c:pt idx="10">
                  <c:v>0.47282608695652173</c:v>
                </c:pt>
                <c:pt idx="11">
                  <c:v>0.47282608695652173</c:v>
                </c:pt>
                <c:pt idx="12">
                  <c:v>0.47282608695652173</c:v>
                </c:pt>
                <c:pt idx="13">
                  <c:v>0.47282608695652173</c:v>
                </c:pt>
                <c:pt idx="14">
                  <c:v>0.47282608695652173</c:v>
                </c:pt>
                <c:pt idx="15">
                  <c:v>0.47282608695652173</c:v>
                </c:pt>
                <c:pt idx="16">
                  <c:v>0.47282608695652173</c:v>
                </c:pt>
                <c:pt idx="17">
                  <c:v>0.47282608695652173</c:v>
                </c:pt>
                <c:pt idx="18">
                  <c:v>0.47282608695652173</c:v>
                </c:pt>
                <c:pt idx="19">
                  <c:v>0.47282608695652173</c:v>
                </c:pt>
                <c:pt idx="20">
                  <c:v>0.47282608695652173</c:v>
                </c:pt>
                <c:pt idx="21">
                  <c:v>0.47282608695652173</c:v>
                </c:pt>
                <c:pt idx="22">
                  <c:v>0.47282608695652173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3C-4165-9925-ABC6B368F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SHAFT</c:v>
                </c:pt>
                <c:pt idx="7">
                  <c:v>BASE</c:v>
                </c:pt>
                <c:pt idx="8">
                  <c:v>BLOCK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3">
                  <c:v>BASE</c:v>
                </c:pt>
                <c:pt idx="14">
                  <c:v>ACTUATOR</c:v>
                </c:pt>
                <c:pt idx="19">
                  <c:v>LEAD GUIDE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'08'!$L$6:$L$28</c:f>
              <c:numCache>
                <c:formatCode>_(* #,##0_);_(* \(#,##0\);_(* "-"_);_(@_)</c:formatCode>
                <c:ptCount val="23"/>
                <c:pt idx="0">
                  <c:v>11916</c:v>
                </c:pt>
                <c:pt idx="2">
                  <c:v>29084</c:v>
                </c:pt>
                <c:pt idx="3">
                  <c:v>1257</c:v>
                </c:pt>
                <c:pt idx="4">
                  <c:v>2429</c:v>
                </c:pt>
                <c:pt idx="5">
                  <c:v>3711</c:v>
                </c:pt>
                <c:pt idx="6">
                  <c:v>201480</c:v>
                </c:pt>
                <c:pt idx="7">
                  <c:v>5483</c:v>
                </c:pt>
                <c:pt idx="11">
                  <c:v>11076</c:v>
                </c:pt>
                <c:pt idx="12">
                  <c:v>4138</c:v>
                </c:pt>
                <c:pt idx="15">
                  <c:v>3976</c:v>
                </c:pt>
                <c:pt idx="20">
                  <c:v>29132</c:v>
                </c:pt>
                <c:pt idx="21">
                  <c:v>29140</c:v>
                </c:pt>
                <c:pt idx="22">
                  <c:v>18472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AE-44F4-A50E-632685C08951}"/>
            </c:ext>
          </c:extLst>
        </c:ser>
        <c:ser>
          <c:idx val="1"/>
          <c:order val="1"/>
          <c:tx>
            <c:v>계획</c:v>
          </c:tx>
          <c:cat>
            <c:strRef>
              <c:f>'08'!$D$6:$D$28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SHAFT</c:v>
                </c:pt>
                <c:pt idx="7">
                  <c:v>BASE</c:v>
                </c:pt>
                <c:pt idx="8">
                  <c:v>BLOCK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3">
                  <c:v>BASE</c:v>
                </c:pt>
                <c:pt idx="14">
                  <c:v>ACTUATOR</c:v>
                </c:pt>
                <c:pt idx="19">
                  <c:v>LEAD GUIDE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'08'!$J$6:$J$28</c:f>
              <c:numCache>
                <c:formatCode>_(* #,##0_);_(* \(#,##0\);_(* "-"_);_(@_)</c:formatCode>
                <c:ptCount val="23"/>
                <c:pt idx="0">
                  <c:v>11916</c:v>
                </c:pt>
                <c:pt idx="1">
                  <c:v>6258</c:v>
                </c:pt>
                <c:pt idx="2">
                  <c:v>29084</c:v>
                </c:pt>
                <c:pt idx="3">
                  <c:v>1257</c:v>
                </c:pt>
                <c:pt idx="4">
                  <c:v>2429</c:v>
                </c:pt>
                <c:pt idx="5">
                  <c:v>3711</c:v>
                </c:pt>
                <c:pt idx="6">
                  <c:v>201480</c:v>
                </c:pt>
                <c:pt idx="7">
                  <c:v>5483</c:v>
                </c:pt>
                <c:pt idx="8">
                  <c:v>3371</c:v>
                </c:pt>
                <c:pt idx="9">
                  <c:v>800</c:v>
                </c:pt>
                <c:pt idx="10">
                  <c:v>12356</c:v>
                </c:pt>
                <c:pt idx="11">
                  <c:v>11076</c:v>
                </c:pt>
                <c:pt idx="12">
                  <c:v>4138</c:v>
                </c:pt>
                <c:pt idx="13">
                  <c:v>1410</c:v>
                </c:pt>
                <c:pt idx="14">
                  <c:v>5176</c:v>
                </c:pt>
                <c:pt idx="15">
                  <c:v>3976</c:v>
                </c:pt>
                <c:pt idx="16">
                  <c:v>34220</c:v>
                </c:pt>
                <c:pt idx="17">
                  <c:v>0</c:v>
                </c:pt>
                <c:pt idx="18">
                  <c:v>0</c:v>
                </c:pt>
                <c:pt idx="19">
                  <c:v>26768</c:v>
                </c:pt>
                <c:pt idx="20">
                  <c:v>29132</c:v>
                </c:pt>
                <c:pt idx="21">
                  <c:v>29140</c:v>
                </c:pt>
                <c:pt idx="22">
                  <c:v>18472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AE-44F4-A50E-632685C08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'08'!$AD$6:$AD$28</c:f>
              <c:strCache>
                <c:ptCount val="23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29%</c:v>
                </c:pt>
                <c:pt idx="4">
                  <c:v>58%</c:v>
                </c:pt>
                <c:pt idx="5">
                  <c:v>75%</c:v>
                </c:pt>
                <c:pt idx="6">
                  <c:v>83%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83%</c:v>
                </c:pt>
                <c:pt idx="13">
                  <c:v>0%</c:v>
                </c:pt>
                <c:pt idx="14">
                  <c:v>0%</c:v>
                </c:pt>
                <c:pt idx="15">
                  <c:v>75%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100%</c:v>
                </c:pt>
                <c:pt idx="21">
                  <c:v>100%</c:v>
                </c:pt>
                <c:pt idx="22">
                  <c:v>83%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SHAFT</c:v>
                </c:pt>
                <c:pt idx="7">
                  <c:v>BASE</c:v>
                </c:pt>
                <c:pt idx="8">
                  <c:v>BLOCK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3">
                  <c:v>BASE</c:v>
                </c:pt>
                <c:pt idx="14">
                  <c:v>ACTUATOR</c:v>
                </c:pt>
                <c:pt idx="19">
                  <c:v>LEAD GUIDE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'08'!$AD$6:$AD$28</c:f>
              <c:numCache>
                <c:formatCode>0%</c:formatCode>
                <c:ptCount val="23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0.29166666666666669</c:v>
                </c:pt>
                <c:pt idx="4">
                  <c:v>0.58333333333333337</c:v>
                </c:pt>
                <c:pt idx="5">
                  <c:v>0.75</c:v>
                </c:pt>
                <c:pt idx="6">
                  <c:v>0.83333333333333337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0.83333333333333337</c:v>
                </c:pt>
                <c:pt idx="13">
                  <c:v>0</c:v>
                </c:pt>
                <c:pt idx="14">
                  <c:v>0</c:v>
                </c:pt>
                <c:pt idx="15">
                  <c:v>0.75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F3-4AAA-83E9-38273B09F0F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30674658064879634"/>
                  <c:y val="1.625518632276517E-2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0F3-4AAA-83E9-38273B09F0F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'08'!$D$6:$D$28</c:f>
              <c:strCache>
                <c:ptCount val="23"/>
                <c:pt idx="0">
                  <c:v>ADAPTER</c:v>
                </c:pt>
                <c:pt idx="1">
                  <c:v>F/A</c:v>
                </c:pt>
                <c:pt idx="2">
                  <c:v>STOPPPER</c:v>
                </c:pt>
                <c:pt idx="3">
                  <c:v>SLIDER</c:v>
                </c:pt>
                <c:pt idx="4">
                  <c:v>SLIDER</c:v>
                </c:pt>
                <c:pt idx="5">
                  <c:v>ACTUATOR</c:v>
                </c:pt>
                <c:pt idx="6">
                  <c:v>SHAFT</c:v>
                </c:pt>
                <c:pt idx="7">
                  <c:v>BASE</c:v>
                </c:pt>
                <c:pt idx="8">
                  <c:v>BLOCK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3">
                  <c:v>BASE</c:v>
                </c:pt>
                <c:pt idx="14">
                  <c:v>ACTUATOR</c:v>
                </c:pt>
                <c:pt idx="19">
                  <c:v>LEAD GUIDE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'08'!$AE$6:$AE$28</c:f>
              <c:numCache>
                <c:formatCode>0%</c:formatCode>
                <c:ptCount val="23"/>
                <c:pt idx="0">
                  <c:v>0.47282608695652173</c:v>
                </c:pt>
                <c:pt idx="1">
                  <c:v>0.47282608695652173</c:v>
                </c:pt>
                <c:pt idx="2">
                  <c:v>0.47282608695652173</c:v>
                </c:pt>
                <c:pt idx="3">
                  <c:v>0.47282608695652173</c:v>
                </c:pt>
                <c:pt idx="4">
                  <c:v>0.47282608695652173</c:v>
                </c:pt>
                <c:pt idx="5">
                  <c:v>0.47282608695652173</c:v>
                </c:pt>
                <c:pt idx="6">
                  <c:v>0.47282608695652173</c:v>
                </c:pt>
                <c:pt idx="7">
                  <c:v>0.47282608695652173</c:v>
                </c:pt>
                <c:pt idx="8">
                  <c:v>0.47282608695652173</c:v>
                </c:pt>
                <c:pt idx="9">
                  <c:v>0.47282608695652173</c:v>
                </c:pt>
                <c:pt idx="10">
                  <c:v>0.47282608695652173</c:v>
                </c:pt>
                <c:pt idx="11">
                  <c:v>0.47282608695652173</c:v>
                </c:pt>
                <c:pt idx="12">
                  <c:v>0.47282608695652173</c:v>
                </c:pt>
                <c:pt idx="13">
                  <c:v>0.47282608695652173</c:v>
                </c:pt>
                <c:pt idx="14">
                  <c:v>0.47282608695652173</c:v>
                </c:pt>
                <c:pt idx="15">
                  <c:v>0.47282608695652173</c:v>
                </c:pt>
                <c:pt idx="16">
                  <c:v>0.47282608695652173</c:v>
                </c:pt>
                <c:pt idx="17">
                  <c:v>0.47282608695652173</c:v>
                </c:pt>
                <c:pt idx="18">
                  <c:v>0.47282608695652173</c:v>
                </c:pt>
                <c:pt idx="19">
                  <c:v>0.47282608695652173</c:v>
                </c:pt>
                <c:pt idx="20">
                  <c:v>0.47282608695652173</c:v>
                </c:pt>
                <c:pt idx="21">
                  <c:v>0.47282608695652173</c:v>
                </c:pt>
                <c:pt idx="22">
                  <c:v>0.47282608695652173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F3-4AAA-83E9-38273B09F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D37-4630-9AAB-11F52D0CB7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0.68147728498178428</c:v>
                </c:pt>
                <c:pt idx="1">
                  <c:v>0.64962121212121204</c:v>
                </c:pt>
                <c:pt idx="2">
                  <c:v>0.37121212121212116</c:v>
                </c:pt>
                <c:pt idx="4">
                  <c:v>0.47282608695652184</c:v>
                </c:pt>
                <c:pt idx="5">
                  <c:v>0.55303030303030298</c:v>
                </c:pt>
                <c:pt idx="6">
                  <c:v>0.45833333333333331</c:v>
                </c:pt>
                <c:pt idx="7">
                  <c:v>0.47282608695652173</c:v>
                </c:pt>
                <c:pt idx="8">
                  <c:v>0.34567901234567905</c:v>
                </c:pt>
                <c:pt idx="9">
                  <c:v>0.41098484848484856</c:v>
                </c:pt>
                <c:pt idx="11">
                  <c:v>0.36742424242424243</c:v>
                </c:pt>
                <c:pt idx="12">
                  <c:v>0.48863636363636354</c:v>
                </c:pt>
                <c:pt idx="13">
                  <c:v>0.59000470952885553</c:v>
                </c:pt>
                <c:pt idx="14">
                  <c:v>0.58712121212121204</c:v>
                </c:pt>
                <c:pt idx="15">
                  <c:v>0.53462982364239564</c:v>
                </c:pt>
                <c:pt idx="16">
                  <c:v>0.45075757575757575</c:v>
                </c:pt>
                <c:pt idx="18">
                  <c:v>0.54356060606060608</c:v>
                </c:pt>
                <c:pt idx="19">
                  <c:v>0.39855072463768115</c:v>
                </c:pt>
                <c:pt idx="20">
                  <c:v>0.29347826086956524</c:v>
                </c:pt>
                <c:pt idx="21">
                  <c:v>0.45619957956867979</c:v>
                </c:pt>
                <c:pt idx="22">
                  <c:v>0.56060606060606066</c:v>
                </c:pt>
                <c:pt idx="23">
                  <c:v>0.45108695652173914</c:v>
                </c:pt>
                <c:pt idx="25">
                  <c:v>0.41493055555555552</c:v>
                </c:pt>
                <c:pt idx="26">
                  <c:v>0.53598484848484851</c:v>
                </c:pt>
                <c:pt idx="27">
                  <c:v>0.43560606060606055</c:v>
                </c:pt>
                <c:pt idx="28">
                  <c:v>0.42234848484848481</c:v>
                </c:pt>
                <c:pt idx="29">
                  <c:v>0.42529900929110415</c:v>
                </c:pt>
                <c:pt idx="31">
                  <c:v>0.41240717878611177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37-4630-9AAB-11F52D0CB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D37-4630-9AAB-11F52D0CB76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37-4630-9AAB-11F52D0CB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'09'!$D$6:$D$32</c:f>
              <c:strCache>
                <c:ptCount val="27"/>
                <c:pt idx="0">
                  <c:v>ADAPTER</c:v>
                </c:pt>
                <c:pt idx="1">
                  <c:v>F/A</c:v>
                </c:pt>
                <c:pt idx="2">
                  <c:v>F/A</c:v>
                </c:pt>
                <c:pt idx="3">
                  <c:v>STOPPPER</c:v>
                </c:pt>
                <c:pt idx="4">
                  <c:v>SLIDER</c:v>
                </c:pt>
                <c:pt idx="5">
                  <c:v>BASE</c:v>
                </c:pt>
                <c:pt idx="6">
                  <c:v>COVER</c:v>
                </c:pt>
                <c:pt idx="7">
                  <c:v>STOPPPER</c:v>
                </c:pt>
                <c:pt idx="8">
                  <c:v>BASE</c:v>
                </c:pt>
                <c:pt idx="9">
                  <c:v>BLOCK</c:v>
                </c:pt>
                <c:pt idx="10">
                  <c:v>BASE</c:v>
                </c:pt>
                <c:pt idx="11">
                  <c:v>COVER</c:v>
                </c:pt>
                <c:pt idx="12">
                  <c:v>BASE</c:v>
                </c:pt>
                <c:pt idx="16">
                  <c:v>LEAD GUIDE</c:v>
                </c:pt>
                <c:pt idx="17">
                  <c:v>LATCH PLATE</c:v>
                </c:pt>
                <c:pt idx="18">
                  <c:v>ACTUATOR</c:v>
                </c:pt>
                <c:pt idx="23">
                  <c:v>SLIDER</c:v>
                </c:pt>
                <c:pt idx="24">
                  <c:v>SLIDER</c:v>
                </c:pt>
                <c:pt idx="25">
                  <c:v>COVER</c:v>
                </c:pt>
                <c:pt idx="26">
                  <c:v>BASE</c:v>
                </c:pt>
              </c:strCache>
            </c:strRef>
          </c:cat>
          <c:val>
            <c:numRef>
              <c:f>'09'!$L$6:$L$32</c:f>
              <c:numCache>
                <c:formatCode>_(* #,##0_);_(* \(#,##0\);_(* "-"_);_(@_)</c:formatCode>
                <c:ptCount val="27"/>
                <c:pt idx="0">
                  <c:v>2738</c:v>
                </c:pt>
                <c:pt idx="1">
                  <c:v>632</c:v>
                </c:pt>
                <c:pt idx="2">
                  <c:v>371</c:v>
                </c:pt>
                <c:pt idx="3">
                  <c:v>30608</c:v>
                </c:pt>
                <c:pt idx="4">
                  <c:v>859</c:v>
                </c:pt>
                <c:pt idx="5">
                  <c:v>475</c:v>
                </c:pt>
                <c:pt idx="6">
                  <c:v>417</c:v>
                </c:pt>
                <c:pt idx="7">
                  <c:v>0</c:v>
                </c:pt>
                <c:pt idx="8">
                  <c:v>5485</c:v>
                </c:pt>
                <c:pt idx="9">
                  <c:v>2491</c:v>
                </c:pt>
                <c:pt idx="12">
                  <c:v>2314</c:v>
                </c:pt>
                <c:pt idx="13">
                  <c:v>5374</c:v>
                </c:pt>
                <c:pt idx="14">
                  <c:v>2116</c:v>
                </c:pt>
                <c:pt idx="15">
                  <c:v>650</c:v>
                </c:pt>
                <c:pt idx="16">
                  <c:v>300</c:v>
                </c:pt>
                <c:pt idx="17">
                  <c:v>800</c:v>
                </c:pt>
                <c:pt idx="18">
                  <c:v>5079</c:v>
                </c:pt>
                <c:pt idx="19">
                  <c:v>6044</c:v>
                </c:pt>
                <c:pt idx="23">
                  <c:v>4387</c:v>
                </c:pt>
                <c:pt idx="24">
                  <c:v>9988</c:v>
                </c:pt>
                <c:pt idx="25">
                  <c:v>11600</c:v>
                </c:pt>
                <c:pt idx="26">
                  <c:v>23996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93-4116-AFD7-A5BA46A86E32}"/>
            </c:ext>
          </c:extLst>
        </c:ser>
        <c:ser>
          <c:idx val="1"/>
          <c:order val="1"/>
          <c:tx>
            <c:v>계획</c:v>
          </c:tx>
          <c:cat>
            <c:strRef>
              <c:f>'09'!$D$6:$D$32</c:f>
              <c:strCache>
                <c:ptCount val="27"/>
                <c:pt idx="0">
                  <c:v>ADAPTER</c:v>
                </c:pt>
                <c:pt idx="1">
                  <c:v>F/A</c:v>
                </c:pt>
                <c:pt idx="2">
                  <c:v>F/A</c:v>
                </c:pt>
                <c:pt idx="3">
                  <c:v>STOPPPER</c:v>
                </c:pt>
                <c:pt idx="4">
                  <c:v>SLIDER</c:v>
                </c:pt>
                <c:pt idx="5">
                  <c:v>BASE</c:v>
                </c:pt>
                <c:pt idx="6">
                  <c:v>COVER</c:v>
                </c:pt>
                <c:pt idx="7">
                  <c:v>STOPPPER</c:v>
                </c:pt>
                <c:pt idx="8">
                  <c:v>BASE</c:v>
                </c:pt>
                <c:pt idx="9">
                  <c:v>BLOCK</c:v>
                </c:pt>
                <c:pt idx="10">
                  <c:v>BASE</c:v>
                </c:pt>
                <c:pt idx="11">
                  <c:v>COVER</c:v>
                </c:pt>
                <c:pt idx="12">
                  <c:v>BASE</c:v>
                </c:pt>
                <c:pt idx="16">
                  <c:v>LEAD GUIDE</c:v>
                </c:pt>
                <c:pt idx="17">
                  <c:v>LATCH PLATE</c:v>
                </c:pt>
                <c:pt idx="18">
                  <c:v>ACTUATOR</c:v>
                </c:pt>
                <c:pt idx="23">
                  <c:v>SLIDER</c:v>
                </c:pt>
                <c:pt idx="24">
                  <c:v>SLIDER</c:v>
                </c:pt>
                <c:pt idx="25">
                  <c:v>COVER</c:v>
                </c:pt>
                <c:pt idx="26">
                  <c:v>BASE</c:v>
                </c:pt>
              </c:strCache>
            </c:strRef>
          </c:cat>
          <c:val>
            <c:numRef>
              <c:f>'09'!$J$6:$J$32</c:f>
              <c:numCache>
                <c:formatCode>_(* #,##0_);_(* \(#,##0\);_(* "-"_);_(@_)</c:formatCode>
                <c:ptCount val="27"/>
                <c:pt idx="0">
                  <c:v>2738</c:v>
                </c:pt>
                <c:pt idx="1">
                  <c:v>632</c:v>
                </c:pt>
                <c:pt idx="2">
                  <c:v>371</c:v>
                </c:pt>
                <c:pt idx="3">
                  <c:v>30608</c:v>
                </c:pt>
                <c:pt idx="4">
                  <c:v>859</c:v>
                </c:pt>
                <c:pt idx="5">
                  <c:v>475</c:v>
                </c:pt>
                <c:pt idx="6">
                  <c:v>417</c:v>
                </c:pt>
                <c:pt idx="7">
                  <c:v>2000</c:v>
                </c:pt>
                <c:pt idx="8">
                  <c:v>5485</c:v>
                </c:pt>
                <c:pt idx="9">
                  <c:v>2491</c:v>
                </c:pt>
                <c:pt idx="10">
                  <c:v>800</c:v>
                </c:pt>
                <c:pt idx="11">
                  <c:v>12356</c:v>
                </c:pt>
                <c:pt idx="12">
                  <c:v>2314</c:v>
                </c:pt>
                <c:pt idx="13">
                  <c:v>5374</c:v>
                </c:pt>
                <c:pt idx="14">
                  <c:v>2116</c:v>
                </c:pt>
                <c:pt idx="15">
                  <c:v>650</c:v>
                </c:pt>
                <c:pt idx="16">
                  <c:v>300</c:v>
                </c:pt>
                <c:pt idx="17">
                  <c:v>800</c:v>
                </c:pt>
                <c:pt idx="18">
                  <c:v>5079</c:v>
                </c:pt>
                <c:pt idx="19">
                  <c:v>6044</c:v>
                </c:pt>
                <c:pt idx="20">
                  <c:v>34220</c:v>
                </c:pt>
                <c:pt idx="21">
                  <c:v>0</c:v>
                </c:pt>
                <c:pt idx="22">
                  <c:v>0</c:v>
                </c:pt>
                <c:pt idx="23">
                  <c:v>4387</c:v>
                </c:pt>
                <c:pt idx="24">
                  <c:v>9988</c:v>
                </c:pt>
                <c:pt idx="25">
                  <c:v>11600</c:v>
                </c:pt>
                <c:pt idx="26">
                  <c:v>23996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93-4116-AFD7-A5BA46A86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'09'!$AD$6:$AD$32</c:f>
              <c:strCache>
                <c:ptCount val="27"/>
                <c:pt idx="0">
                  <c:v>25%</c:v>
                </c:pt>
                <c:pt idx="1">
                  <c:v>13%</c:v>
                </c:pt>
                <c:pt idx="2">
                  <c:v>8%</c:v>
                </c:pt>
                <c:pt idx="3">
                  <c:v>100%</c:v>
                </c:pt>
                <c:pt idx="4">
                  <c:v>17%</c:v>
                </c:pt>
                <c:pt idx="5">
                  <c:v>13%</c:v>
                </c:pt>
                <c:pt idx="6">
                  <c:v>13%</c:v>
                </c:pt>
                <c:pt idx="7">
                  <c:v>0%</c:v>
                </c:pt>
                <c:pt idx="8">
                  <c:v>100%</c:v>
                </c:pt>
                <c:pt idx="9">
                  <c:v>50%</c:v>
                </c:pt>
                <c:pt idx="10">
                  <c:v>0%</c:v>
                </c:pt>
                <c:pt idx="11">
                  <c:v>0%</c:v>
                </c:pt>
                <c:pt idx="12">
                  <c:v>25%</c:v>
                </c:pt>
                <c:pt idx="13">
                  <c:v>58%</c:v>
                </c:pt>
                <c:pt idx="14">
                  <c:v>29%</c:v>
                </c:pt>
                <c:pt idx="15">
                  <c:v>17%</c:v>
                </c:pt>
                <c:pt idx="16">
                  <c:v>13%</c:v>
                </c:pt>
                <c:pt idx="17">
                  <c:v>17%</c:v>
                </c:pt>
                <c:pt idx="18">
                  <c:v>100%</c:v>
                </c:pt>
                <c:pt idx="19">
                  <c:v>100%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79%</c:v>
                </c:pt>
                <c:pt idx="24">
                  <c:v>29%</c:v>
                </c:pt>
                <c:pt idx="25">
                  <c:v>38%</c:v>
                </c:pt>
                <c:pt idx="26">
                  <c:v>92%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'09'!$D$6:$D$32</c:f>
              <c:strCache>
                <c:ptCount val="27"/>
                <c:pt idx="0">
                  <c:v>ADAPTER</c:v>
                </c:pt>
                <c:pt idx="1">
                  <c:v>F/A</c:v>
                </c:pt>
                <c:pt idx="2">
                  <c:v>F/A</c:v>
                </c:pt>
                <c:pt idx="3">
                  <c:v>STOPPPER</c:v>
                </c:pt>
                <c:pt idx="4">
                  <c:v>SLIDER</c:v>
                </c:pt>
                <c:pt idx="5">
                  <c:v>BASE</c:v>
                </c:pt>
                <c:pt idx="6">
                  <c:v>COVER</c:v>
                </c:pt>
                <c:pt idx="7">
                  <c:v>STOPPPER</c:v>
                </c:pt>
                <c:pt idx="8">
                  <c:v>BASE</c:v>
                </c:pt>
                <c:pt idx="9">
                  <c:v>BLOCK</c:v>
                </c:pt>
                <c:pt idx="10">
                  <c:v>BASE</c:v>
                </c:pt>
                <c:pt idx="11">
                  <c:v>COVER</c:v>
                </c:pt>
                <c:pt idx="12">
                  <c:v>BASE</c:v>
                </c:pt>
                <c:pt idx="16">
                  <c:v>LEAD GUIDE</c:v>
                </c:pt>
                <c:pt idx="17">
                  <c:v>LATCH PLATE</c:v>
                </c:pt>
                <c:pt idx="18">
                  <c:v>ACTUATOR</c:v>
                </c:pt>
                <c:pt idx="23">
                  <c:v>SLIDER</c:v>
                </c:pt>
                <c:pt idx="24">
                  <c:v>SLIDER</c:v>
                </c:pt>
                <c:pt idx="25">
                  <c:v>COVER</c:v>
                </c:pt>
                <c:pt idx="26">
                  <c:v>BASE</c:v>
                </c:pt>
              </c:strCache>
            </c:strRef>
          </c:cat>
          <c:val>
            <c:numRef>
              <c:f>'09'!$AD$6:$AD$32</c:f>
              <c:numCache>
                <c:formatCode>0%</c:formatCode>
                <c:ptCount val="27"/>
                <c:pt idx="0">
                  <c:v>0.25</c:v>
                </c:pt>
                <c:pt idx="1">
                  <c:v>0.125</c:v>
                </c:pt>
                <c:pt idx="2">
                  <c:v>8.3333333333333329E-2</c:v>
                </c:pt>
                <c:pt idx="3">
                  <c:v>1</c:v>
                </c:pt>
                <c:pt idx="4">
                  <c:v>0.16666666666666666</c:v>
                </c:pt>
                <c:pt idx="5">
                  <c:v>0.125</c:v>
                </c:pt>
                <c:pt idx="6">
                  <c:v>0.125</c:v>
                </c:pt>
                <c:pt idx="7">
                  <c:v>0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  <c:pt idx="11">
                  <c:v>0</c:v>
                </c:pt>
                <c:pt idx="12">
                  <c:v>0.25</c:v>
                </c:pt>
                <c:pt idx="13">
                  <c:v>0.58333333333333337</c:v>
                </c:pt>
                <c:pt idx="14">
                  <c:v>0.29166666666666669</c:v>
                </c:pt>
                <c:pt idx="15">
                  <c:v>0.16666666666666666</c:v>
                </c:pt>
                <c:pt idx="16">
                  <c:v>0.125</c:v>
                </c:pt>
                <c:pt idx="17">
                  <c:v>0.16666666666666666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0.79166666666666663</c:v>
                </c:pt>
                <c:pt idx="24">
                  <c:v>0.29166666666666669</c:v>
                </c:pt>
                <c:pt idx="25">
                  <c:v>0.375</c:v>
                </c:pt>
                <c:pt idx="26">
                  <c:v>0.91666666666666663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79-4CD3-893F-3FD172FB32A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579-4CD3-893F-3FD172FB32A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'09'!$D$6:$D$32</c:f>
              <c:strCache>
                <c:ptCount val="27"/>
                <c:pt idx="0">
                  <c:v>ADAPTER</c:v>
                </c:pt>
                <c:pt idx="1">
                  <c:v>F/A</c:v>
                </c:pt>
                <c:pt idx="2">
                  <c:v>F/A</c:v>
                </c:pt>
                <c:pt idx="3">
                  <c:v>STOPPPER</c:v>
                </c:pt>
                <c:pt idx="4">
                  <c:v>SLIDER</c:v>
                </c:pt>
                <c:pt idx="5">
                  <c:v>BASE</c:v>
                </c:pt>
                <c:pt idx="6">
                  <c:v>COVER</c:v>
                </c:pt>
                <c:pt idx="7">
                  <c:v>STOPPPER</c:v>
                </c:pt>
                <c:pt idx="8">
                  <c:v>BASE</c:v>
                </c:pt>
                <c:pt idx="9">
                  <c:v>BLOCK</c:v>
                </c:pt>
                <c:pt idx="10">
                  <c:v>BASE</c:v>
                </c:pt>
                <c:pt idx="11">
                  <c:v>COVER</c:v>
                </c:pt>
                <c:pt idx="12">
                  <c:v>BASE</c:v>
                </c:pt>
                <c:pt idx="16">
                  <c:v>LEAD GUIDE</c:v>
                </c:pt>
                <c:pt idx="17">
                  <c:v>LATCH PLATE</c:v>
                </c:pt>
                <c:pt idx="18">
                  <c:v>ACTUATOR</c:v>
                </c:pt>
                <c:pt idx="23">
                  <c:v>SLIDER</c:v>
                </c:pt>
                <c:pt idx="24">
                  <c:v>SLIDER</c:v>
                </c:pt>
                <c:pt idx="25">
                  <c:v>COVER</c:v>
                </c:pt>
                <c:pt idx="26">
                  <c:v>BASE</c:v>
                </c:pt>
              </c:strCache>
            </c:strRef>
          </c:cat>
          <c:val>
            <c:numRef>
              <c:f>'09'!$AE$6:$AE$32</c:f>
              <c:numCache>
                <c:formatCode>0%</c:formatCode>
                <c:ptCount val="27"/>
                <c:pt idx="0">
                  <c:v>0.34567901234567905</c:v>
                </c:pt>
                <c:pt idx="1">
                  <c:v>0.34567901234567905</c:v>
                </c:pt>
                <c:pt idx="2">
                  <c:v>0.34567901234567905</c:v>
                </c:pt>
                <c:pt idx="3">
                  <c:v>0.34567901234567905</c:v>
                </c:pt>
                <c:pt idx="4">
                  <c:v>0.34567901234567905</c:v>
                </c:pt>
                <c:pt idx="5">
                  <c:v>0.34567901234567905</c:v>
                </c:pt>
                <c:pt idx="6">
                  <c:v>0.34567901234567905</c:v>
                </c:pt>
                <c:pt idx="7">
                  <c:v>0.34567901234567905</c:v>
                </c:pt>
                <c:pt idx="8">
                  <c:v>0.34567901234567905</c:v>
                </c:pt>
                <c:pt idx="9">
                  <c:v>0.34567901234567905</c:v>
                </c:pt>
                <c:pt idx="10">
                  <c:v>0.34567901234567905</c:v>
                </c:pt>
                <c:pt idx="11">
                  <c:v>0.34567901234567905</c:v>
                </c:pt>
                <c:pt idx="12">
                  <c:v>0.34567901234567905</c:v>
                </c:pt>
                <c:pt idx="13">
                  <c:v>0.34567901234567905</c:v>
                </c:pt>
                <c:pt idx="14">
                  <c:v>0.34567901234567905</c:v>
                </c:pt>
                <c:pt idx="15">
                  <c:v>0.34567901234567905</c:v>
                </c:pt>
                <c:pt idx="16">
                  <c:v>0.34567901234567905</c:v>
                </c:pt>
                <c:pt idx="17">
                  <c:v>0.34567901234567905</c:v>
                </c:pt>
                <c:pt idx="18">
                  <c:v>0.34567901234567905</c:v>
                </c:pt>
                <c:pt idx="19">
                  <c:v>0.34567901234567905</c:v>
                </c:pt>
                <c:pt idx="20">
                  <c:v>0.34567901234567905</c:v>
                </c:pt>
                <c:pt idx="21">
                  <c:v>0.34567901234567905</c:v>
                </c:pt>
                <c:pt idx="22">
                  <c:v>0.34567901234567905</c:v>
                </c:pt>
                <c:pt idx="23">
                  <c:v>0.34567901234567905</c:v>
                </c:pt>
                <c:pt idx="24">
                  <c:v>0.34567901234567905</c:v>
                </c:pt>
                <c:pt idx="25">
                  <c:v>0.34567901234567905</c:v>
                </c:pt>
                <c:pt idx="26">
                  <c:v>0.34567901234567905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79-4CD3-893F-3FD172FB3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'09'!$D$6:$D$32</c:f>
              <c:strCache>
                <c:ptCount val="27"/>
                <c:pt idx="0">
                  <c:v>ADAPTER</c:v>
                </c:pt>
                <c:pt idx="1">
                  <c:v>F/A</c:v>
                </c:pt>
                <c:pt idx="2">
                  <c:v>F/A</c:v>
                </c:pt>
                <c:pt idx="3">
                  <c:v>STOPPPER</c:v>
                </c:pt>
                <c:pt idx="4">
                  <c:v>SLIDER</c:v>
                </c:pt>
                <c:pt idx="5">
                  <c:v>BASE</c:v>
                </c:pt>
                <c:pt idx="6">
                  <c:v>COVER</c:v>
                </c:pt>
                <c:pt idx="7">
                  <c:v>STOPPPER</c:v>
                </c:pt>
                <c:pt idx="8">
                  <c:v>BASE</c:v>
                </c:pt>
                <c:pt idx="9">
                  <c:v>BLOCK</c:v>
                </c:pt>
                <c:pt idx="10">
                  <c:v>BASE</c:v>
                </c:pt>
                <c:pt idx="11">
                  <c:v>COVER</c:v>
                </c:pt>
                <c:pt idx="12">
                  <c:v>BASE</c:v>
                </c:pt>
                <c:pt idx="16">
                  <c:v>LEAD GUIDE</c:v>
                </c:pt>
                <c:pt idx="17">
                  <c:v>LATCH PLATE</c:v>
                </c:pt>
                <c:pt idx="18">
                  <c:v>ACTUATOR</c:v>
                </c:pt>
                <c:pt idx="23">
                  <c:v>SLIDER</c:v>
                </c:pt>
                <c:pt idx="24">
                  <c:v>SLIDER</c:v>
                </c:pt>
                <c:pt idx="25">
                  <c:v>COVER</c:v>
                </c:pt>
                <c:pt idx="26">
                  <c:v>BASE</c:v>
                </c:pt>
              </c:strCache>
            </c:strRef>
          </c:cat>
          <c:val>
            <c:numRef>
              <c:f>'09'!$L$6:$L$32</c:f>
              <c:numCache>
                <c:formatCode>_(* #,##0_);_(* \(#,##0\);_(* "-"_);_(@_)</c:formatCode>
                <c:ptCount val="27"/>
                <c:pt idx="0">
                  <c:v>2738</c:v>
                </c:pt>
                <c:pt idx="1">
                  <c:v>632</c:v>
                </c:pt>
                <c:pt idx="2">
                  <c:v>371</c:v>
                </c:pt>
                <c:pt idx="3">
                  <c:v>30608</c:v>
                </c:pt>
                <c:pt idx="4">
                  <c:v>859</c:v>
                </c:pt>
                <c:pt idx="5">
                  <c:v>475</c:v>
                </c:pt>
                <c:pt idx="6">
                  <c:v>417</c:v>
                </c:pt>
                <c:pt idx="7">
                  <c:v>0</c:v>
                </c:pt>
                <c:pt idx="8">
                  <c:v>5485</c:v>
                </c:pt>
                <c:pt idx="9">
                  <c:v>2491</c:v>
                </c:pt>
                <c:pt idx="12">
                  <c:v>2314</c:v>
                </c:pt>
                <c:pt idx="13">
                  <c:v>5374</c:v>
                </c:pt>
                <c:pt idx="14">
                  <c:v>2116</c:v>
                </c:pt>
                <c:pt idx="15">
                  <c:v>650</c:v>
                </c:pt>
                <c:pt idx="16">
                  <c:v>300</c:v>
                </c:pt>
                <c:pt idx="17">
                  <c:v>800</c:v>
                </c:pt>
                <c:pt idx="18">
                  <c:v>5079</c:v>
                </c:pt>
                <c:pt idx="19">
                  <c:v>6044</c:v>
                </c:pt>
                <c:pt idx="23">
                  <c:v>4387</c:v>
                </c:pt>
                <c:pt idx="24">
                  <c:v>9988</c:v>
                </c:pt>
                <c:pt idx="25">
                  <c:v>11600</c:v>
                </c:pt>
                <c:pt idx="26">
                  <c:v>23996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E5-4D17-9896-8BB724B76A60}"/>
            </c:ext>
          </c:extLst>
        </c:ser>
        <c:ser>
          <c:idx val="1"/>
          <c:order val="1"/>
          <c:tx>
            <c:v>계획</c:v>
          </c:tx>
          <c:cat>
            <c:strRef>
              <c:f>'09'!$D$6:$D$32</c:f>
              <c:strCache>
                <c:ptCount val="27"/>
                <c:pt idx="0">
                  <c:v>ADAPTER</c:v>
                </c:pt>
                <c:pt idx="1">
                  <c:v>F/A</c:v>
                </c:pt>
                <c:pt idx="2">
                  <c:v>F/A</c:v>
                </c:pt>
                <c:pt idx="3">
                  <c:v>STOPPPER</c:v>
                </c:pt>
                <c:pt idx="4">
                  <c:v>SLIDER</c:v>
                </c:pt>
                <c:pt idx="5">
                  <c:v>BASE</c:v>
                </c:pt>
                <c:pt idx="6">
                  <c:v>COVER</c:v>
                </c:pt>
                <c:pt idx="7">
                  <c:v>STOPPPER</c:v>
                </c:pt>
                <c:pt idx="8">
                  <c:v>BASE</c:v>
                </c:pt>
                <c:pt idx="9">
                  <c:v>BLOCK</c:v>
                </c:pt>
                <c:pt idx="10">
                  <c:v>BASE</c:v>
                </c:pt>
                <c:pt idx="11">
                  <c:v>COVER</c:v>
                </c:pt>
                <c:pt idx="12">
                  <c:v>BASE</c:v>
                </c:pt>
                <c:pt idx="16">
                  <c:v>LEAD GUIDE</c:v>
                </c:pt>
                <c:pt idx="17">
                  <c:v>LATCH PLATE</c:v>
                </c:pt>
                <c:pt idx="18">
                  <c:v>ACTUATOR</c:v>
                </c:pt>
                <c:pt idx="23">
                  <c:v>SLIDER</c:v>
                </c:pt>
                <c:pt idx="24">
                  <c:v>SLIDER</c:v>
                </c:pt>
                <c:pt idx="25">
                  <c:v>COVER</c:v>
                </c:pt>
                <c:pt idx="26">
                  <c:v>BASE</c:v>
                </c:pt>
              </c:strCache>
            </c:strRef>
          </c:cat>
          <c:val>
            <c:numRef>
              <c:f>'09'!$J$6:$J$32</c:f>
              <c:numCache>
                <c:formatCode>_(* #,##0_);_(* \(#,##0\);_(* "-"_);_(@_)</c:formatCode>
                <c:ptCount val="27"/>
                <c:pt idx="0">
                  <c:v>2738</c:v>
                </c:pt>
                <c:pt idx="1">
                  <c:v>632</c:v>
                </c:pt>
                <c:pt idx="2">
                  <c:v>371</c:v>
                </c:pt>
                <c:pt idx="3">
                  <c:v>30608</c:v>
                </c:pt>
                <c:pt idx="4">
                  <c:v>859</c:v>
                </c:pt>
                <c:pt idx="5">
                  <c:v>475</c:v>
                </c:pt>
                <c:pt idx="6">
                  <c:v>417</c:v>
                </c:pt>
                <c:pt idx="7">
                  <c:v>2000</c:v>
                </c:pt>
                <c:pt idx="8">
                  <c:v>5485</c:v>
                </c:pt>
                <c:pt idx="9">
                  <c:v>2491</c:v>
                </c:pt>
                <c:pt idx="10">
                  <c:v>800</c:v>
                </c:pt>
                <c:pt idx="11">
                  <c:v>12356</c:v>
                </c:pt>
                <c:pt idx="12">
                  <c:v>2314</c:v>
                </c:pt>
                <c:pt idx="13">
                  <c:v>5374</c:v>
                </c:pt>
                <c:pt idx="14">
                  <c:v>2116</c:v>
                </c:pt>
                <c:pt idx="15">
                  <c:v>650</c:v>
                </c:pt>
                <c:pt idx="16">
                  <c:v>300</c:v>
                </c:pt>
                <c:pt idx="17">
                  <c:v>800</c:v>
                </c:pt>
                <c:pt idx="18">
                  <c:v>5079</c:v>
                </c:pt>
                <c:pt idx="19">
                  <c:v>6044</c:v>
                </c:pt>
                <c:pt idx="20">
                  <c:v>34220</c:v>
                </c:pt>
                <c:pt idx="21">
                  <c:v>0</c:v>
                </c:pt>
                <c:pt idx="22">
                  <c:v>0</c:v>
                </c:pt>
                <c:pt idx="23">
                  <c:v>4387</c:v>
                </c:pt>
                <c:pt idx="24">
                  <c:v>9988</c:v>
                </c:pt>
                <c:pt idx="25">
                  <c:v>11600</c:v>
                </c:pt>
                <c:pt idx="26">
                  <c:v>23996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E5-4D17-9896-8BB724B76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'09'!$AD$6:$AD$32</c:f>
              <c:strCache>
                <c:ptCount val="27"/>
                <c:pt idx="0">
                  <c:v>25%</c:v>
                </c:pt>
                <c:pt idx="1">
                  <c:v>13%</c:v>
                </c:pt>
                <c:pt idx="2">
                  <c:v>8%</c:v>
                </c:pt>
                <c:pt idx="3">
                  <c:v>100%</c:v>
                </c:pt>
                <c:pt idx="4">
                  <c:v>17%</c:v>
                </c:pt>
                <c:pt idx="5">
                  <c:v>13%</c:v>
                </c:pt>
                <c:pt idx="6">
                  <c:v>13%</c:v>
                </c:pt>
                <c:pt idx="7">
                  <c:v>0%</c:v>
                </c:pt>
                <c:pt idx="8">
                  <c:v>100%</c:v>
                </c:pt>
                <c:pt idx="9">
                  <c:v>50%</c:v>
                </c:pt>
                <c:pt idx="10">
                  <c:v>0%</c:v>
                </c:pt>
                <c:pt idx="11">
                  <c:v>0%</c:v>
                </c:pt>
                <c:pt idx="12">
                  <c:v>25%</c:v>
                </c:pt>
                <c:pt idx="13">
                  <c:v>58%</c:v>
                </c:pt>
                <c:pt idx="14">
                  <c:v>29%</c:v>
                </c:pt>
                <c:pt idx="15">
                  <c:v>17%</c:v>
                </c:pt>
                <c:pt idx="16">
                  <c:v>13%</c:v>
                </c:pt>
                <c:pt idx="17">
                  <c:v>17%</c:v>
                </c:pt>
                <c:pt idx="18">
                  <c:v>100%</c:v>
                </c:pt>
                <c:pt idx="19">
                  <c:v>100%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79%</c:v>
                </c:pt>
                <c:pt idx="24">
                  <c:v>29%</c:v>
                </c:pt>
                <c:pt idx="25">
                  <c:v>38%</c:v>
                </c:pt>
                <c:pt idx="26">
                  <c:v>92%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'09'!$D$6:$D$32</c:f>
              <c:strCache>
                <c:ptCount val="27"/>
                <c:pt idx="0">
                  <c:v>ADAPTER</c:v>
                </c:pt>
                <c:pt idx="1">
                  <c:v>F/A</c:v>
                </c:pt>
                <c:pt idx="2">
                  <c:v>F/A</c:v>
                </c:pt>
                <c:pt idx="3">
                  <c:v>STOPPPER</c:v>
                </c:pt>
                <c:pt idx="4">
                  <c:v>SLIDER</c:v>
                </c:pt>
                <c:pt idx="5">
                  <c:v>BASE</c:v>
                </c:pt>
                <c:pt idx="6">
                  <c:v>COVER</c:v>
                </c:pt>
                <c:pt idx="7">
                  <c:v>STOPPPER</c:v>
                </c:pt>
                <c:pt idx="8">
                  <c:v>BASE</c:v>
                </c:pt>
                <c:pt idx="9">
                  <c:v>BLOCK</c:v>
                </c:pt>
                <c:pt idx="10">
                  <c:v>BASE</c:v>
                </c:pt>
                <c:pt idx="11">
                  <c:v>COVER</c:v>
                </c:pt>
                <c:pt idx="12">
                  <c:v>BASE</c:v>
                </c:pt>
                <c:pt idx="16">
                  <c:v>LEAD GUIDE</c:v>
                </c:pt>
                <c:pt idx="17">
                  <c:v>LATCH PLATE</c:v>
                </c:pt>
                <c:pt idx="18">
                  <c:v>ACTUATOR</c:v>
                </c:pt>
                <c:pt idx="23">
                  <c:v>SLIDER</c:v>
                </c:pt>
                <c:pt idx="24">
                  <c:v>SLIDER</c:v>
                </c:pt>
                <c:pt idx="25">
                  <c:v>COVER</c:v>
                </c:pt>
                <c:pt idx="26">
                  <c:v>BASE</c:v>
                </c:pt>
              </c:strCache>
            </c:strRef>
          </c:cat>
          <c:val>
            <c:numRef>
              <c:f>'09'!$AD$6:$AD$32</c:f>
              <c:numCache>
                <c:formatCode>0%</c:formatCode>
                <c:ptCount val="27"/>
                <c:pt idx="0">
                  <c:v>0.25</c:v>
                </c:pt>
                <c:pt idx="1">
                  <c:v>0.125</c:v>
                </c:pt>
                <c:pt idx="2">
                  <c:v>8.3333333333333329E-2</c:v>
                </c:pt>
                <c:pt idx="3">
                  <c:v>1</c:v>
                </c:pt>
                <c:pt idx="4">
                  <c:v>0.16666666666666666</c:v>
                </c:pt>
                <c:pt idx="5">
                  <c:v>0.125</c:v>
                </c:pt>
                <c:pt idx="6">
                  <c:v>0.125</c:v>
                </c:pt>
                <c:pt idx="7">
                  <c:v>0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  <c:pt idx="11">
                  <c:v>0</c:v>
                </c:pt>
                <c:pt idx="12">
                  <c:v>0.25</c:v>
                </c:pt>
                <c:pt idx="13">
                  <c:v>0.58333333333333337</c:v>
                </c:pt>
                <c:pt idx="14">
                  <c:v>0.29166666666666669</c:v>
                </c:pt>
                <c:pt idx="15">
                  <c:v>0.16666666666666666</c:v>
                </c:pt>
                <c:pt idx="16">
                  <c:v>0.125</c:v>
                </c:pt>
                <c:pt idx="17">
                  <c:v>0.16666666666666666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0.79166666666666663</c:v>
                </c:pt>
                <c:pt idx="24">
                  <c:v>0.29166666666666669</c:v>
                </c:pt>
                <c:pt idx="25">
                  <c:v>0.375</c:v>
                </c:pt>
                <c:pt idx="26">
                  <c:v>0.91666666666666663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DE-44A1-8676-C5B51AD8B37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8DE-44A1-8676-C5B51AD8B37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'09'!$D$6:$D$32</c:f>
              <c:strCache>
                <c:ptCount val="27"/>
                <c:pt idx="0">
                  <c:v>ADAPTER</c:v>
                </c:pt>
                <c:pt idx="1">
                  <c:v>F/A</c:v>
                </c:pt>
                <c:pt idx="2">
                  <c:v>F/A</c:v>
                </c:pt>
                <c:pt idx="3">
                  <c:v>STOPPPER</c:v>
                </c:pt>
                <c:pt idx="4">
                  <c:v>SLIDER</c:v>
                </c:pt>
                <c:pt idx="5">
                  <c:v>BASE</c:v>
                </c:pt>
                <c:pt idx="6">
                  <c:v>COVER</c:v>
                </c:pt>
                <c:pt idx="7">
                  <c:v>STOPPPER</c:v>
                </c:pt>
                <c:pt idx="8">
                  <c:v>BASE</c:v>
                </c:pt>
                <c:pt idx="9">
                  <c:v>BLOCK</c:v>
                </c:pt>
                <c:pt idx="10">
                  <c:v>BASE</c:v>
                </c:pt>
                <c:pt idx="11">
                  <c:v>COVER</c:v>
                </c:pt>
                <c:pt idx="12">
                  <c:v>BASE</c:v>
                </c:pt>
                <c:pt idx="16">
                  <c:v>LEAD GUIDE</c:v>
                </c:pt>
                <c:pt idx="17">
                  <c:v>LATCH PLATE</c:v>
                </c:pt>
                <c:pt idx="18">
                  <c:v>ACTUATOR</c:v>
                </c:pt>
                <c:pt idx="23">
                  <c:v>SLIDER</c:v>
                </c:pt>
                <c:pt idx="24">
                  <c:v>SLIDER</c:v>
                </c:pt>
                <c:pt idx="25">
                  <c:v>COVER</c:v>
                </c:pt>
                <c:pt idx="26">
                  <c:v>BASE</c:v>
                </c:pt>
              </c:strCache>
            </c:strRef>
          </c:cat>
          <c:val>
            <c:numRef>
              <c:f>'09'!$AE$6:$AE$32</c:f>
              <c:numCache>
                <c:formatCode>0%</c:formatCode>
                <c:ptCount val="27"/>
                <c:pt idx="0">
                  <c:v>0.34567901234567905</c:v>
                </c:pt>
                <c:pt idx="1">
                  <c:v>0.34567901234567905</c:v>
                </c:pt>
                <c:pt idx="2">
                  <c:v>0.34567901234567905</c:v>
                </c:pt>
                <c:pt idx="3">
                  <c:v>0.34567901234567905</c:v>
                </c:pt>
                <c:pt idx="4">
                  <c:v>0.34567901234567905</c:v>
                </c:pt>
                <c:pt idx="5">
                  <c:v>0.34567901234567905</c:v>
                </c:pt>
                <c:pt idx="6">
                  <c:v>0.34567901234567905</c:v>
                </c:pt>
                <c:pt idx="7">
                  <c:v>0.34567901234567905</c:v>
                </c:pt>
                <c:pt idx="8">
                  <c:v>0.34567901234567905</c:v>
                </c:pt>
                <c:pt idx="9">
                  <c:v>0.34567901234567905</c:v>
                </c:pt>
                <c:pt idx="10">
                  <c:v>0.34567901234567905</c:v>
                </c:pt>
                <c:pt idx="11">
                  <c:v>0.34567901234567905</c:v>
                </c:pt>
                <c:pt idx="12">
                  <c:v>0.34567901234567905</c:v>
                </c:pt>
                <c:pt idx="13">
                  <c:v>0.34567901234567905</c:v>
                </c:pt>
                <c:pt idx="14">
                  <c:v>0.34567901234567905</c:v>
                </c:pt>
                <c:pt idx="15">
                  <c:v>0.34567901234567905</c:v>
                </c:pt>
                <c:pt idx="16">
                  <c:v>0.34567901234567905</c:v>
                </c:pt>
                <c:pt idx="17">
                  <c:v>0.34567901234567905</c:v>
                </c:pt>
                <c:pt idx="18">
                  <c:v>0.34567901234567905</c:v>
                </c:pt>
                <c:pt idx="19">
                  <c:v>0.34567901234567905</c:v>
                </c:pt>
                <c:pt idx="20">
                  <c:v>0.34567901234567905</c:v>
                </c:pt>
                <c:pt idx="21">
                  <c:v>0.34567901234567905</c:v>
                </c:pt>
                <c:pt idx="22">
                  <c:v>0.34567901234567905</c:v>
                </c:pt>
                <c:pt idx="23">
                  <c:v>0.34567901234567905</c:v>
                </c:pt>
                <c:pt idx="24">
                  <c:v>0.34567901234567905</c:v>
                </c:pt>
                <c:pt idx="25">
                  <c:v>0.34567901234567905</c:v>
                </c:pt>
                <c:pt idx="26">
                  <c:v>0.34567901234567905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DE-44A1-8676-C5B51AD8B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7EC-45F3-B190-C04B391A21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0.68147728498178428</c:v>
                </c:pt>
                <c:pt idx="1">
                  <c:v>0.64962121212121204</c:v>
                </c:pt>
                <c:pt idx="2">
                  <c:v>0.37121212121212116</c:v>
                </c:pt>
                <c:pt idx="4">
                  <c:v>0.47282608695652184</c:v>
                </c:pt>
                <c:pt idx="5">
                  <c:v>0.55303030303030298</c:v>
                </c:pt>
                <c:pt idx="6">
                  <c:v>0.45833333333333331</c:v>
                </c:pt>
                <c:pt idx="7">
                  <c:v>0.47282608695652173</c:v>
                </c:pt>
                <c:pt idx="8">
                  <c:v>0.34567901234567905</c:v>
                </c:pt>
                <c:pt idx="9">
                  <c:v>0.41098484848484856</c:v>
                </c:pt>
                <c:pt idx="11">
                  <c:v>0.36742424242424243</c:v>
                </c:pt>
                <c:pt idx="12">
                  <c:v>0.48863636363636354</c:v>
                </c:pt>
                <c:pt idx="13">
                  <c:v>0.59000470952885553</c:v>
                </c:pt>
                <c:pt idx="14">
                  <c:v>0.58712121212121204</c:v>
                </c:pt>
                <c:pt idx="15">
                  <c:v>0.53462982364239564</c:v>
                </c:pt>
                <c:pt idx="16">
                  <c:v>0.45075757575757575</c:v>
                </c:pt>
                <c:pt idx="18">
                  <c:v>0.54356060606060608</c:v>
                </c:pt>
                <c:pt idx="19">
                  <c:v>0.39855072463768115</c:v>
                </c:pt>
                <c:pt idx="20">
                  <c:v>0.29347826086956524</c:v>
                </c:pt>
                <c:pt idx="21">
                  <c:v>0.45619957956867979</c:v>
                </c:pt>
                <c:pt idx="22">
                  <c:v>0.56060606060606066</c:v>
                </c:pt>
                <c:pt idx="23">
                  <c:v>0.45108695652173914</c:v>
                </c:pt>
                <c:pt idx="25">
                  <c:v>0.41493055555555552</c:v>
                </c:pt>
                <c:pt idx="26">
                  <c:v>0.53598484848484851</c:v>
                </c:pt>
                <c:pt idx="27">
                  <c:v>0.43560606060606055</c:v>
                </c:pt>
                <c:pt idx="28">
                  <c:v>0.42234848484848481</c:v>
                </c:pt>
                <c:pt idx="29">
                  <c:v>0.42529900929110415</c:v>
                </c:pt>
                <c:pt idx="31">
                  <c:v>0.41240717878611177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EC-45F3-B190-C04B391A2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7EC-45F3-B190-C04B391A21B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EC-45F3-B190-C04B391A2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'10'!$D$6:$D$27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3">
                  <c:v>SLIDER</c:v>
                </c:pt>
                <c:pt idx="4">
                  <c:v>COVER</c:v>
                </c:pt>
                <c:pt idx="5">
                  <c:v>STOPPPER</c:v>
                </c:pt>
                <c:pt idx="6">
                  <c:v>BASE</c:v>
                </c:pt>
                <c:pt idx="7">
                  <c:v>BLOCK</c:v>
                </c:pt>
                <c:pt idx="8">
                  <c:v>BASE</c:v>
                </c:pt>
                <c:pt idx="9">
                  <c:v>COVER</c:v>
                </c:pt>
                <c:pt idx="11">
                  <c:v>SLIDER</c:v>
                </c:pt>
                <c:pt idx="12">
                  <c:v>LID</c:v>
                </c:pt>
                <c:pt idx="13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'10'!$L$6:$L$27</c:f>
              <c:numCache>
                <c:formatCode>_(* #,##0_);_(* \(#,##0\);_(* "-"_);_(@_)</c:formatCode>
                <c:ptCount val="22"/>
                <c:pt idx="2">
                  <c:v>15564</c:v>
                </c:pt>
                <c:pt idx="3">
                  <c:v>4071</c:v>
                </c:pt>
                <c:pt idx="6">
                  <c:v>5319</c:v>
                </c:pt>
                <c:pt idx="7">
                  <c:v>3466</c:v>
                </c:pt>
                <c:pt idx="10">
                  <c:v>11888</c:v>
                </c:pt>
                <c:pt idx="11">
                  <c:v>16239</c:v>
                </c:pt>
                <c:pt idx="13">
                  <c:v>5307</c:v>
                </c:pt>
                <c:pt idx="14">
                  <c:v>6308</c:v>
                </c:pt>
                <c:pt idx="18">
                  <c:v>7770</c:v>
                </c:pt>
                <c:pt idx="21">
                  <c:v>23096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5F-4ABE-BE1A-57E5A659AE05}"/>
            </c:ext>
          </c:extLst>
        </c:ser>
        <c:ser>
          <c:idx val="1"/>
          <c:order val="1"/>
          <c:tx>
            <c:v>계획</c:v>
          </c:tx>
          <c:cat>
            <c:strRef>
              <c:f>'10'!$D$6:$D$27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3">
                  <c:v>SLIDER</c:v>
                </c:pt>
                <c:pt idx="4">
                  <c:v>COVER</c:v>
                </c:pt>
                <c:pt idx="5">
                  <c:v>STOPPPER</c:v>
                </c:pt>
                <c:pt idx="6">
                  <c:v>BASE</c:v>
                </c:pt>
                <c:pt idx="7">
                  <c:v>BLOCK</c:v>
                </c:pt>
                <c:pt idx="8">
                  <c:v>BASE</c:v>
                </c:pt>
                <c:pt idx="9">
                  <c:v>COVER</c:v>
                </c:pt>
                <c:pt idx="11">
                  <c:v>SLIDER</c:v>
                </c:pt>
                <c:pt idx="12">
                  <c:v>LID</c:v>
                </c:pt>
                <c:pt idx="13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'10'!$J$6:$J$27</c:f>
              <c:numCache>
                <c:formatCode>_(* #,##0_);_(* \(#,##0\);_(* "-"_);_(@_)</c:formatCode>
                <c:ptCount val="22"/>
                <c:pt idx="0">
                  <c:v>2738</c:v>
                </c:pt>
                <c:pt idx="1">
                  <c:v>632</c:v>
                </c:pt>
                <c:pt idx="2">
                  <c:v>15564</c:v>
                </c:pt>
                <c:pt idx="3">
                  <c:v>4071</c:v>
                </c:pt>
                <c:pt idx="4">
                  <c:v>417</c:v>
                </c:pt>
                <c:pt idx="5">
                  <c:v>2000</c:v>
                </c:pt>
                <c:pt idx="6">
                  <c:v>5319</c:v>
                </c:pt>
                <c:pt idx="7">
                  <c:v>3466</c:v>
                </c:pt>
                <c:pt idx="8">
                  <c:v>800</c:v>
                </c:pt>
                <c:pt idx="9">
                  <c:v>12356</c:v>
                </c:pt>
                <c:pt idx="10">
                  <c:v>11888</c:v>
                </c:pt>
                <c:pt idx="11">
                  <c:v>16239</c:v>
                </c:pt>
                <c:pt idx="12">
                  <c:v>800</c:v>
                </c:pt>
                <c:pt idx="13">
                  <c:v>5307</c:v>
                </c:pt>
                <c:pt idx="14">
                  <c:v>6308</c:v>
                </c:pt>
                <c:pt idx="15">
                  <c:v>34220</c:v>
                </c:pt>
                <c:pt idx="16">
                  <c:v>0</c:v>
                </c:pt>
                <c:pt idx="17">
                  <c:v>0</c:v>
                </c:pt>
                <c:pt idx="18">
                  <c:v>7770</c:v>
                </c:pt>
                <c:pt idx="19">
                  <c:v>9988</c:v>
                </c:pt>
                <c:pt idx="20">
                  <c:v>11600</c:v>
                </c:pt>
                <c:pt idx="21">
                  <c:v>23096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5F-4ABE-BE1A-57E5A659A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'10'!$AD$6:$AD$27</c:f>
              <c:strCache>
                <c:ptCount val="22"/>
                <c:pt idx="0">
                  <c:v>0%</c:v>
                </c:pt>
                <c:pt idx="1">
                  <c:v>0%</c:v>
                </c:pt>
                <c:pt idx="2">
                  <c:v>54%</c:v>
                </c:pt>
                <c:pt idx="3">
                  <c:v>88%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83%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92%</c:v>
                </c:pt>
                <c:pt idx="12">
                  <c:v>0%</c:v>
                </c:pt>
                <c:pt idx="13">
                  <c:v>100%</c:v>
                </c:pt>
                <c:pt idx="14">
                  <c:v>100%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100%</c:v>
                </c:pt>
                <c:pt idx="19">
                  <c:v>0%</c:v>
                </c:pt>
                <c:pt idx="20">
                  <c:v>0%</c:v>
                </c:pt>
                <c:pt idx="21">
                  <c:v>88%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'10'!$D$6:$D$27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3">
                  <c:v>SLIDER</c:v>
                </c:pt>
                <c:pt idx="4">
                  <c:v>COVER</c:v>
                </c:pt>
                <c:pt idx="5">
                  <c:v>STOPPPER</c:v>
                </c:pt>
                <c:pt idx="6">
                  <c:v>BASE</c:v>
                </c:pt>
                <c:pt idx="7">
                  <c:v>BLOCK</c:v>
                </c:pt>
                <c:pt idx="8">
                  <c:v>BASE</c:v>
                </c:pt>
                <c:pt idx="9">
                  <c:v>COVER</c:v>
                </c:pt>
                <c:pt idx="11">
                  <c:v>SLIDER</c:v>
                </c:pt>
                <c:pt idx="12">
                  <c:v>LID</c:v>
                </c:pt>
                <c:pt idx="13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'10'!$AD$6:$AD$27</c:f>
              <c:numCache>
                <c:formatCode>0%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0.54166666666666663</c:v>
                </c:pt>
                <c:pt idx="3">
                  <c:v>0.875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0.83333333333333337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0.91666666666666663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AB-40FE-8A40-CD9F66DBF88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BAB-40FE-8A40-CD9F66DBF88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'10'!$D$6:$D$27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3">
                  <c:v>SLIDER</c:v>
                </c:pt>
                <c:pt idx="4">
                  <c:v>COVER</c:v>
                </c:pt>
                <c:pt idx="5">
                  <c:v>STOPPPER</c:v>
                </c:pt>
                <c:pt idx="6">
                  <c:v>BASE</c:v>
                </c:pt>
                <c:pt idx="7">
                  <c:v>BLOCK</c:v>
                </c:pt>
                <c:pt idx="8">
                  <c:v>BASE</c:v>
                </c:pt>
                <c:pt idx="9">
                  <c:v>COVER</c:v>
                </c:pt>
                <c:pt idx="11">
                  <c:v>SLIDER</c:v>
                </c:pt>
                <c:pt idx="12">
                  <c:v>LID</c:v>
                </c:pt>
                <c:pt idx="13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'10'!$AE$6:$AE$27</c:f>
              <c:numCache>
                <c:formatCode>0%</c:formatCode>
                <c:ptCount val="22"/>
                <c:pt idx="0">
                  <c:v>0.41098484848484856</c:v>
                </c:pt>
                <c:pt idx="1">
                  <c:v>0.41098484848484856</c:v>
                </c:pt>
                <c:pt idx="2">
                  <c:v>0.41098484848484856</c:v>
                </c:pt>
                <c:pt idx="3">
                  <c:v>0.41098484848484856</c:v>
                </c:pt>
                <c:pt idx="4">
                  <c:v>0.41098484848484856</c:v>
                </c:pt>
                <c:pt idx="5">
                  <c:v>0.41098484848484856</c:v>
                </c:pt>
                <c:pt idx="6">
                  <c:v>0.41098484848484856</c:v>
                </c:pt>
                <c:pt idx="7">
                  <c:v>0.41098484848484856</c:v>
                </c:pt>
                <c:pt idx="8">
                  <c:v>0.41098484848484856</c:v>
                </c:pt>
                <c:pt idx="9">
                  <c:v>0.41098484848484856</c:v>
                </c:pt>
                <c:pt idx="10">
                  <c:v>0.41098484848484856</c:v>
                </c:pt>
                <c:pt idx="11">
                  <c:v>0.41098484848484856</c:v>
                </c:pt>
                <c:pt idx="12">
                  <c:v>0.41098484848484856</c:v>
                </c:pt>
                <c:pt idx="13">
                  <c:v>0.41098484848484856</c:v>
                </c:pt>
                <c:pt idx="14">
                  <c:v>0.41098484848484856</c:v>
                </c:pt>
                <c:pt idx="15">
                  <c:v>0.41098484848484856</c:v>
                </c:pt>
                <c:pt idx="16">
                  <c:v>0.41098484848484856</c:v>
                </c:pt>
                <c:pt idx="17">
                  <c:v>0.41098484848484856</c:v>
                </c:pt>
                <c:pt idx="18">
                  <c:v>0.41098484848484856</c:v>
                </c:pt>
                <c:pt idx="19">
                  <c:v>0.41098484848484856</c:v>
                </c:pt>
                <c:pt idx="20">
                  <c:v>0.41098484848484856</c:v>
                </c:pt>
                <c:pt idx="21">
                  <c:v>0.41098484848484856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AB-40FE-8A40-CD9F66DBF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'10'!$D$6:$D$27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3">
                  <c:v>SLIDER</c:v>
                </c:pt>
                <c:pt idx="4">
                  <c:v>COVER</c:v>
                </c:pt>
                <c:pt idx="5">
                  <c:v>STOPPPER</c:v>
                </c:pt>
                <c:pt idx="6">
                  <c:v>BASE</c:v>
                </c:pt>
                <c:pt idx="7">
                  <c:v>BLOCK</c:v>
                </c:pt>
                <c:pt idx="8">
                  <c:v>BASE</c:v>
                </c:pt>
                <c:pt idx="9">
                  <c:v>COVER</c:v>
                </c:pt>
                <c:pt idx="11">
                  <c:v>SLIDER</c:v>
                </c:pt>
                <c:pt idx="12">
                  <c:v>LID</c:v>
                </c:pt>
                <c:pt idx="13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'10'!$L$6:$L$27</c:f>
              <c:numCache>
                <c:formatCode>_(* #,##0_);_(* \(#,##0\);_(* "-"_);_(@_)</c:formatCode>
                <c:ptCount val="22"/>
                <c:pt idx="2">
                  <c:v>15564</c:v>
                </c:pt>
                <c:pt idx="3">
                  <c:v>4071</c:v>
                </c:pt>
                <c:pt idx="6">
                  <c:v>5319</c:v>
                </c:pt>
                <c:pt idx="7">
                  <c:v>3466</c:v>
                </c:pt>
                <c:pt idx="10">
                  <c:v>11888</c:v>
                </c:pt>
                <c:pt idx="11">
                  <c:v>16239</c:v>
                </c:pt>
                <c:pt idx="13">
                  <c:v>5307</c:v>
                </c:pt>
                <c:pt idx="14">
                  <c:v>6308</c:v>
                </c:pt>
                <c:pt idx="18">
                  <c:v>7770</c:v>
                </c:pt>
                <c:pt idx="21">
                  <c:v>23096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04-442B-B1F7-DA8E9E0912A5}"/>
            </c:ext>
          </c:extLst>
        </c:ser>
        <c:ser>
          <c:idx val="1"/>
          <c:order val="1"/>
          <c:tx>
            <c:v>계획</c:v>
          </c:tx>
          <c:cat>
            <c:strRef>
              <c:f>'10'!$D$6:$D$27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3">
                  <c:v>SLIDER</c:v>
                </c:pt>
                <c:pt idx="4">
                  <c:v>COVER</c:v>
                </c:pt>
                <c:pt idx="5">
                  <c:v>STOPPPER</c:v>
                </c:pt>
                <c:pt idx="6">
                  <c:v>BASE</c:v>
                </c:pt>
                <c:pt idx="7">
                  <c:v>BLOCK</c:v>
                </c:pt>
                <c:pt idx="8">
                  <c:v>BASE</c:v>
                </c:pt>
                <c:pt idx="9">
                  <c:v>COVER</c:v>
                </c:pt>
                <c:pt idx="11">
                  <c:v>SLIDER</c:v>
                </c:pt>
                <c:pt idx="12">
                  <c:v>LID</c:v>
                </c:pt>
                <c:pt idx="13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'10'!$J$6:$J$27</c:f>
              <c:numCache>
                <c:formatCode>_(* #,##0_);_(* \(#,##0\);_(* "-"_);_(@_)</c:formatCode>
                <c:ptCount val="22"/>
                <c:pt idx="0">
                  <c:v>2738</c:v>
                </c:pt>
                <c:pt idx="1">
                  <c:v>632</c:v>
                </c:pt>
                <c:pt idx="2">
                  <c:v>15564</c:v>
                </c:pt>
                <c:pt idx="3">
                  <c:v>4071</c:v>
                </c:pt>
                <c:pt idx="4">
                  <c:v>417</c:v>
                </c:pt>
                <c:pt idx="5">
                  <c:v>2000</c:v>
                </c:pt>
                <c:pt idx="6">
                  <c:v>5319</c:v>
                </c:pt>
                <c:pt idx="7">
                  <c:v>3466</c:v>
                </c:pt>
                <c:pt idx="8">
                  <c:v>800</c:v>
                </c:pt>
                <c:pt idx="9">
                  <c:v>12356</c:v>
                </c:pt>
                <c:pt idx="10">
                  <c:v>11888</c:v>
                </c:pt>
                <c:pt idx="11">
                  <c:v>16239</c:v>
                </c:pt>
                <c:pt idx="12">
                  <c:v>800</c:v>
                </c:pt>
                <c:pt idx="13">
                  <c:v>5307</c:v>
                </c:pt>
                <c:pt idx="14">
                  <c:v>6308</c:v>
                </c:pt>
                <c:pt idx="15">
                  <c:v>34220</c:v>
                </c:pt>
                <c:pt idx="16">
                  <c:v>0</c:v>
                </c:pt>
                <c:pt idx="17">
                  <c:v>0</c:v>
                </c:pt>
                <c:pt idx="18">
                  <c:v>7770</c:v>
                </c:pt>
                <c:pt idx="19">
                  <c:v>9988</c:v>
                </c:pt>
                <c:pt idx="20">
                  <c:v>11600</c:v>
                </c:pt>
                <c:pt idx="21">
                  <c:v>23096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04-442B-B1F7-DA8E9E091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'10'!$AD$6:$AD$27</c:f>
              <c:strCache>
                <c:ptCount val="22"/>
                <c:pt idx="0">
                  <c:v>0%</c:v>
                </c:pt>
                <c:pt idx="1">
                  <c:v>0%</c:v>
                </c:pt>
                <c:pt idx="2">
                  <c:v>54%</c:v>
                </c:pt>
                <c:pt idx="3">
                  <c:v>88%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83%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92%</c:v>
                </c:pt>
                <c:pt idx="12">
                  <c:v>0%</c:v>
                </c:pt>
                <c:pt idx="13">
                  <c:v>100%</c:v>
                </c:pt>
                <c:pt idx="14">
                  <c:v>100%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100%</c:v>
                </c:pt>
                <c:pt idx="19">
                  <c:v>0%</c:v>
                </c:pt>
                <c:pt idx="20">
                  <c:v>0%</c:v>
                </c:pt>
                <c:pt idx="21">
                  <c:v>88%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'10'!$D$6:$D$27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3">
                  <c:v>SLIDER</c:v>
                </c:pt>
                <c:pt idx="4">
                  <c:v>COVER</c:v>
                </c:pt>
                <c:pt idx="5">
                  <c:v>STOPPPER</c:v>
                </c:pt>
                <c:pt idx="6">
                  <c:v>BASE</c:v>
                </c:pt>
                <c:pt idx="7">
                  <c:v>BLOCK</c:v>
                </c:pt>
                <c:pt idx="8">
                  <c:v>BASE</c:v>
                </c:pt>
                <c:pt idx="9">
                  <c:v>COVER</c:v>
                </c:pt>
                <c:pt idx="11">
                  <c:v>SLIDER</c:v>
                </c:pt>
                <c:pt idx="12">
                  <c:v>LID</c:v>
                </c:pt>
                <c:pt idx="13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'10'!$AD$6:$AD$27</c:f>
              <c:numCache>
                <c:formatCode>0%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0.54166666666666663</c:v>
                </c:pt>
                <c:pt idx="3">
                  <c:v>0.875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0.83333333333333337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0.91666666666666663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26-4E6F-A860-433061F9E53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626-4E6F-A860-433061F9E53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'10'!$D$6:$D$27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3">
                  <c:v>SLIDER</c:v>
                </c:pt>
                <c:pt idx="4">
                  <c:v>COVER</c:v>
                </c:pt>
                <c:pt idx="5">
                  <c:v>STOPPPER</c:v>
                </c:pt>
                <c:pt idx="6">
                  <c:v>BASE</c:v>
                </c:pt>
                <c:pt idx="7">
                  <c:v>BLOCK</c:v>
                </c:pt>
                <c:pt idx="8">
                  <c:v>BASE</c:v>
                </c:pt>
                <c:pt idx="9">
                  <c:v>COVER</c:v>
                </c:pt>
                <c:pt idx="11">
                  <c:v>SLIDER</c:v>
                </c:pt>
                <c:pt idx="12">
                  <c:v>LID</c:v>
                </c:pt>
                <c:pt idx="13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'10'!$AE$6:$AE$27</c:f>
              <c:numCache>
                <c:formatCode>0%</c:formatCode>
                <c:ptCount val="22"/>
                <c:pt idx="0">
                  <c:v>0.41098484848484856</c:v>
                </c:pt>
                <c:pt idx="1">
                  <c:v>0.41098484848484856</c:v>
                </c:pt>
                <c:pt idx="2">
                  <c:v>0.41098484848484856</c:v>
                </c:pt>
                <c:pt idx="3">
                  <c:v>0.41098484848484856</c:v>
                </c:pt>
                <c:pt idx="4">
                  <c:v>0.41098484848484856</c:v>
                </c:pt>
                <c:pt idx="5">
                  <c:v>0.41098484848484856</c:v>
                </c:pt>
                <c:pt idx="6">
                  <c:v>0.41098484848484856</c:v>
                </c:pt>
                <c:pt idx="7">
                  <c:v>0.41098484848484856</c:v>
                </c:pt>
                <c:pt idx="8">
                  <c:v>0.41098484848484856</c:v>
                </c:pt>
                <c:pt idx="9">
                  <c:v>0.41098484848484856</c:v>
                </c:pt>
                <c:pt idx="10">
                  <c:v>0.41098484848484856</c:v>
                </c:pt>
                <c:pt idx="11">
                  <c:v>0.41098484848484856</c:v>
                </c:pt>
                <c:pt idx="12">
                  <c:v>0.41098484848484856</c:v>
                </c:pt>
                <c:pt idx="13">
                  <c:v>0.41098484848484856</c:v>
                </c:pt>
                <c:pt idx="14">
                  <c:v>0.41098484848484856</c:v>
                </c:pt>
                <c:pt idx="15">
                  <c:v>0.41098484848484856</c:v>
                </c:pt>
                <c:pt idx="16">
                  <c:v>0.41098484848484856</c:v>
                </c:pt>
                <c:pt idx="17">
                  <c:v>0.41098484848484856</c:v>
                </c:pt>
                <c:pt idx="18">
                  <c:v>0.41098484848484856</c:v>
                </c:pt>
                <c:pt idx="19">
                  <c:v>0.41098484848484856</c:v>
                </c:pt>
                <c:pt idx="20">
                  <c:v>0.41098484848484856</c:v>
                </c:pt>
                <c:pt idx="21">
                  <c:v>0.41098484848484856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26-4E6F-A860-433061F9E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57D-4588-84F6-F10DCC9722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0.68147728498178428</c:v>
                </c:pt>
                <c:pt idx="1">
                  <c:v>0.64962121212121204</c:v>
                </c:pt>
                <c:pt idx="2">
                  <c:v>0.37121212121212116</c:v>
                </c:pt>
                <c:pt idx="4">
                  <c:v>0.47282608695652184</c:v>
                </c:pt>
                <c:pt idx="5">
                  <c:v>0.55303030303030298</c:v>
                </c:pt>
                <c:pt idx="6">
                  <c:v>0.45833333333333331</c:v>
                </c:pt>
                <c:pt idx="7">
                  <c:v>0.47282608695652173</c:v>
                </c:pt>
                <c:pt idx="8">
                  <c:v>0.34567901234567905</c:v>
                </c:pt>
                <c:pt idx="9">
                  <c:v>0.41098484848484856</c:v>
                </c:pt>
                <c:pt idx="11">
                  <c:v>0.36742424242424243</c:v>
                </c:pt>
                <c:pt idx="12">
                  <c:v>0.48863636363636354</c:v>
                </c:pt>
                <c:pt idx="13">
                  <c:v>0.59000470952885553</c:v>
                </c:pt>
                <c:pt idx="14">
                  <c:v>0.58712121212121204</c:v>
                </c:pt>
                <c:pt idx="15">
                  <c:v>0.53462982364239564</c:v>
                </c:pt>
                <c:pt idx="16">
                  <c:v>0.45075757575757575</c:v>
                </c:pt>
                <c:pt idx="18">
                  <c:v>0.54356060606060608</c:v>
                </c:pt>
                <c:pt idx="19">
                  <c:v>0.39855072463768115</c:v>
                </c:pt>
                <c:pt idx="20">
                  <c:v>0.29347826086956524</c:v>
                </c:pt>
                <c:pt idx="21">
                  <c:v>0.45619957956867979</c:v>
                </c:pt>
                <c:pt idx="22">
                  <c:v>0.56060606060606066</c:v>
                </c:pt>
                <c:pt idx="23">
                  <c:v>0.45108695652173914</c:v>
                </c:pt>
                <c:pt idx="25">
                  <c:v>0.41493055555555552</c:v>
                </c:pt>
                <c:pt idx="26">
                  <c:v>0.53598484848484851</c:v>
                </c:pt>
                <c:pt idx="27">
                  <c:v>0.43560606060606055</c:v>
                </c:pt>
                <c:pt idx="28">
                  <c:v>0.42234848484848481</c:v>
                </c:pt>
                <c:pt idx="29">
                  <c:v>0.42529900929110415</c:v>
                </c:pt>
                <c:pt idx="31">
                  <c:v>0.41240717878611177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7D-4588-84F6-F10DCC972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57D-4588-84F6-F10DCC97224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7D-4588-84F6-F10DCC972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'12'!$D$6:$D$27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LID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'12'!$L$6:$L$27</c:f>
              <c:numCache>
                <c:formatCode>_(* #,##0_);_(* \(#,##0\);_(* "-"_);_(@_)</c:formatCode>
                <c:ptCount val="22"/>
                <c:pt idx="3">
                  <c:v>4426</c:v>
                </c:pt>
                <c:pt idx="6">
                  <c:v>5208</c:v>
                </c:pt>
                <c:pt idx="7">
                  <c:v>4461</c:v>
                </c:pt>
                <c:pt idx="10">
                  <c:v>5554</c:v>
                </c:pt>
                <c:pt idx="11">
                  <c:v>17901</c:v>
                </c:pt>
                <c:pt idx="13">
                  <c:v>3503</c:v>
                </c:pt>
                <c:pt idx="14">
                  <c:v>2446</c:v>
                </c:pt>
                <c:pt idx="18">
                  <c:v>5806</c:v>
                </c:pt>
                <c:pt idx="21">
                  <c:v>28904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7B-4ED3-B0E3-6D820E496B49}"/>
            </c:ext>
          </c:extLst>
        </c:ser>
        <c:ser>
          <c:idx val="1"/>
          <c:order val="1"/>
          <c:tx>
            <c:v>계획</c:v>
          </c:tx>
          <c:cat>
            <c:strRef>
              <c:f>'12'!$D$6:$D$27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LID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'12'!$J$6:$J$27</c:f>
              <c:numCache>
                <c:formatCode>_(* #,##0_);_(* \(#,##0\);_(* "-"_);_(@_)</c:formatCode>
                <c:ptCount val="22"/>
                <c:pt idx="0">
                  <c:v>2738</c:v>
                </c:pt>
                <c:pt idx="1">
                  <c:v>632</c:v>
                </c:pt>
                <c:pt idx="2">
                  <c:v>15564</c:v>
                </c:pt>
                <c:pt idx="3">
                  <c:v>4426</c:v>
                </c:pt>
                <c:pt idx="4">
                  <c:v>417</c:v>
                </c:pt>
                <c:pt idx="5">
                  <c:v>2000</c:v>
                </c:pt>
                <c:pt idx="6">
                  <c:v>5208</c:v>
                </c:pt>
                <c:pt idx="7">
                  <c:v>4461</c:v>
                </c:pt>
                <c:pt idx="8">
                  <c:v>800</c:v>
                </c:pt>
                <c:pt idx="9">
                  <c:v>12356</c:v>
                </c:pt>
                <c:pt idx="10">
                  <c:v>5554</c:v>
                </c:pt>
                <c:pt idx="11">
                  <c:v>17901</c:v>
                </c:pt>
                <c:pt idx="12">
                  <c:v>800</c:v>
                </c:pt>
                <c:pt idx="13">
                  <c:v>3503</c:v>
                </c:pt>
                <c:pt idx="14">
                  <c:v>2446</c:v>
                </c:pt>
                <c:pt idx="15">
                  <c:v>34220</c:v>
                </c:pt>
                <c:pt idx="16">
                  <c:v>0</c:v>
                </c:pt>
                <c:pt idx="17">
                  <c:v>0</c:v>
                </c:pt>
                <c:pt idx="18">
                  <c:v>5806</c:v>
                </c:pt>
                <c:pt idx="19">
                  <c:v>9988</c:v>
                </c:pt>
                <c:pt idx="20">
                  <c:v>11600</c:v>
                </c:pt>
                <c:pt idx="21">
                  <c:v>28904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7B-4ED3-B0E3-6D820E496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'12'!$AD$6:$AD$27</c:f>
              <c:strCache>
                <c:ptCount val="22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96%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0%</c:v>
                </c:pt>
                <c:pt idx="13">
                  <c:v>79%</c:v>
                </c:pt>
                <c:pt idx="14">
                  <c:v>58%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88%</c:v>
                </c:pt>
                <c:pt idx="19">
                  <c:v>0%</c:v>
                </c:pt>
                <c:pt idx="20">
                  <c:v>0%</c:v>
                </c:pt>
                <c:pt idx="21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'12'!$D$6:$D$27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LID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'12'!$AD$6:$AD$27</c:f>
              <c:numCache>
                <c:formatCode>0%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0.95833333333333337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0.79166666666666663</c:v>
                </c:pt>
                <c:pt idx="14">
                  <c:v>0.58333333333333337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0.875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BF-4605-A28E-F01521FCA91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1BF-4605-A28E-F01521FCA91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'12'!$D$6:$D$27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LID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'12'!$AE$6:$AE$27</c:f>
              <c:numCache>
                <c:formatCode>0%</c:formatCode>
                <c:ptCount val="22"/>
                <c:pt idx="0">
                  <c:v>0.36742424242424243</c:v>
                </c:pt>
                <c:pt idx="1">
                  <c:v>0.36742424242424243</c:v>
                </c:pt>
                <c:pt idx="2">
                  <c:v>0.36742424242424243</c:v>
                </c:pt>
                <c:pt idx="3">
                  <c:v>0.36742424242424243</c:v>
                </c:pt>
                <c:pt idx="4">
                  <c:v>0.36742424242424243</c:v>
                </c:pt>
                <c:pt idx="5">
                  <c:v>0.36742424242424243</c:v>
                </c:pt>
                <c:pt idx="6">
                  <c:v>0.36742424242424243</c:v>
                </c:pt>
                <c:pt idx="7">
                  <c:v>0.36742424242424243</c:v>
                </c:pt>
                <c:pt idx="8">
                  <c:v>0.36742424242424243</c:v>
                </c:pt>
                <c:pt idx="9">
                  <c:v>0.36742424242424243</c:v>
                </c:pt>
                <c:pt idx="10">
                  <c:v>0.36742424242424243</c:v>
                </c:pt>
                <c:pt idx="11">
                  <c:v>0.36742424242424243</c:v>
                </c:pt>
                <c:pt idx="12">
                  <c:v>0.36742424242424243</c:v>
                </c:pt>
                <c:pt idx="13">
                  <c:v>0.36742424242424243</c:v>
                </c:pt>
                <c:pt idx="14">
                  <c:v>0.36742424242424243</c:v>
                </c:pt>
                <c:pt idx="15">
                  <c:v>0.36742424242424243</c:v>
                </c:pt>
                <c:pt idx="16">
                  <c:v>0.36742424242424243</c:v>
                </c:pt>
                <c:pt idx="17">
                  <c:v>0.36742424242424243</c:v>
                </c:pt>
                <c:pt idx="18">
                  <c:v>0.36742424242424243</c:v>
                </c:pt>
                <c:pt idx="19">
                  <c:v>0.36742424242424243</c:v>
                </c:pt>
                <c:pt idx="20">
                  <c:v>0.36742424242424243</c:v>
                </c:pt>
                <c:pt idx="21">
                  <c:v>0.36742424242424243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BF-4605-A28E-F01521FCA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'12'!$D$6:$D$27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LID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'12'!$L$6:$L$27</c:f>
              <c:numCache>
                <c:formatCode>_(* #,##0_);_(* \(#,##0\);_(* "-"_);_(@_)</c:formatCode>
                <c:ptCount val="22"/>
                <c:pt idx="3">
                  <c:v>4426</c:v>
                </c:pt>
                <c:pt idx="6">
                  <c:v>5208</c:v>
                </c:pt>
                <c:pt idx="7">
                  <c:v>4461</c:v>
                </c:pt>
                <c:pt idx="10">
                  <c:v>5554</c:v>
                </c:pt>
                <c:pt idx="11">
                  <c:v>17901</c:v>
                </c:pt>
                <c:pt idx="13">
                  <c:v>3503</c:v>
                </c:pt>
                <c:pt idx="14">
                  <c:v>2446</c:v>
                </c:pt>
                <c:pt idx="18">
                  <c:v>5806</c:v>
                </c:pt>
                <c:pt idx="21">
                  <c:v>28904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8D-4D53-BC71-A012120B999C}"/>
            </c:ext>
          </c:extLst>
        </c:ser>
        <c:ser>
          <c:idx val="1"/>
          <c:order val="1"/>
          <c:tx>
            <c:v>계획</c:v>
          </c:tx>
          <c:cat>
            <c:strRef>
              <c:f>'12'!$D$6:$D$27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LID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'12'!$J$6:$J$27</c:f>
              <c:numCache>
                <c:formatCode>_(* #,##0_);_(* \(#,##0\);_(* "-"_);_(@_)</c:formatCode>
                <c:ptCount val="22"/>
                <c:pt idx="0">
                  <c:v>2738</c:v>
                </c:pt>
                <c:pt idx="1">
                  <c:v>632</c:v>
                </c:pt>
                <c:pt idx="2">
                  <c:v>15564</c:v>
                </c:pt>
                <c:pt idx="3">
                  <c:v>4426</c:v>
                </c:pt>
                <c:pt idx="4">
                  <c:v>417</c:v>
                </c:pt>
                <c:pt idx="5">
                  <c:v>2000</c:v>
                </c:pt>
                <c:pt idx="6">
                  <c:v>5208</c:v>
                </c:pt>
                <c:pt idx="7">
                  <c:v>4461</c:v>
                </c:pt>
                <c:pt idx="8">
                  <c:v>800</c:v>
                </c:pt>
                <c:pt idx="9">
                  <c:v>12356</c:v>
                </c:pt>
                <c:pt idx="10">
                  <c:v>5554</c:v>
                </c:pt>
                <c:pt idx="11">
                  <c:v>17901</c:v>
                </c:pt>
                <c:pt idx="12">
                  <c:v>800</c:v>
                </c:pt>
                <c:pt idx="13">
                  <c:v>3503</c:v>
                </c:pt>
                <c:pt idx="14">
                  <c:v>2446</c:v>
                </c:pt>
                <c:pt idx="15">
                  <c:v>34220</c:v>
                </c:pt>
                <c:pt idx="16">
                  <c:v>0</c:v>
                </c:pt>
                <c:pt idx="17">
                  <c:v>0</c:v>
                </c:pt>
                <c:pt idx="18">
                  <c:v>5806</c:v>
                </c:pt>
                <c:pt idx="19">
                  <c:v>9988</c:v>
                </c:pt>
                <c:pt idx="20">
                  <c:v>11600</c:v>
                </c:pt>
                <c:pt idx="21">
                  <c:v>28904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8D-4D53-BC71-A012120B9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'12'!$AD$6:$AD$27</c:f>
              <c:strCache>
                <c:ptCount val="22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96%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0%</c:v>
                </c:pt>
                <c:pt idx="13">
                  <c:v>79%</c:v>
                </c:pt>
                <c:pt idx="14">
                  <c:v>58%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88%</c:v>
                </c:pt>
                <c:pt idx="19">
                  <c:v>0%</c:v>
                </c:pt>
                <c:pt idx="20">
                  <c:v>0%</c:v>
                </c:pt>
                <c:pt idx="21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'12'!$D$6:$D$27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LID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'12'!$AD$6:$AD$27</c:f>
              <c:numCache>
                <c:formatCode>0%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0.95833333333333337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0.79166666666666663</c:v>
                </c:pt>
                <c:pt idx="14">
                  <c:v>0.58333333333333337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0.875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A1-4CD5-A340-3EE24C6B73A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5A1-4CD5-A340-3EE24C6B73A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'12'!$D$6:$D$27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LID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'12'!$AE$6:$AE$27</c:f>
              <c:numCache>
                <c:formatCode>0%</c:formatCode>
                <c:ptCount val="22"/>
                <c:pt idx="0">
                  <c:v>0.36742424242424243</c:v>
                </c:pt>
                <c:pt idx="1">
                  <c:v>0.36742424242424243</c:v>
                </c:pt>
                <c:pt idx="2">
                  <c:v>0.36742424242424243</c:v>
                </c:pt>
                <c:pt idx="3">
                  <c:v>0.36742424242424243</c:v>
                </c:pt>
                <c:pt idx="4">
                  <c:v>0.36742424242424243</c:v>
                </c:pt>
                <c:pt idx="5">
                  <c:v>0.36742424242424243</c:v>
                </c:pt>
                <c:pt idx="6">
                  <c:v>0.36742424242424243</c:v>
                </c:pt>
                <c:pt idx="7">
                  <c:v>0.36742424242424243</c:v>
                </c:pt>
                <c:pt idx="8">
                  <c:v>0.36742424242424243</c:v>
                </c:pt>
                <c:pt idx="9">
                  <c:v>0.36742424242424243</c:v>
                </c:pt>
                <c:pt idx="10">
                  <c:v>0.36742424242424243</c:v>
                </c:pt>
                <c:pt idx="11">
                  <c:v>0.36742424242424243</c:v>
                </c:pt>
                <c:pt idx="12">
                  <c:v>0.36742424242424243</c:v>
                </c:pt>
                <c:pt idx="13">
                  <c:v>0.36742424242424243</c:v>
                </c:pt>
                <c:pt idx="14">
                  <c:v>0.36742424242424243</c:v>
                </c:pt>
                <c:pt idx="15">
                  <c:v>0.36742424242424243</c:v>
                </c:pt>
                <c:pt idx="16">
                  <c:v>0.36742424242424243</c:v>
                </c:pt>
                <c:pt idx="17">
                  <c:v>0.36742424242424243</c:v>
                </c:pt>
                <c:pt idx="18">
                  <c:v>0.36742424242424243</c:v>
                </c:pt>
                <c:pt idx="19">
                  <c:v>0.36742424242424243</c:v>
                </c:pt>
                <c:pt idx="20">
                  <c:v>0.36742424242424243</c:v>
                </c:pt>
                <c:pt idx="21">
                  <c:v>0.36742424242424243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A1-4CD5-A340-3EE24C6B7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3BD-47F6-B986-5535C51EC2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0.68147728498178428</c:v>
                </c:pt>
                <c:pt idx="1">
                  <c:v>0.64962121212121204</c:v>
                </c:pt>
                <c:pt idx="2">
                  <c:v>0.37121212121212116</c:v>
                </c:pt>
                <c:pt idx="4">
                  <c:v>0.47282608695652184</c:v>
                </c:pt>
                <c:pt idx="5">
                  <c:v>0.55303030303030298</c:v>
                </c:pt>
                <c:pt idx="6">
                  <c:v>0.45833333333333331</c:v>
                </c:pt>
                <c:pt idx="7">
                  <c:v>0.47282608695652173</c:v>
                </c:pt>
                <c:pt idx="8">
                  <c:v>0.34567901234567905</c:v>
                </c:pt>
                <c:pt idx="9">
                  <c:v>0.41098484848484856</c:v>
                </c:pt>
                <c:pt idx="11">
                  <c:v>0.36742424242424243</c:v>
                </c:pt>
                <c:pt idx="12">
                  <c:v>0.48863636363636354</c:v>
                </c:pt>
                <c:pt idx="13">
                  <c:v>0.59000470952885553</c:v>
                </c:pt>
                <c:pt idx="14">
                  <c:v>0.58712121212121204</c:v>
                </c:pt>
                <c:pt idx="15">
                  <c:v>0.53462982364239564</c:v>
                </c:pt>
                <c:pt idx="16">
                  <c:v>0.45075757575757575</c:v>
                </c:pt>
                <c:pt idx="18">
                  <c:v>0.54356060606060608</c:v>
                </c:pt>
                <c:pt idx="19">
                  <c:v>0.39855072463768115</c:v>
                </c:pt>
                <c:pt idx="20">
                  <c:v>0.29347826086956524</c:v>
                </c:pt>
                <c:pt idx="21">
                  <c:v>0.45619957956867979</c:v>
                </c:pt>
                <c:pt idx="22">
                  <c:v>0.56060606060606066</c:v>
                </c:pt>
                <c:pt idx="23">
                  <c:v>0.45108695652173914</c:v>
                </c:pt>
                <c:pt idx="25">
                  <c:v>0.41493055555555552</c:v>
                </c:pt>
                <c:pt idx="26">
                  <c:v>0.53598484848484851</c:v>
                </c:pt>
                <c:pt idx="27">
                  <c:v>0.43560606060606055</c:v>
                </c:pt>
                <c:pt idx="28">
                  <c:v>0.42234848484848481</c:v>
                </c:pt>
                <c:pt idx="29">
                  <c:v>0.42529900929110415</c:v>
                </c:pt>
                <c:pt idx="31">
                  <c:v>0.41240717878611177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BD-47F6-B986-5535C51EC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3BD-47F6-B986-5535C51EC2C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BD-47F6-B986-5535C51EC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LID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'13'!$L$6:$L$27</c:f>
              <c:numCache>
                <c:formatCode>_(* #,##0_);_(* \(#,##0\);_(* "-"_);_(@_)</c:formatCode>
                <c:ptCount val="22"/>
                <c:pt idx="0">
                  <c:v>3190</c:v>
                </c:pt>
                <c:pt idx="2">
                  <c:v>2571</c:v>
                </c:pt>
                <c:pt idx="3">
                  <c:v>4805</c:v>
                </c:pt>
                <c:pt idx="4">
                  <c:v>7490</c:v>
                </c:pt>
                <c:pt idx="5">
                  <c:v>420</c:v>
                </c:pt>
                <c:pt idx="6">
                  <c:v>1169</c:v>
                </c:pt>
                <c:pt idx="7">
                  <c:v>5511</c:v>
                </c:pt>
                <c:pt idx="8">
                  <c:v>716</c:v>
                </c:pt>
                <c:pt idx="10">
                  <c:v>5953</c:v>
                </c:pt>
                <c:pt idx="11">
                  <c:v>14879</c:v>
                </c:pt>
                <c:pt idx="12">
                  <c:v>4805</c:v>
                </c:pt>
                <c:pt idx="13">
                  <c:v>1179</c:v>
                </c:pt>
                <c:pt idx="14">
                  <c:v>5228</c:v>
                </c:pt>
                <c:pt idx="15">
                  <c:v>33068</c:v>
                </c:pt>
                <c:pt idx="18">
                  <c:v>7905</c:v>
                </c:pt>
                <c:pt idx="21">
                  <c:v>326528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08-4ADA-9B1F-09B6DFAB8966}"/>
            </c:ext>
          </c:extLst>
        </c:ser>
        <c:ser>
          <c:idx val="1"/>
          <c:order val="1"/>
          <c:tx>
            <c:v>계획</c:v>
          </c:tx>
          <c:cat>
            <c:strRef>
              <c:f>'13'!$D$6:$D$27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LID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'13'!$J$6:$J$27</c:f>
              <c:numCache>
                <c:formatCode>_(* #,##0_);_(* \(#,##0\);_(* "-"_);_(@_)</c:formatCode>
                <c:ptCount val="22"/>
                <c:pt idx="0">
                  <c:v>3190</c:v>
                </c:pt>
                <c:pt idx="1">
                  <c:v>632</c:v>
                </c:pt>
                <c:pt idx="2">
                  <c:v>2571</c:v>
                </c:pt>
                <c:pt idx="3">
                  <c:v>4805</c:v>
                </c:pt>
                <c:pt idx="4">
                  <c:v>7490</c:v>
                </c:pt>
                <c:pt idx="5">
                  <c:v>420</c:v>
                </c:pt>
                <c:pt idx="6">
                  <c:v>1169</c:v>
                </c:pt>
                <c:pt idx="7">
                  <c:v>5511</c:v>
                </c:pt>
                <c:pt idx="8">
                  <c:v>716</c:v>
                </c:pt>
                <c:pt idx="9">
                  <c:v>12356</c:v>
                </c:pt>
                <c:pt idx="10">
                  <c:v>5953</c:v>
                </c:pt>
                <c:pt idx="11">
                  <c:v>14879</c:v>
                </c:pt>
                <c:pt idx="12">
                  <c:v>4805</c:v>
                </c:pt>
                <c:pt idx="13">
                  <c:v>1179</c:v>
                </c:pt>
                <c:pt idx="14">
                  <c:v>5228</c:v>
                </c:pt>
                <c:pt idx="15">
                  <c:v>33068</c:v>
                </c:pt>
                <c:pt idx="16">
                  <c:v>0</c:v>
                </c:pt>
                <c:pt idx="17">
                  <c:v>0</c:v>
                </c:pt>
                <c:pt idx="18">
                  <c:v>7905</c:v>
                </c:pt>
                <c:pt idx="19">
                  <c:v>9988</c:v>
                </c:pt>
                <c:pt idx="20">
                  <c:v>11600</c:v>
                </c:pt>
                <c:pt idx="21">
                  <c:v>326528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08-4ADA-9B1F-09B6DFAB8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'13'!$AD$6:$AD$27</c:f>
              <c:strCache>
                <c:ptCount val="22"/>
                <c:pt idx="0">
                  <c:v>29%</c:v>
                </c:pt>
                <c:pt idx="1">
                  <c:v>0%</c:v>
                </c:pt>
                <c:pt idx="2">
                  <c:v>67%</c:v>
                </c:pt>
                <c:pt idx="3">
                  <c:v>100%</c:v>
                </c:pt>
                <c:pt idx="4">
                  <c:v>71%</c:v>
                </c:pt>
                <c:pt idx="5">
                  <c:v>13%</c:v>
                </c:pt>
                <c:pt idx="6">
                  <c:v>25%</c:v>
                </c:pt>
                <c:pt idx="7">
                  <c:v>100%</c:v>
                </c:pt>
                <c:pt idx="8">
                  <c:v>33%</c:v>
                </c:pt>
                <c:pt idx="9">
                  <c:v>0%</c:v>
                </c:pt>
                <c:pt idx="10">
                  <c:v>100%</c:v>
                </c:pt>
                <c:pt idx="11">
                  <c:v>79%</c:v>
                </c:pt>
                <c:pt idx="12">
                  <c:v>88%</c:v>
                </c:pt>
                <c:pt idx="13">
                  <c:v>25%</c:v>
                </c:pt>
                <c:pt idx="14">
                  <c:v>100%</c:v>
                </c:pt>
                <c:pt idx="15">
                  <c:v>67%</c:v>
                </c:pt>
                <c:pt idx="16">
                  <c:v>0%</c:v>
                </c:pt>
                <c:pt idx="17">
                  <c:v>0%</c:v>
                </c:pt>
                <c:pt idx="18">
                  <c:v>100%</c:v>
                </c:pt>
                <c:pt idx="19">
                  <c:v>0%</c:v>
                </c:pt>
                <c:pt idx="20">
                  <c:v>0%</c:v>
                </c:pt>
                <c:pt idx="21">
                  <c:v>79%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LID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'13'!$AD$6:$AD$27</c:f>
              <c:numCache>
                <c:formatCode>0%</c:formatCode>
                <c:ptCount val="22"/>
                <c:pt idx="0">
                  <c:v>0.29166666666666669</c:v>
                </c:pt>
                <c:pt idx="1">
                  <c:v>0</c:v>
                </c:pt>
                <c:pt idx="2">
                  <c:v>0.66666666666666663</c:v>
                </c:pt>
                <c:pt idx="3">
                  <c:v>1</c:v>
                </c:pt>
                <c:pt idx="4">
                  <c:v>0.70833333333333337</c:v>
                </c:pt>
                <c:pt idx="5">
                  <c:v>0.125</c:v>
                </c:pt>
                <c:pt idx="6">
                  <c:v>0.25</c:v>
                </c:pt>
                <c:pt idx="7">
                  <c:v>1</c:v>
                </c:pt>
                <c:pt idx="8">
                  <c:v>0.33333333333333331</c:v>
                </c:pt>
                <c:pt idx="9">
                  <c:v>0</c:v>
                </c:pt>
                <c:pt idx="10">
                  <c:v>1</c:v>
                </c:pt>
                <c:pt idx="11">
                  <c:v>0.79166666666666663</c:v>
                </c:pt>
                <c:pt idx="12">
                  <c:v>0.875</c:v>
                </c:pt>
                <c:pt idx="13">
                  <c:v>0.25</c:v>
                </c:pt>
                <c:pt idx="14">
                  <c:v>1</c:v>
                </c:pt>
                <c:pt idx="15">
                  <c:v>0.66666666666666663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0.79166666666666663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F3-4A7D-B896-C10982EE3E5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2F3-4A7D-B896-C10982EE3E5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LID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'13'!$AE$6:$AE$27</c:f>
              <c:numCache>
                <c:formatCode>0%</c:formatCode>
                <c:ptCount val="22"/>
                <c:pt idx="0">
                  <c:v>0.48863636363636354</c:v>
                </c:pt>
                <c:pt idx="1">
                  <c:v>0.48863636363636354</c:v>
                </c:pt>
                <c:pt idx="2">
                  <c:v>0.48863636363636354</c:v>
                </c:pt>
                <c:pt idx="3">
                  <c:v>0.48863636363636354</c:v>
                </c:pt>
                <c:pt idx="4">
                  <c:v>0.48863636363636354</c:v>
                </c:pt>
                <c:pt idx="5">
                  <c:v>0.48863636363636354</c:v>
                </c:pt>
                <c:pt idx="6">
                  <c:v>0.48863636363636354</c:v>
                </c:pt>
                <c:pt idx="7">
                  <c:v>0.48863636363636354</c:v>
                </c:pt>
                <c:pt idx="8">
                  <c:v>0.48863636363636354</c:v>
                </c:pt>
                <c:pt idx="9">
                  <c:v>0.48863636363636354</c:v>
                </c:pt>
                <c:pt idx="10">
                  <c:v>0.48863636363636354</c:v>
                </c:pt>
                <c:pt idx="11">
                  <c:v>0.48863636363636354</c:v>
                </c:pt>
                <c:pt idx="12">
                  <c:v>0.48863636363636354</c:v>
                </c:pt>
                <c:pt idx="13">
                  <c:v>0.48863636363636354</c:v>
                </c:pt>
                <c:pt idx="14">
                  <c:v>0.48863636363636354</c:v>
                </c:pt>
                <c:pt idx="15">
                  <c:v>0.48863636363636354</c:v>
                </c:pt>
                <c:pt idx="16">
                  <c:v>0.48863636363636354</c:v>
                </c:pt>
                <c:pt idx="17">
                  <c:v>0.48863636363636354</c:v>
                </c:pt>
                <c:pt idx="18">
                  <c:v>0.48863636363636354</c:v>
                </c:pt>
                <c:pt idx="19">
                  <c:v>0.48863636363636354</c:v>
                </c:pt>
                <c:pt idx="20">
                  <c:v>0.48863636363636354</c:v>
                </c:pt>
                <c:pt idx="21">
                  <c:v>0.48863636363636354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F3-4A7D-B896-C10982EE3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LID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'13'!$L$6:$L$27</c:f>
              <c:numCache>
                <c:formatCode>_(* #,##0_);_(* \(#,##0\);_(* "-"_);_(@_)</c:formatCode>
                <c:ptCount val="22"/>
                <c:pt idx="0">
                  <c:v>3190</c:v>
                </c:pt>
                <c:pt idx="2">
                  <c:v>2571</c:v>
                </c:pt>
                <c:pt idx="3">
                  <c:v>4805</c:v>
                </c:pt>
                <c:pt idx="4">
                  <c:v>7490</c:v>
                </c:pt>
                <c:pt idx="5">
                  <c:v>420</c:v>
                </c:pt>
                <c:pt idx="6">
                  <c:v>1169</c:v>
                </c:pt>
                <c:pt idx="7">
                  <c:v>5511</c:v>
                </c:pt>
                <c:pt idx="8">
                  <c:v>716</c:v>
                </c:pt>
                <c:pt idx="10">
                  <c:v>5953</c:v>
                </c:pt>
                <c:pt idx="11">
                  <c:v>14879</c:v>
                </c:pt>
                <c:pt idx="12">
                  <c:v>4805</c:v>
                </c:pt>
                <c:pt idx="13">
                  <c:v>1179</c:v>
                </c:pt>
                <c:pt idx="14">
                  <c:v>5228</c:v>
                </c:pt>
                <c:pt idx="15">
                  <c:v>33068</c:v>
                </c:pt>
                <c:pt idx="18">
                  <c:v>7905</c:v>
                </c:pt>
                <c:pt idx="21">
                  <c:v>326528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2E-4CC9-809F-F15CFB4318B0}"/>
            </c:ext>
          </c:extLst>
        </c:ser>
        <c:ser>
          <c:idx val="1"/>
          <c:order val="1"/>
          <c:tx>
            <c:v>계획</c:v>
          </c:tx>
          <c:cat>
            <c:strRef>
              <c:f>'13'!$D$6:$D$27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LID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'13'!$J$6:$J$27</c:f>
              <c:numCache>
                <c:formatCode>_(* #,##0_);_(* \(#,##0\);_(* "-"_);_(@_)</c:formatCode>
                <c:ptCount val="22"/>
                <c:pt idx="0">
                  <c:v>3190</c:v>
                </c:pt>
                <c:pt idx="1">
                  <c:v>632</c:v>
                </c:pt>
                <c:pt idx="2">
                  <c:v>2571</c:v>
                </c:pt>
                <c:pt idx="3">
                  <c:v>4805</c:v>
                </c:pt>
                <c:pt idx="4">
                  <c:v>7490</c:v>
                </c:pt>
                <c:pt idx="5">
                  <c:v>420</c:v>
                </c:pt>
                <c:pt idx="6">
                  <c:v>1169</c:v>
                </c:pt>
                <c:pt idx="7">
                  <c:v>5511</c:v>
                </c:pt>
                <c:pt idx="8">
                  <c:v>716</c:v>
                </c:pt>
                <c:pt idx="9">
                  <c:v>12356</c:v>
                </c:pt>
                <c:pt idx="10">
                  <c:v>5953</c:v>
                </c:pt>
                <c:pt idx="11">
                  <c:v>14879</c:v>
                </c:pt>
                <c:pt idx="12">
                  <c:v>4805</c:v>
                </c:pt>
                <c:pt idx="13">
                  <c:v>1179</c:v>
                </c:pt>
                <c:pt idx="14">
                  <c:v>5228</c:v>
                </c:pt>
                <c:pt idx="15">
                  <c:v>33068</c:v>
                </c:pt>
                <c:pt idx="16">
                  <c:v>0</c:v>
                </c:pt>
                <c:pt idx="17">
                  <c:v>0</c:v>
                </c:pt>
                <c:pt idx="18">
                  <c:v>7905</c:v>
                </c:pt>
                <c:pt idx="19">
                  <c:v>9988</c:v>
                </c:pt>
                <c:pt idx="20">
                  <c:v>11600</c:v>
                </c:pt>
                <c:pt idx="21">
                  <c:v>326528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2E-4CC9-809F-F15CFB431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'13'!$AD$6:$AD$27</c:f>
              <c:strCache>
                <c:ptCount val="22"/>
                <c:pt idx="0">
                  <c:v>29%</c:v>
                </c:pt>
                <c:pt idx="1">
                  <c:v>0%</c:v>
                </c:pt>
                <c:pt idx="2">
                  <c:v>67%</c:v>
                </c:pt>
                <c:pt idx="3">
                  <c:v>100%</c:v>
                </c:pt>
                <c:pt idx="4">
                  <c:v>71%</c:v>
                </c:pt>
                <c:pt idx="5">
                  <c:v>13%</c:v>
                </c:pt>
                <c:pt idx="6">
                  <c:v>25%</c:v>
                </c:pt>
                <c:pt idx="7">
                  <c:v>100%</c:v>
                </c:pt>
                <c:pt idx="8">
                  <c:v>33%</c:v>
                </c:pt>
                <c:pt idx="9">
                  <c:v>0%</c:v>
                </c:pt>
                <c:pt idx="10">
                  <c:v>100%</c:v>
                </c:pt>
                <c:pt idx="11">
                  <c:v>79%</c:v>
                </c:pt>
                <c:pt idx="12">
                  <c:v>88%</c:v>
                </c:pt>
                <c:pt idx="13">
                  <c:v>25%</c:v>
                </c:pt>
                <c:pt idx="14">
                  <c:v>100%</c:v>
                </c:pt>
                <c:pt idx="15">
                  <c:v>67%</c:v>
                </c:pt>
                <c:pt idx="16">
                  <c:v>0%</c:v>
                </c:pt>
                <c:pt idx="17">
                  <c:v>0%</c:v>
                </c:pt>
                <c:pt idx="18">
                  <c:v>100%</c:v>
                </c:pt>
                <c:pt idx="19">
                  <c:v>0%</c:v>
                </c:pt>
                <c:pt idx="20">
                  <c:v>0%</c:v>
                </c:pt>
                <c:pt idx="21">
                  <c:v>79%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LID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'13'!$AD$6:$AD$27</c:f>
              <c:numCache>
                <c:formatCode>0%</c:formatCode>
                <c:ptCount val="22"/>
                <c:pt idx="0">
                  <c:v>0.29166666666666669</c:v>
                </c:pt>
                <c:pt idx="1">
                  <c:v>0</c:v>
                </c:pt>
                <c:pt idx="2">
                  <c:v>0.66666666666666663</c:v>
                </c:pt>
                <c:pt idx="3">
                  <c:v>1</c:v>
                </c:pt>
                <c:pt idx="4">
                  <c:v>0.70833333333333337</c:v>
                </c:pt>
                <c:pt idx="5">
                  <c:v>0.125</c:v>
                </c:pt>
                <c:pt idx="6">
                  <c:v>0.25</c:v>
                </c:pt>
                <c:pt idx="7">
                  <c:v>1</c:v>
                </c:pt>
                <c:pt idx="8">
                  <c:v>0.33333333333333331</c:v>
                </c:pt>
                <c:pt idx="9">
                  <c:v>0</c:v>
                </c:pt>
                <c:pt idx="10">
                  <c:v>1</c:v>
                </c:pt>
                <c:pt idx="11">
                  <c:v>0.79166666666666663</c:v>
                </c:pt>
                <c:pt idx="12">
                  <c:v>0.875</c:v>
                </c:pt>
                <c:pt idx="13">
                  <c:v>0.25</c:v>
                </c:pt>
                <c:pt idx="14">
                  <c:v>1</c:v>
                </c:pt>
                <c:pt idx="15">
                  <c:v>0.66666666666666663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0.79166666666666663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A4-416D-835A-39C42C20409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0A4-416D-835A-39C42C20409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LID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'13'!$AE$6:$AE$27</c:f>
              <c:numCache>
                <c:formatCode>0%</c:formatCode>
                <c:ptCount val="22"/>
                <c:pt idx="0">
                  <c:v>0.48863636363636354</c:v>
                </c:pt>
                <c:pt idx="1">
                  <c:v>0.48863636363636354</c:v>
                </c:pt>
                <c:pt idx="2">
                  <c:v>0.48863636363636354</c:v>
                </c:pt>
                <c:pt idx="3">
                  <c:v>0.48863636363636354</c:v>
                </c:pt>
                <c:pt idx="4">
                  <c:v>0.48863636363636354</c:v>
                </c:pt>
                <c:pt idx="5">
                  <c:v>0.48863636363636354</c:v>
                </c:pt>
                <c:pt idx="6">
                  <c:v>0.48863636363636354</c:v>
                </c:pt>
                <c:pt idx="7">
                  <c:v>0.48863636363636354</c:v>
                </c:pt>
                <c:pt idx="8">
                  <c:v>0.48863636363636354</c:v>
                </c:pt>
                <c:pt idx="9">
                  <c:v>0.48863636363636354</c:v>
                </c:pt>
                <c:pt idx="10">
                  <c:v>0.48863636363636354</c:v>
                </c:pt>
                <c:pt idx="11">
                  <c:v>0.48863636363636354</c:v>
                </c:pt>
                <c:pt idx="12">
                  <c:v>0.48863636363636354</c:v>
                </c:pt>
                <c:pt idx="13">
                  <c:v>0.48863636363636354</c:v>
                </c:pt>
                <c:pt idx="14">
                  <c:v>0.48863636363636354</c:v>
                </c:pt>
                <c:pt idx="15">
                  <c:v>0.48863636363636354</c:v>
                </c:pt>
                <c:pt idx="16">
                  <c:v>0.48863636363636354</c:v>
                </c:pt>
                <c:pt idx="17">
                  <c:v>0.48863636363636354</c:v>
                </c:pt>
                <c:pt idx="18">
                  <c:v>0.48863636363636354</c:v>
                </c:pt>
                <c:pt idx="19">
                  <c:v>0.48863636363636354</c:v>
                </c:pt>
                <c:pt idx="20">
                  <c:v>0.48863636363636354</c:v>
                </c:pt>
                <c:pt idx="21">
                  <c:v>0.48863636363636354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A4-416D-835A-39C42C204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690-4E79-81C1-B25F66161C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0.68147728498178428</c:v>
                </c:pt>
                <c:pt idx="1">
                  <c:v>0.64962121212121204</c:v>
                </c:pt>
                <c:pt idx="2">
                  <c:v>0.37121212121212116</c:v>
                </c:pt>
                <c:pt idx="4">
                  <c:v>0.47282608695652184</c:v>
                </c:pt>
                <c:pt idx="5">
                  <c:v>0.55303030303030298</c:v>
                </c:pt>
                <c:pt idx="6">
                  <c:v>0.45833333333333331</c:v>
                </c:pt>
                <c:pt idx="7">
                  <c:v>0.47282608695652173</c:v>
                </c:pt>
                <c:pt idx="8">
                  <c:v>0.34567901234567905</c:v>
                </c:pt>
                <c:pt idx="9">
                  <c:v>0.41098484848484856</c:v>
                </c:pt>
                <c:pt idx="11">
                  <c:v>0.36742424242424243</c:v>
                </c:pt>
                <c:pt idx="12">
                  <c:v>0.48863636363636354</c:v>
                </c:pt>
                <c:pt idx="13">
                  <c:v>0.59000470952885553</c:v>
                </c:pt>
                <c:pt idx="14">
                  <c:v>0.58712121212121204</c:v>
                </c:pt>
                <c:pt idx="15">
                  <c:v>0.53462982364239564</c:v>
                </c:pt>
                <c:pt idx="16">
                  <c:v>0.45075757575757575</c:v>
                </c:pt>
                <c:pt idx="18">
                  <c:v>0.54356060606060608</c:v>
                </c:pt>
                <c:pt idx="19">
                  <c:v>0.39855072463768115</c:v>
                </c:pt>
                <c:pt idx="20">
                  <c:v>0.29347826086956524</c:v>
                </c:pt>
                <c:pt idx="21">
                  <c:v>0.45619957956867979</c:v>
                </c:pt>
                <c:pt idx="22">
                  <c:v>0.56060606060606066</c:v>
                </c:pt>
                <c:pt idx="23">
                  <c:v>0.45108695652173914</c:v>
                </c:pt>
                <c:pt idx="25">
                  <c:v>0.41493055555555552</c:v>
                </c:pt>
                <c:pt idx="26">
                  <c:v>0.53598484848484851</c:v>
                </c:pt>
                <c:pt idx="27">
                  <c:v>0.43560606060606055</c:v>
                </c:pt>
                <c:pt idx="28">
                  <c:v>0.42234848484848481</c:v>
                </c:pt>
                <c:pt idx="29">
                  <c:v>0.42529900929110415</c:v>
                </c:pt>
                <c:pt idx="31">
                  <c:v>0.41240717878611177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90-4E79-81C1-B25F66161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690-4E79-81C1-B25F66161C4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90-4E79-81C1-B25F66161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'14'!$D$6:$D$28</c:f>
              <c:strCache>
                <c:ptCount val="22"/>
                <c:pt idx="0">
                  <c:v>ADAPTER</c:v>
                </c:pt>
                <c:pt idx="1">
                  <c:v>LATCH</c:v>
                </c:pt>
                <c:pt idx="2">
                  <c:v>BASE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SLIDER</c:v>
                </c:pt>
                <c:pt idx="13">
                  <c:v>LID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'14'!$L$6:$L$28</c:f>
              <c:numCache>
                <c:formatCode>_(* #,##0_);_(* \(#,##0\);_(* "-"_);_(@_)</c:formatCode>
                <c:ptCount val="23"/>
                <c:pt idx="0">
                  <c:v>6210</c:v>
                </c:pt>
                <c:pt idx="1">
                  <c:v>34552</c:v>
                </c:pt>
                <c:pt idx="2">
                  <c:v>4669</c:v>
                </c:pt>
                <c:pt idx="3">
                  <c:v>4815</c:v>
                </c:pt>
                <c:pt idx="4">
                  <c:v>10820</c:v>
                </c:pt>
                <c:pt idx="5">
                  <c:v>2071</c:v>
                </c:pt>
                <c:pt idx="6">
                  <c:v>1517</c:v>
                </c:pt>
                <c:pt idx="7">
                  <c:v>3050</c:v>
                </c:pt>
                <c:pt idx="8">
                  <c:v>4705</c:v>
                </c:pt>
                <c:pt idx="9">
                  <c:v>757</c:v>
                </c:pt>
                <c:pt idx="11">
                  <c:v>5939</c:v>
                </c:pt>
                <c:pt idx="12">
                  <c:v>13701</c:v>
                </c:pt>
                <c:pt idx="14">
                  <c:v>3568</c:v>
                </c:pt>
                <c:pt idx="15">
                  <c:v>5223</c:v>
                </c:pt>
                <c:pt idx="16">
                  <c:v>77956</c:v>
                </c:pt>
                <c:pt idx="19">
                  <c:v>7479</c:v>
                </c:pt>
                <c:pt idx="22">
                  <c:v>448864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BE-461D-AD3A-4E63F014D26E}"/>
            </c:ext>
          </c:extLst>
        </c:ser>
        <c:ser>
          <c:idx val="1"/>
          <c:order val="1"/>
          <c:tx>
            <c:v>계획</c:v>
          </c:tx>
          <c:cat>
            <c:strRef>
              <c:f>'14'!$D$6:$D$28</c:f>
              <c:strCache>
                <c:ptCount val="22"/>
                <c:pt idx="0">
                  <c:v>ADAPTER</c:v>
                </c:pt>
                <c:pt idx="1">
                  <c:v>LATCH</c:v>
                </c:pt>
                <c:pt idx="2">
                  <c:v>BASE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SLIDER</c:v>
                </c:pt>
                <c:pt idx="13">
                  <c:v>LID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'14'!$J$6:$J$28</c:f>
              <c:numCache>
                <c:formatCode>_(* #,##0_);_(* \(#,##0\);_(* "-"_);_(@_)</c:formatCode>
                <c:ptCount val="23"/>
                <c:pt idx="0">
                  <c:v>6210</c:v>
                </c:pt>
                <c:pt idx="1">
                  <c:v>34552</c:v>
                </c:pt>
                <c:pt idx="2">
                  <c:v>4669</c:v>
                </c:pt>
                <c:pt idx="3">
                  <c:v>4815</c:v>
                </c:pt>
                <c:pt idx="4">
                  <c:v>10820</c:v>
                </c:pt>
                <c:pt idx="5">
                  <c:v>2071</c:v>
                </c:pt>
                <c:pt idx="6">
                  <c:v>1517</c:v>
                </c:pt>
                <c:pt idx="7">
                  <c:v>3050</c:v>
                </c:pt>
                <c:pt idx="8">
                  <c:v>4705</c:v>
                </c:pt>
                <c:pt idx="9">
                  <c:v>757</c:v>
                </c:pt>
                <c:pt idx="10">
                  <c:v>12356</c:v>
                </c:pt>
                <c:pt idx="11">
                  <c:v>5939</c:v>
                </c:pt>
                <c:pt idx="12">
                  <c:v>13701</c:v>
                </c:pt>
                <c:pt idx="13">
                  <c:v>4805</c:v>
                </c:pt>
                <c:pt idx="14">
                  <c:v>3568</c:v>
                </c:pt>
                <c:pt idx="15">
                  <c:v>5293</c:v>
                </c:pt>
                <c:pt idx="16">
                  <c:v>77956</c:v>
                </c:pt>
                <c:pt idx="17">
                  <c:v>0</c:v>
                </c:pt>
                <c:pt idx="18">
                  <c:v>0</c:v>
                </c:pt>
                <c:pt idx="19">
                  <c:v>7479</c:v>
                </c:pt>
                <c:pt idx="20">
                  <c:v>9988</c:v>
                </c:pt>
                <c:pt idx="21">
                  <c:v>11600</c:v>
                </c:pt>
                <c:pt idx="22">
                  <c:v>448864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BE-461D-AD3A-4E63F014D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'14'!$AD$6:$AD$28</c:f>
              <c:strCache>
                <c:ptCount val="23"/>
                <c:pt idx="0">
                  <c:v>58%</c:v>
                </c:pt>
                <c:pt idx="1">
                  <c:v>79%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42%</c:v>
                </c:pt>
                <c:pt idx="6">
                  <c:v>25%</c:v>
                </c:pt>
                <c:pt idx="7">
                  <c:v>67%</c:v>
                </c:pt>
                <c:pt idx="8">
                  <c:v>100%</c:v>
                </c:pt>
                <c:pt idx="9">
                  <c:v>33%</c:v>
                </c:pt>
                <c:pt idx="10">
                  <c:v>0%</c:v>
                </c:pt>
                <c:pt idx="11">
                  <c:v>100%</c:v>
                </c:pt>
                <c:pt idx="12">
                  <c:v>79%</c:v>
                </c:pt>
                <c:pt idx="13">
                  <c:v>0%</c:v>
                </c:pt>
                <c:pt idx="14">
                  <c:v>75%</c:v>
                </c:pt>
                <c:pt idx="15">
                  <c:v>99%</c:v>
                </c:pt>
                <c:pt idx="16">
                  <c:v>100%</c:v>
                </c:pt>
                <c:pt idx="17">
                  <c:v>0%</c:v>
                </c:pt>
                <c:pt idx="18">
                  <c:v>0%</c:v>
                </c:pt>
                <c:pt idx="19">
                  <c:v>100%</c:v>
                </c:pt>
                <c:pt idx="20">
                  <c:v>0%</c:v>
                </c:pt>
                <c:pt idx="21">
                  <c:v>0%</c:v>
                </c:pt>
                <c:pt idx="22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'14'!$D$6:$D$28</c:f>
              <c:strCache>
                <c:ptCount val="22"/>
                <c:pt idx="0">
                  <c:v>ADAPTER</c:v>
                </c:pt>
                <c:pt idx="1">
                  <c:v>LATCH</c:v>
                </c:pt>
                <c:pt idx="2">
                  <c:v>BASE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SLIDER</c:v>
                </c:pt>
                <c:pt idx="13">
                  <c:v>LID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'14'!$AD$6:$AD$28</c:f>
              <c:numCache>
                <c:formatCode>0%</c:formatCode>
                <c:ptCount val="23"/>
                <c:pt idx="0">
                  <c:v>0.58333333333333337</c:v>
                </c:pt>
                <c:pt idx="1">
                  <c:v>0.79166666666666663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0.41666666666666669</c:v>
                </c:pt>
                <c:pt idx="6">
                  <c:v>0.25</c:v>
                </c:pt>
                <c:pt idx="7">
                  <c:v>0.66666666666666663</c:v>
                </c:pt>
                <c:pt idx="8">
                  <c:v>1</c:v>
                </c:pt>
                <c:pt idx="9">
                  <c:v>0.33333333333333331</c:v>
                </c:pt>
                <c:pt idx="10">
                  <c:v>0</c:v>
                </c:pt>
                <c:pt idx="11">
                  <c:v>1</c:v>
                </c:pt>
                <c:pt idx="12">
                  <c:v>0.79166666666666663</c:v>
                </c:pt>
                <c:pt idx="13">
                  <c:v>0</c:v>
                </c:pt>
                <c:pt idx="14">
                  <c:v>0.75</c:v>
                </c:pt>
                <c:pt idx="15">
                  <c:v>0.98677498583034196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F6-401A-B6A4-6F10A8A0E6A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AF6-401A-B6A4-6F10A8A0E6A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'14'!$D$6:$D$28</c:f>
              <c:strCache>
                <c:ptCount val="22"/>
                <c:pt idx="0">
                  <c:v>ADAPTER</c:v>
                </c:pt>
                <c:pt idx="1">
                  <c:v>LATCH</c:v>
                </c:pt>
                <c:pt idx="2">
                  <c:v>BASE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SLIDER</c:v>
                </c:pt>
                <c:pt idx="13">
                  <c:v>LID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'14'!$AE$6:$AE$28</c:f>
              <c:numCache>
                <c:formatCode>0%</c:formatCode>
                <c:ptCount val="23"/>
                <c:pt idx="0">
                  <c:v>0.59000470952885553</c:v>
                </c:pt>
                <c:pt idx="1">
                  <c:v>0.59000470952885553</c:v>
                </c:pt>
                <c:pt idx="2">
                  <c:v>0.59000470952885553</c:v>
                </c:pt>
                <c:pt idx="3">
                  <c:v>0.59000470952885553</c:v>
                </c:pt>
                <c:pt idx="4">
                  <c:v>0.59000470952885553</c:v>
                </c:pt>
                <c:pt idx="5">
                  <c:v>0.59000470952885553</c:v>
                </c:pt>
                <c:pt idx="6">
                  <c:v>0.59000470952885553</c:v>
                </c:pt>
                <c:pt idx="7">
                  <c:v>0.59000470952885553</c:v>
                </c:pt>
                <c:pt idx="8">
                  <c:v>0.59000470952885553</c:v>
                </c:pt>
                <c:pt idx="9">
                  <c:v>0.59000470952885553</c:v>
                </c:pt>
                <c:pt idx="10">
                  <c:v>0.59000470952885553</c:v>
                </c:pt>
                <c:pt idx="11">
                  <c:v>0.59000470952885553</c:v>
                </c:pt>
                <c:pt idx="12">
                  <c:v>0.59000470952885553</c:v>
                </c:pt>
                <c:pt idx="13">
                  <c:v>0.59000470952885553</c:v>
                </c:pt>
                <c:pt idx="14">
                  <c:v>0.59000470952885553</c:v>
                </c:pt>
                <c:pt idx="15">
                  <c:v>0.59000470952885553</c:v>
                </c:pt>
                <c:pt idx="16">
                  <c:v>0.59000470952885553</c:v>
                </c:pt>
                <c:pt idx="17">
                  <c:v>0.59000470952885553</c:v>
                </c:pt>
                <c:pt idx="18">
                  <c:v>0.59000470952885553</c:v>
                </c:pt>
                <c:pt idx="19">
                  <c:v>0.59000470952885553</c:v>
                </c:pt>
                <c:pt idx="20">
                  <c:v>0.59000470952885553</c:v>
                </c:pt>
                <c:pt idx="21">
                  <c:v>0.59000470952885553</c:v>
                </c:pt>
                <c:pt idx="22">
                  <c:v>0.59000470952885553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F6-401A-B6A4-6F10A8A0E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'14'!$D$6:$D$28</c:f>
              <c:strCache>
                <c:ptCount val="22"/>
                <c:pt idx="0">
                  <c:v>ADAPTER</c:v>
                </c:pt>
                <c:pt idx="1">
                  <c:v>LATCH</c:v>
                </c:pt>
                <c:pt idx="2">
                  <c:v>BASE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SLIDER</c:v>
                </c:pt>
                <c:pt idx="13">
                  <c:v>LID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'14'!$L$6:$L$28</c:f>
              <c:numCache>
                <c:formatCode>_(* #,##0_);_(* \(#,##0\);_(* "-"_);_(@_)</c:formatCode>
                <c:ptCount val="23"/>
                <c:pt idx="0">
                  <c:v>6210</c:v>
                </c:pt>
                <c:pt idx="1">
                  <c:v>34552</c:v>
                </c:pt>
                <c:pt idx="2">
                  <c:v>4669</c:v>
                </c:pt>
                <c:pt idx="3">
                  <c:v>4815</c:v>
                </c:pt>
                <c:pt idx="4">
                  <c:v>10820</c:v>
                </c:pt>
                <c:pt idx="5">
                  <c:v>2071</c:v>
                </c:pt>
                <c:pt idx="6">
                  <c:v>1517</c:v>
                </c:pt>
                <c:pt idx="7">
                  <c:v>3050</c:v>
                </c:pt>
                <c:pt idx="8">
                  <c:v>4705</c:v>
                </c:pt>
                <c:pt idx="9">
                  <c:v>757</c:v>
                </c:pt>
                <c:pt idx="11">
                  <c:v>5939</c:v>
                </c:pt>
                <c:pt idx="12">
                  <c:v>13701</c:v>
                </c:pt>
                <c:pt idx="14">
                  <c:v>3568</c:v>
                </c:pt>
                <c:pt idx="15">
                  <c:v>5223</c:v>
                </c:pt>
                <c:pt idx="16">
                  <c:v>77956</c:v>
                </c:pt>
                <c:pt idx="19">
                  <c:v>7479</c:v>
                </c:pt>
                <c:pt idx="22">
                  <c:v>448864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72-48DC-ADA9-81485528B682}"/>
            </c:ext>
          </c:extLst>
        </c:ser>
        <c:ser>
          <c:idx val="1"/>
          <c:order val="1"/>
          <c:tx>
            <c:v>계획</c:v>
          </c:tx>
          <c:cat>
            <c:strRef>
              <c:f>'14'!$D$6:$D$28</c:f>
              <c:strCache>
                <c:ptCount val="22"/>
                <c:pt idx="0">
                  <c:v>ADAPTER</c:v>
                </c:pt>
                <c:pt idx="1">
                  <c:v>LATCH</c:v>
                </c:pt>
                <c:pt idx="2">
                  <c:v>BASE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SLIDER</c:v>
                </c:pt>
                <c:pt idx="13">
                  <c:v>LID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'14'!$J$6:$J$28</c:f>
              <c:numCache>
                <c:formatCode>_(* #,##0_);_(* \(#,##0\);_(* "-"_);_(@_)</c:formatCode>
                <c:ptCount val="23"/>
                <c:pt idx="0">
                  <c:v>6210</c:v>
                </c:pt>
                <c:pt idx="1">
                  <c:v>34552</c:v>
                </c:pt>
                <c:pt idx="2">
                  <c:v>4669</c:v>
                </c:pt>
                <c:pt idx="3">
                  <c:v>4815</c:v>
                </c:pt>
                <c:pt idx="4">
                  <c:v>10820</c:v>
                </c:pt>
                <c:pt idx="5">
                  <c:v>2071</c:v>
                </c:pt>
                <c:pt idx="6">
                  <c:v>1517</c:v>
                </c:pt>
                <c:pt idx="7">
                  <c:v>3050</c:v>
                </c:pt>
                <c:pt idx="8">
                  <c:v>4705</c:v>
                </c:pt>
                <c:pt idx="9">
                  <c:v>757</c:v>
                </c:pt>
                <c:pt idx="10">
                  <c:v>12356</c:v>
                </c:pt>
                <c:pt idx="11">
                  <c:v>5939</c:v>
                </c:pt>
                <c:pt idx="12">
                  <c:v>13701</c:v>
                </c:pt>
                <c:pt idx="13">
                  <c:v>4805</c:v>
                </c:pt>
                <c:pt idx="14">
                  <c:v>3568</c:v>
                </c:pt>
                <c:pt idx="15">
                  <c:v>5293</c:v>
                </c:pt>
                <c:pt idx="16">
                  <c:v>77956</c:v>
                </c:pt>
                <c:pt idx="17">
                  <c:v>0</c:v>
                </c:pt>
                <c:pt idx="18">
                  <c:v>0</c:v>
                </c:pt>
                <c:pt idx="19">
                  <c:v>7479</c:v>
                </c:pt>
                <c:pt idx="20">
                  <c:v>9988</c:v>
                </c:pt>
                <c:pt idx="21">
                  <c:v>11600</c:v>
                </c:pt>
                <c:pt idx="22">
                  <c:v>448864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72-48DC-ADA9-81485528B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'14'!$AD$6:$AD$28</c:f>
              <c:strCache>
                <c:ptCount val="23"/>
                <c:pt idx="0">
                  <c:v>58%</c:v>
                </c:pt>
                <c:pt idx="1">
                  <c:v>79%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42%</c:v>
                </c:pt>
                <c:pt idx="6">
                  <c:v>25%</c:v>
                </c:pt>
                <c:pt idx="7">
                  <c:v>67%</c:v>
                </c:pt>
                <c:pt idx="8">
                  <c:v>100%</c:v>
                </c:pt>
                <c:pt idx="9">
                  <c:v>33%</c:v>
                </c:pt>
                <c:pt idx="10">
                  <c:v>0%</c:v>
                </c:pt>
                <c:pt idx="11">
                  <c:v>100%</c:v>
                </c:pt>
                <c:pt idx="12">
                  <c:v>79%</c:v>
                </c:pt>
                <c:pt idx="13">
                  <c:v>0%</c:v>
                </c:pt>
                <c:pt idx="14">
                  <c:v>75%</c:v>
                </c:pt>
                <c:pt idx="15">
                  <c:v>99%</c:v>
                </c:pt>
                <c:pt idx="16">
                  <c:v>100%</c:v>
                </c:pt>
                <c:pt idx="17">
                  <c:v>0%</c:v>
                </c:pt>
                <c:pt idx="18">
                  <c:v>0%</c:v>
                </c:pt>
                <c:pt idx="19">
                  <c:v>100%</c:v>
                </c:pt>
                <c:pt idx="20">
                  <c:v>0%</c:v>
                </c:pt>
                <c:pt idx="21">
                  <c:v>0%</c:v>
                </c:pt>
                <c:pt idx="22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'14'!$D$6:$D$28</c:f>
              <c:strCache>
                <c:ptCount val="22"/>
                <c:pt idx="0">
                  <c:v>ADAPTER</c:v>
                </c:pt>
                <c:pt idx="1">
                  <c:v>LATCH</c:v>
                </c:pt>
                <c:pt idx="2">
                  <c:v>BASE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SLIDER</c:v>
                </c:pt>
                <c:pt idx="13">
                  <c:v>LID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'14'!$AD$6:$AD$28</c:f>
              <c:numCache>
                <c:formatCode>0%</c:formatCode>
                <c:ptCount val="23"/>
                <c:pt idx="0">
                  <c:v>0.58333333333333337</c:v>
                </c:pt>
                <c:pt idx="1">
                  <c:v>0.79166666666666663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0.41666666666666669</c:v>
                </c:pt>
                <c:pt idx="6">
                  <c:v>0.25</c:v>
                </c:pt>
                <c:pt idx="7">
                  <c:v>0.66666666666666663</c:v>
                </c:pt>
                <c:pt idx="8">
                  <c:v>1</c:v>
                </c:pt>
                <c:pt idx="9">
                  <c:v>0.33333333333333331</c:v>
                </c:pt>
                <c:pt idx="10">
                  <c:v>0</c:v>
                </c:pt>
                <c:pt idx="11">
                  <c:v>1</c:v>
                </c:pt>
                <c:pt idx="12">
                  <c:v>0.79166666666666663</c:v>
                </c:pt>
                <c:pt idx="13">
                  <c:v>0</c:v>
                </c:pt>
                <c:pt idx="14">
                  <c:v>0.75</c:v>
                </c:pt>
                <c:pt idx="15">
                  <c:v>0.98677498583034196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7B-4064-92D0-DD3680EA5BE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D7B-4064-92D0-DD3680EA5BE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'14'!$D$6:$D$28</c:f>
              <c:strCache>
                <c:ptCount val="22"/>
                <c:pt idx="0">
                  <c:v>ADAPTER</c:v>
                </c:pt>
                <c:pt idx="1">
                  <c:v>LATCH</c:v>
                </c:pt>
                <c:pt idx="2">
                  <c:v>BASE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SLIDER</c:v>
                </c:pt>
                <c:pt idx="13">
                  <c:v>LID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'14'!$AE$6:$AE$28</c:f>
              <c:numCache>
                <c:formatCode>0%</c:formatCode>
                <c:ptCount val="23"/>
                <c:pt idx="0">
                  <c:v>0.59000470952885553</c:v>
                </c:pt>
                <c:pt idx="1">
                  <c:v>0.59000470952885553</c:v>
                </c:pt>
                <c:pt idx="2">
                  <c:v>0.59000470952885553</c:v>
                </c:pt>
                <c:pt idx="3">
                  <c:v>0.59000470952885553</c:v>
                </c:pt>
                <c:pt idx="4">
                  <c:v>0.59000470952885553</c:v>
                </c:pt>
                <c:pt idx="5">
                  <c:v>0.59000470952885553</c:v>
                </c:pt>
                <c:pt idx="6">
                  <c:v>0.59000470952885553</c:v>
                </c:pt>
                <c:pt idx="7">
                  <c:v>0.59000470952885553</c:v>
                </c:pt>
                <c:pt idx="8">
                  <c:v>0.59000470952885553</c:v>
                </c:pt>
                <c:pt idx="9">
                  <c:v>0.59000470952885553</c:v>
                </c:pt>
                <c:pt idx="10">
                  <c:v>0.59000470952885553</c:v>
                </c:pt>
                <c:pt idx="11">
                  <c:v>0.59000470952885553</c:v>
                </c:pt>
                <c:pt idx="12">
                  <c:v>0.59000470952885553</c:v>
                </c:pt>
                <c:pt idx="13">
                  <c:v>0.59000470952885553</c:v>
                </c:pt>
                <c:pt idx="14">
                  <c:v>0.59000470952885553</c:v>
                </c:pt>
                <c:pt idx="15">
                  <c:v>0.59000470952885553</c:v>
                </c:pt>
                <c:pt idx="16">
                  <c:v>0.59000470952885553</c:v>
                </c:pt>
                <c:pt idx="17">
                  <c:v>0.59000470952885553</c:v>
                </c:pt>
                <c:pt idx="18">
                  <c:v>0.59000470952885553</c:v>
                </c:pt>
                <c:pt idx="19">
                  <c:v>0.59000470952885553</c:v>
                </c:pt>
                <c:pt idx="20">
                  <c:v>0.59000470952885553</c:v>
                </c:pt>
                <c:pt idx="21">
                  <c:v>0.59000470952885553</c:v>
                </c:pt>
                <c:pt idx="22">
                  <c:v>0.59000470952885553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7B-4064-92D0-DD3680EA5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C57-4EC4-99AD-7A143B94EF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0.68147728498178428</c:v>
                </c:pt>
                <c:pt idx="1">
                  <c:v>0.64962121212121204</c:v>
                </c:pt>
                <c:pt idx="2">
                  <c:v>0.37121212121212116</c:v>
                </c:pt>
                <c:pt idx="4">
                  <c:v>0.47282608695652184</c:v>
                </c:pt>
                <c:pt idx="5">
                  <c:v>0.55303030303030298</c:v>
                </c:pt>
                <c:pt idx="6">
                  <c:v>0.45833333333333331</c:v>
                </c:pt>
                <c:pt idx="7">
                  <c:v>0.47282608695652173</c:v>
                </c:pt>
                <c:pt idx="8">
                  <c:v>0.34567901234567905</c:v>
                </c:pt>
                <c:pt idx="9">
                  <c:v>0.41098484848484856</c:v>
                </c:pt>
                <c:pt idx="11">
                  <c:v>0.36742424242424243</c:v>
                </c:pt>
                <c:pt idx="12">
                  <c:v>0.48863636363636354</c:v>
                </c:pt>
                <c:pt idx="13">
                  <c:v>0.59000470952885553</c:v>
                </c:pt>
                <c:pt idx="14">
                  <c:v>0.58712121212121204</c:v>
                </c:pt>
                <c:pt idx="15">
                  <c:v>0.53462982364239564</c:v>
                </c:pt>
                <c:pt idx="16">
                  <c:v>0.45075757575757575</c:v>
                </c:pt>
                <c:pt idx="18">
                  <c:v>0.54356060606060608</c:v>
                </c:pt>
                <c:pt idx="19">
                  <c:v>0.39855072463768115</c:v>
                </c:pt>
                <c:pt idx="20">
                  <c:v>0.29347826086956524</c:v>
                </c:pt>
                <c:pt idx="21">
                  <c:v>0.45619957956867979</c:v>
                </c:pt>
                <c:pt idx="22">
                  <c:v>0.56060606060606066</c:v>
                </c:pt>
                <c:pt idx="23">
                  <c:v>0.45108695652173914</c:v>
                </c:pt>
                <c:pt idx="25">
                  <c:v>0.41493055555555552</c:v>
                </c:pt>
                <c:pt idx="26">
                  <c:v>0.53598484848484851</c:v>
                </c:pt>
                <c:pt idx="27">
                  <c:v>0.43560606060606055</c:v>
                </c:pt>
                <c:pt idx="28">
                  <c:v>0.42234848484848481</c:v>
                </c:pt>
                <c:pt idx="29">
                  <c:v>0.42529900929110415</c:v>
                </c:pt>
                <c:pt idx="31">
                  <c:v>0.41240717878611177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57-4EC4-99AD-7A143B94E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1C57-4EC4-99AD-7A143B94EF9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57-4EC4-99AD-7A143B94E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'15'!$D$6:$D$27</c:f>
              <c:strCache>
                <c:ptCount val="21"/>
                <c:pt idx="0">
                  <c:v>ADAPTER</c:v>
                </c:pt>
                <c:pt idx="1">
                  <c:v>LATCH</c:v>
                </c:pt>
                <c:pt idx="2">
                  <c:v>BASE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'15'!$L$6:$L$27</c:f>
              <c:numCache>
                <c:formatCode>_(* #,##0_);_(* \(#,##0\);_(* "-"_);_(@_)</c:formatCode>
                <c:ptCount val="22"/>
                <c:pt idx="0">
                  <c:v>12800</c:v>
                </c:pt>
                <c:pt idx="2">
                  <c:v>4519</c:v>
                </c:pt>
                <c:pt idx="3">
                  <c:v>3688</c:v>
                </c:pt>
                <c:pt idx="4">
                  <c:v>10780</c:v>
                </c:pt>
                <c:pt idx="6">
                  <c:v>5463</c:v>
                </c:pt>
                <c:pt idx="7">
                  <c:v>5375</c:v>
                </c:pt>
                <c:pt idx="8">
                  <c:v>921</c:v>
                </c:pt>
                <c:pt idx="10">
                  <c:v>4717</c:v>
                </c:pt>
                <c:pt idx="11">
                  <c:v>18378</c:v>
                </c:pt>
                <c:pt idx="12">
                  <c:v>4611</c:v>
                </c:pt>
                <c:pt idx="13">
                  <c:v>5398</c:v>
                </c:pt>
                <c:pt idx="14">
                  <c:v>3767</c:v>
                </c:pt>
                <c:pt idx="15">
                  <c:v>67572</c:v>
                </c:pt>
                <c:pt idx="18">
                  <c:v>7369</c:v>
                </c:pt>
                <c:pt idx="21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F4-412C-9E81-CDA7FB7FF5E7}"/>
            </c:ext>
          </c:extLst>
        </c:ser>
        <c:ser>
          <c:idx val="1"/>
          <c:order val="1"/>
          <c:tx>
            <c:v>계획</c:v>
          </c:tx>
          <c:cat>
            <c:strRef>
              <c:f>'15'!$D$6:$D$27</c:f>
              <c:strCache>
                <c:ptCount val="21"/>
                <c:pt idx="0">
                  <c:v>ADAPTER</c:v>
                </c:pt>
                <c:pt idx="1">
                  <c:v>LATCH</c:v>
                </c:pt>
                <c:pt idx="2">
                  <c:v>BASE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'15'!$J$6:$J$27</c:f>
              <c:numCache>
                <c:formatCode>_(* #,##0_);_(* \(#,##0\);_(* "-"_);_(@_)</c:formatCode>
                <c:ptCount val="22"/>
                <c:pt idx="0">
                  <c:v>12800</c:v>
                </c:pt>
                <c:pt idx="1">
                  <c:v>34552</c:v>
                </c:pt>
                <c:pt idx="2">
                  <c:v>4519</c:v>
                </c:pt>
                <c:pt idx="3">
                  <c:v>3688</c:v>
                </c:pt>
                <c:pt idx="4">
                  <c:v>10780</c:v>
                </c:pt>
                <c:pt idx="5">
                  <c:v>2071</c:v>
                </c:pt>
                <c:pt idx="6">
                  <c:v>5463</c:v>
                </c:pt>
                <c:pt idx="7">
                  <c:v>5375</c:v>
                </c:pt>
                <c:pt idx="8">
                  <c:v>921</c:v>
                </c:pt>
                <c:pt idx="9">
                  <c:v>12356</c:v>
                </c:pt>
                <c:pt idx="10">
                  <c:v>4717</c:v>
                </c:pt>
                <c:pt idx="11">
                  <c:v>18378</c:v>
                </c:pt>
                <c:pt idx="12">
                  <c:v>4611</c:v>
                </c:pt>
                <c:pt idx="13">
                  <c:v>5398</c:v>
                </c:pt>
                <c:pt idx="14">
                  <c:v>3767</c:v>
                </c:pt>
                <c:pt idx="15">
                  <c:v>67572</c:v>
                </c:pt>
                <c:pt idx="16">
                  <c:v>0</c:v>
                </c:pt>
                <c:pt idx="17">
                  <c:v>0</c:v>
                </c:pt>
                <c:pt idx="18">
                  <c:v>7369</c:v>
                </c:pt>
                <c:pt idx="19">
                  <c:v>9988</c:v>
                </c:pt>
                <c:pt idx="20">
                  <c:v>11600</c:v>
                </c:pt>
                <c:pt idx="21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F4-412C-9E81-CDA7FB7FF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'15'!$AD$6:$AD$27</c:f>
              <c:strCache>
                <c:ptCount val="22"/>
                <c:pt idx="0">
                  <c:v>96%</c:v>
                </c:pt>
                <c:pt idx="1">
                  <c:v>0%</c:v>
                </c:pt>
                <c:pt idx="2">
                  <c:v>100%</c:v>
                </c:pt>
                <c:pt idx="3">
                  <c:v>79%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50%</c:v>
                </c:pt>
                <c:pt idx="9">
                  <c:v>0%</c:v>
                </c:pt>
                <c:pt idx="10">
                  <c:v>88%</c:v>
                </c:pt>
                <c:pt idx="11">
                  <c:v>100%</c:v>
                </c:pt>
                <c:pt idx="12">
                  <c:v>83%</c:v>
                </c:pt>
                <c:pt idx="13">
                  <c:v>100%</c:v>
                </c:pt>
                <c:pt idx="14">
                  <c:v>79%</c:v>
                </c:pt>
                <c:pt idx="15">
                  <c:v>92%</c:v>
                </c:pt>
                <c:pt idx="16">
                  <c:v>0%</c:v>
                </c:pt>
                <c:pt idx="17">
                  <c:v>0%</c:v>
                </c:pt>
                <c:pt idx="18">
                  <c:v>100%</c:v>
                </c:pt>
                <c:pt idx="19">
                  <c:v>0%</c:v>
                </c:pt>
                <c:pt idx="20">
                  <c:v>0%</c:v>
                </c:pt>
                <c:pt idx="21">
                  <c:v>25%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'15'!$D$6:$D$27</c:f>
              <c:strCache>
                <c:ptCount val="21"/>
                <c:pt idx="0">
                  <c:v>ADAPTER</c:v>
                </c:pt>
                <c:pt idx="1">
                  <c:v>LATCH</c:v>
                </c:pt>
                <c:pt idx="2">
                  <c:v>BASE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'15'!$AD$6:$AD$27</c:f>
              <c:numCache>
                <c:formatCode>0%</c:formatCode>
                <c:ptCount val="22"/>
                <c:pt idx="0">
                  <c:v>0.95833333333333337</c:v>
                </c:pt>
                <c:pt idx="1">
                  <c:v>0</c:v>
                </c:pt>
                <c:pt idx="2">
                  <c:v>1</c:v>
                </c:pt>
                <c:pt idx="3">
                  <c:v>0.79166666666666663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0.5</c:v>
                </c:pt>
                <c:pt idx="9">
                  <c:v>0</c:v>
                </c:pt>
                <c:pt idx="10">
                  <c:v>0.875</c:v>
                </c:pt>
                <c:pt idx="11">
                  <c:v>1</c:v>
                </c:pt>
                <c:pt idx="12">
                  <c:v>0.83333333333333337</c:v>
                </c:pt>
                <c:pt idx="13">
                  <c:v>1</c:v>
                </c:pt>
                <c:pt idx="14">
                  <c:v>0.79166666666666663</c:v>
                </c:pt>
                <c:pt idx="15">
                  <c:v>0.91666666666666663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42-4F4D-BE78-4BD2038FDE6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842-4F4D-BE78-4BD2038FDE6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'15'!$D$6:$D$27</c:f>
              <c:strCache>
                <c:ptCount val="21"/>
                <c:pt idx="0">
                  <c:v>ADAPTER</c:v>
                </c:pt>
                <c:pt idx="1">
                  <c:v>LATCH</c:v>
                </c:pt>
                <c:pt idx="2">
                  <c:v>BASE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'15'!$AE$6:$AE$27</c:f>
              <c:numCache>
                <c:formatCode>0%</c:formatCode>
                <c:ptCount val="22"/>
                <c:pt idx="0">
                  <c:v>0.58712121212121204</c:v>
                </c:pt>
                <c:pt idx="1">
                  <c:v>0.58712121212121204</c:v>
                </c:pt>
                <c:pt idx="2">
                  <c:v>0.58712121212121204</c:v>
                </c:pt>
                <c:pt idx="3">
                  <c:v>0.58712121212121204</c:v>
                </c:pt>
                <c:pt idx="4">
                  <c:v>0.58712121212121204</c:v>
                </c:pt>
                <c:pt idx="5">
                  <c:v>0.58712121212121204</c:v>
                </c:pt>
                <c:pt idx="6">
                  <c:v>0.58712121212121204</c:v>
                </c:pt>
                <c:pt idx="7">
                  <c:v>0.58712121212121204</c:v>
                </c:pt>
                <c:pt idx="8">
                  <c:v>0.58712121212121204</c:v>
                </c:pt>
                <c:pt idx="9">
                  <c:v>0.58712121212121204</c:v>
                </c:pt>
                <c:pt idx="10">
                  <c:v>0.58712121212121204</c:v>
                </c:pt>
                <c:pt idx="11">
                  <c:v>0.58712121212121204</c:v>
                </c:pt>
                <c:pt idx="12">
                  <c:v>0.58712121212121204</c:v>
                </c:pt>
                <c:pt idx="13">
                  <c:v>0.58712121212121204</c:v>
                </c:pt>
                <c:pt idx="14">
                  <c:v>0.58712121212121204</c:v>
                </c:pt>
                <c:pt idx="15">
                  <c:v>0.58712121212121204</c:v>
                </c:pt>
                <c:pt idx="16">
                  <c:v>0.58712121212121204</c:v>
                </c:pt>
                <c:pt idx="17">
                  <c:v>0.58712121212121204</c:v>
                </c:pt>
                <c:pt idx="18">
                  <c:v>0.58712121212121204</c:v>
                </c:pt>
                <c:pt idx="19">
                  <c:v>0.58712121212121204</c:v>
                </c:pt>
                <c:pt idx="20">
                  <c:v>0.58712121212121204</c:v>
                </c:pt>
                <c:pt idx="21">
                  <c:v>0.58712121212121204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42-4F4D-BE78-4BD2038FD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'15'!$D$6:$D$27</c:f>
              <c:strCache>
                <c:ptCount val="21"/>
                <c:pt idx="0">
                  <c:v>ADAPTER</c:v>
                </c:pt>
                <c:pt idx="1">
                  <c:v>LATCH</c:v>
                </c:pt>
                <c:pt idx="2">
                  <c:v>BASE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'15'!$L$6:$L$27</c:f>
              <c:numCache>
                <c:formatCode>_(* #,##0_);_(* \(#,##0\);_(* "-"_);_(@_)</c:formatCode>
                <c:ptCount val="22"/>
                <c:pt idx="0">
                  <c:v>12800</c:v>
                </c:pt>
                <c:pt idx="2">
                  <c:v>4519</c:v>
                </c:pt>
                <c:pt idx="3">
                  <c:v>3688</c:v>
                </c:pt>
                <c:pt idx="4">
                  <c:v>10780</c:v>
                </c:pt>
                <c:pt idx="6">
                  <c:v>5463</c:v>
                </c:pt>
                <c:pt idx="7">
                  <c:v>5375</c:v>
                </c:pt>
                <c:pt idx="8">
                  <c:v>921</c:v>
                </c:pt>
                <c:pt idx="10">
                  <c:v>4717</c:v>
                </c:pt>
                <c:pt idx="11">
                  <c:v>18378</c:v>
                </c:pt>
                <c:pt idx="12">
                  <c:v>4611</c:v>
                </c:pt>
                <c:pt idx="13">
                  <c:v>5398</c:v>
                </c:pt>
                <c:pt idx="14">
                  <c:v>3767</c:v>
                </c:pt>
                <c:pt idx="15">
                  <c:v>67572</c:v>
                </c:pt>
                <c:pt idx="18">
                  <c:v>7369</c:v>
                </c:pt>
                <c:pt idx="21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1E-40A6-9532-55C5B3EFF7CA}"/>
            </c:ext>
          </c:extLst>
        </c:ser>
        <c:ser>
          <c:idx val="1"/>
          <c:order val="1"/>
          <c:tx>
            <c:v>계획</c:v>
          </c:tx>
          <c:cat>
            <c:strRef>
              <c:f>'15'!$D$6:$D$27</c:f>
              <c:strCache>
                <c:ptCount val="21"/>
                <c:pt idx="0">
                  <c:v>ADAPTER</c:v>
                </c:pt>
                <c:pt idx="1">
                  <c:v>LATCH</c:v>
                </c:pt>
                <c:pt idx="2">
                  <c:v>BASE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'15'!$J$6:$J$27</c:f>
              <c:numCache>
                <c:formatCode>_(* #,##0_);_(* \(#,##0\);_(* "-"_);_(@_)</c:formatCode>
                <c:ptCount val="22"/>
                <c:pt idx="0">
                  <c:v>12800</c:v>
                </c:pt>
                <c:pt idx="1">
                  <c:v>34552</c:v>
                </c:pt>
                <c:pt idx="2">
                  <c:v>4519</c:v>
                </c:pt>
                <c:pt idx="3">
                  <c:v>3688</c:v>
                </c:pt>
                <c:pt idx="4">
                  <c:v>10780</c:v>
                </c:pt>
                <c:pt idx="5">
                  <c:v>2071</c:v>
                </c:pt>
                <c:pt idx="6">
                  <c:v>5463</c:v>
                </c:pt>
                <c:pt idx="7">
                  <c:v>5375</c:v>
                </c:pt>
                <c:pt idx="8">
                  <c:v>921</c:v>
                </c:pt>
                <c:pt idx="9">
                  <c:v>12356</c:v>
                </c:pt>
                <c:pt idx="10">
                  <c:v>4717</c:v>
                </c:pt>
                <c:pt idx="11">
                  <c:v>18378</c:v>
                </c:pt>
                <c:pt idx="12">
                  <c:v>4611</c:v>
                </c:pt>
                <c:pt idx="13">
                  <c:v>5398</c:v>
                </c:pt>
                <c:pt idx="14">
                  <c:v>3767</c:v>
                </c:pt>
                <c:pt idx="15">
                  <c:v>67572</c:v>
                </c:pt>
                <c:pt idx="16">
                  <c:v>0</c:v>
                </c:pt>
                <c:pt idx="17">
                  <c:v>0</c:v>
                </c:pt>
                <c:pt idx="18">
                  <c:v>7369</c:v>
                </c:pt>
                <c:pt idx="19">
                  <c:v>9988</c:v>
                </c:pt>
                <c:pt idx="20">
                  <c:v>11600</c:v>
                </c:pt>
                <c:pt idx="21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1E-40A6-9532-55C5B3EFF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'15'!$AD$6:$AD$27</c:f>
              <c:strCache>
                <c:ptCount val="22"/>
                <c:pt idx="0">
                  <c:v>96%</c:v>
                </c:pt>
                <c:pt idx="1">
                  <c:v>0%</c:v>
                </c:pt>
                <c:pt idx="2">
                  <c:v>100%</c:v>
                </c:pt>
                <c:pt idx="3">
                  <c:v>79%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50%</c:v>
                </c:pt>
                <c:pt idx="9">
                  <c:v>0%</c:v>
                </c:pt>
                <c:pt idx="10">
                  <c:v>88%</c:v>
                </c:pt>
                <c:pt idx="11">
                  <c:v>100%</c:v>
                </c:pt>
                <c:pt idx="12">
                  <c:v>83%</c:v>
                </c:pt>
                <c:pt idx="13">
                  <c:v>100%</c:v>
                </c:pt>
                <c:pt idx="14">
                  <c:v>79%</c:v>
                </c:pt>
                <c:pt idx="15">
                  <c:v>92%</c:v>
                </c:pt>
                <c:pt idx="16">
                  <c:v>0%</c:v>
                </c:pt>
                <c:pt idx="17">
                  <c:v>0%</c:v>
                </c:pt>
                <c:pt idx="18">
                  <c:v>100%</c:v>
                </c:pt>
                <c:pt idx="19">
                  <c:v>0%</c:v>
                </c:pt>
                <c:pt idx="20">
                  <c:v>0%</c:v>
                </c:pt>
                <c:pt idx="21">
                  <c:v>25%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'15'!$D$6:$D$27</c:f>
              <c:strCache>
                <c:ptCount val="21"/>
                <c:pt idx="0">
                  <c:v>ADAPTER</c:v>
                </c:pt>
                <c:pt idx="1">
                  <c:v>LATCH</c:v>
                </c:pt>
                <c:pt idx="2">
                  <c:v>BASE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'15'!$AD$6:$AD$27</c:f>
              <c:numCache>
                <c:formatCode>0%</c:formatCode>
                <c:ptCount val="22"/>
                <c:pt idx="0">
                  <c:v>0.95833333333333337</c:v>
                </c:pt>
                <c:pt idx="1">
                  <c:v>0</c:v>
                </c:pt>
                <c:pt idx="2">
                  <c:v>1</c:v>
                </c:pt>
                <c:pt idx="3">
                  <c:v>0.79166666666666663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0.5</c:v>
                </c:pt>
                <c:pt idx="9">
                  <c:v>0</c:v>
                </c:pt>
                <c:pt idx="10">
                  <c:v>0.875</c:v>
                </c:pt>
                <c:pt idx="11">
                  <c:v>1</c:v>
                </c:pt>
                <c:pt idx="12">
                  <c:v>0.83333333333333337</c:v>
                </c:pt>
                <c:pt idx="13">
                  <c:v>1</c:v>
                </c:pt>
                <c:pt idx="14">
                  <c:v>0.79166666666666663</c:v>
                </c:pt>
                <c:pt idx="15">
                  <c:v>0.91666666666666663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A1-4E1E-BCD5-9F42C16BCED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EA1-4E1E-BCD5-9F42C16BCED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'15'!$D$6:$D$27</c:f>
              <c:strCache>
                <c:ptCount val="21"/>
                <c:pt idx="0">
                  <c:v>ADAPTER</c:v>
                </c:pt>
                <c:pt idx="1">
                  <c:v>LATCH</c:v>
                </c:pt>
                <c:pt idx="2">
                  <c:v>BASE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'15'!$AE$6:$AE$27</c:f>
              <c:numCache>
                <c:formatCode>0%</c:formatCode>
                <c:ptCount val="22"/>
                <c:pt idx="0">
                  <c:v>0.58712121212121204</c:v>
                </c:pt>
                <c:pt idx="1">
                  <c:v>0.58712121212121204</c:v>
                </c:pt>
                <c:pt idx="2">
                  <c:v>0.58712121212121204</c:v>
                </c:pt>
                <c:pt idx="3">
                  <c:v>0.58712121212121204</c:v>
                </c:pt>
                <c:pt idx="4">
                  <c:v>0.58712121212121204</c:v>
                </c:pt>
                <c:pt idx="5">
                  <c:v>0.58712121212121204</c:v>
                </c:pt>
                <c:pt idx="6">
                  <c:v>0.58712121212121204</c:v>
                </c:pt>
                <c:pt idx="7">
                  <c:v>0.58712121212121204</c:v>
                </c:pt>
                <c:pt idx="8">
                  <c:v>0.58712121212121204</c:v>
                </c:pt>
                <c:pt idx="9">
                  <c:v>0.58712121212121204</c:v>
                </c:pt>
                <c:pt idx="10">
                  <c:v>0.58712121212121204</c:v>
                </c:pt>
                <c:pt idx="11">
                  <c:v>0.58712121212121204</c:v>
                </c:pt>
                <c:pt idx="12">
                  <c:v>0.58712121212121204</c:v>
                </c:pt>
                <c:pt idx="13">
                  <c:v>0.58712121212121204</c:v>
                </c:pt>
                <c:pt idx="14">
                  <c:v>0.58712121212121204</c:v>
                </c:pt>
                <c:pt idx="15">
                  <c:v>0.58712121212121204</c:v>
                </c:pt>
                <c:pt idx="16">
                  <c:v>0.58712121212121204</c:v>
                </c:pt>
                <c:pt idx="17">
                  <c:v>0.58712121212121204</c:v>
                </c:pt>
                <c:pt idx="18">
                  <c:v>0.58712121212121204</c:v>
                </c:pt>
                <c:pt idx="19">
                  <c:v>0.58712121212121204</c:v>
                </c:pt>
                <c:pt idx="20">
                  <c:v>0.58712121212121204</c:v>
                </c:pt>
                <c:pt idx="21">
                  <c:v>0.58712121212121204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A1-4E1E-BCD5-9F42C16BC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158-4242-9D06-396DE11BA9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0.68147728498178428</c:v>
                </c:pt>
                <c:pt idx="1">
                  <c:v>0.64962121212121204</c:v>
                </c:pt>
                <c:pt idx="2">
                  <c:v>0.37121212121212116</c:v>
                </c:pt>
                <c:pt idx="4">
                  <c:v>0.47282608695652184</c:v>
                </c:pt>
                <c:pt idx="5">
                  <c:v>0.55303030303030298</c:v>
                </c:pt>
                <c:pt idx="6">
                  <c:v>0.45833333333333331</c:v>
                </c:pt>
                <c:pt idx="7">
                  <c:v>0.47282608695652173</c:v>
                </c:pt>
                <c:pt idx="8">
                  <c:v>0.34567901234567905</c:v>
                </c:pt>
                <c:pt idx="9">
                  <c:v>0.41098484848484856</c:v>
                </c:pt>
                <c:pt idx="11">
                  <c:v>0.36742424242424243</c:v>
                </c:pt>
                <c:pt idx="12">
                  <c:v>0.48863636363636354</c:v>
                </c:pt>
                <c:pt idx="13">
                  <c:v>0.59000470952885553</c:v>
                </c:pt>
                <c:pt idx="14">
                  <c:v>0.58712121212121204</c:v>
                </c:pt>
                <c:pt idx="15">
                  <c:v>0.53462982364239564</c:v>
                </c:pt>
                <c:pt idx="16">
                  <c:v>0.45075757575757575</c:v>
                </c:pt>
                <c:pt idx="18">
                  <c:v>0.54356060606060608</c:v>
                </c:pt>
                <c:pt idx="19">
                  <c:v>0.39855072463768115</c:v>
                </c:pt>
                <c:pt idx="20">
                  <c:v>0.29347826086956524</c:v>
                </c:pt>
                <c:pt idx="21">
                  <c:v>0.45619957956867979</c:v>
                </c:pt>
                <c:pt idx="22">
                  <c:v>0.56060606060606066</c:v>
                </c:pt>
                <c:pt idx="23">
                  <c:v>0.45108695652173914</c:v>
                </c:pt>
                <c:pt idx="25">
                  <c:v>0.41493055555555552</c:v>
                </c:pt>
                <c:pt idx="26">
                  <c:v>0.53598484848484851</c:v>
                </c:pt>
                <c:pt idx="27">
                  <c:v>0.43560606060606055</c:v>
                </c:pt>
                <c:pt idx="28">
                  <c:v>0.42234848484848481</c:v>
                </c:pt>
                <c:pt idx="29">
                  <c:v>0.42529900929110415</c:v>
                </c:pt>
                <c:pt idx="31">
                  <c:v>0.41240717878611177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58-4242-9D06-396DE11BA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158-4242-9D06-396DE11BA9F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58-4242-9D06-396DE11BA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'16'!$D$6:$D$28</c:f>
              <c:strCache>
                <c:ptCount val="22"/>
                <c:pt idx="0">
                  <c:v>ADAPTER</c:v>
                </c:pt>
                <c:pt idx="1">
                  <c:v>LATCH</c:v>
                </c:pt>
                <c:pt idx="2">
                  <c:v>BASE</c:v>
                </c:pt>
                <c:pt idx="3">
                  <c:v>SLIDER</c:v>
                </c:pt>
                <c:pt idx="4">
                  <c:v>SLIDER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SLIDER</c:v>
                </c:pt>
                <c:pt idx="13">
                  <c:v>STOPPPER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'16'!$L$6:$L$28</c:f>
              <c:numCache>
                <c:formatCode>_(* #,##0_);_(* \(#,##0\);_(* "-"_);_(@_)</c:formatCode>
                <c:ptCount val="23"/>
                <c:pt idx="0">
                  <c:v>10648</c:v>
                </c:pt>
                <c:pt idx="2">
                  <c:v>2124</c:v>
                </c:pt>
                <c:pt idx="3">
                  <c:v>864</c:v>
                </c:pt>
                <c:pt idx="4">
                  <c:v>2021</c:v>
                </c:pt>
                <c:pt idx="5">
                  <c:v>10162</c:v>
                </c:pt>
                <c:pt idx="7">
                  <c:v>5497</c:v>
                </c:pt>
                <c:pt idx="8">
                  <c:v>5408</c:v>
                </c:pt>
                <c:pt idx="11">
                  <c:v>5376</c:v>
                </c:pt>
                <c:pt idx="12">
                  <c:v>18492</c:v>
                </c:pt>
                <c:pt idx="13">
                  <c:v>6255</c:v>
                </c:pt>
                <c:pt idx="14">
                  <c:v>5390</c:v>
                </c:pt>
                <c:pt idx="15">
                  <c:v>5214</c:v>
                </c:pt>
                <c:pt idx="16">
                  <c:v>72180</c:v>
                </c:pt>
                <c:pt idx="19">
                  <c:v>7360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65-4BA1-B4B1-5BDFEFE4D016}"/>
            </c:ext>
          </c:extLst>
        </c:ser>
        <c:ser>
          <c:idx val="1"/>
          <c:order val="1"/>
          <c:tx>
            <c:v>계획</c:v>
          </c:tx>
          <c:cat>
            <c:strRef>
              <c:f>'16'!$D$6:$D$28</c:f>
              <c:strCache>
                <c:ptCount val="22"/>
                <c:pt idx="0">
                  <c:v>ADAPTER</c:v>
                </c:pt>
                <c:pt idx="1">
                  <c:v>LATCH</c:v>
                </c:pt>
                <c:pt idx="2">
                  <c:v>BASE</c:v>
                </c:pt>
                <c:pt idx="3">
                  <c:v>SLIDER</c:v>
                </c:pt>
                <c:pt idx="4">
                  <c:v>SLIDER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SLIDER</c:v>
                </c:pt>
                <c:pt idx="13">
                  <c:v>STOPPPER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'16'!$J$6:$J$28</c:f>
              <c:numCache>
                <c:formatCode>_(* #,##0_);_(* \(#,##0\);_(* "-"_);_(@_)</c:formatCode>
                <c:ptCount val="23"/>
                <c:pt idx="0">
                  <c:v>10648</c:v>
                </c:pt>
                <c:pt idx="1">
                  <c:v>34552</c:v>
                </c:pt>
                <c:pt idx="2">
                  <c:v>2124</c:v>
                </c:pt>
                <c:pt idx="3">
                  <c:v>864</c:v>
                </c:pt>
                <c:pt idx="4">
                  <c:v>2021</c:v>
                </c:pt>
                <c:pt idx="5">
                  <c:v>10162</c:v>
                </c:pt>
                <c:pt idx="6">
                  <c:v>2071</c:v>
                </c:pt>
                <c:pt idx="7">
                  <c:v>5497</c:v>
                </c:pt>
                <c:pt idx="8">
                  <c:v>5408</c:v>
                </c:pt>
                <c:pt idx="9">
                  <c:v>921</c:v>
                </c:pt>
                <c:pt idx="10">
                  <c:v>12356</c:v>
                </c:pt>
                <c:pt idx="11">
                  <c:v>5376</c:v>
                </c:pt>
                <c:pt idx="12">
                  <c:v>18492</c:v>
                </c:pt>
                <c:pt idx="13">
                  <c:v>6225</c:v>
                </c:pt>
                <c:pt idx="14">
                  <c:v>5390</c:v>
                </c:pt>
                <c:pt idx="15">
                  <c:v>5214</c:v>
                </c:pt>
                <c:pt idx="16">
                  <c:v>72180</c:v>
                </c:pt>
                <c:pt idx="17">
                  <c:v>0</c:v>
                </c:pt>
                <c:pt idx="18">
                  <c:v>0</c:v>
                </c:pt>
                <c:pt idx="19">
                  <c:v>7360</c:v>
                </c:pt>
                <c:pt idx="20">
                  <c:v>9988</c:v>
                </c:pt>
                <c:pt idx="21">
                  <c:v>11600</c:v>
                </c:pt>
                <c:pt idx="22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65-4BA1-B4B1-5BDFEFE4D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'16'!$AD$6:$AD$28</c:f>
              <c:strCache>
                <c:ptCount val="23"/>
                <c:pt idx="0">
                  <c:v>88%</c:v>
                </c:pt>
                <c:pt idx="1">
                  <c:v>0%</c:v>
                </c:pt>
                <c:pt idx="2">
                  <c:v>33%</c:v>
                </c:pt>
                <c:pt idx="3">
                  <c:v>54%</c:v>
                </c:pt>
                <c:pt idx="4">
                  <c:v>54%</c:v>
                </c:pt>
                <c:pt idx="5">
                  <c:v>100%</c:v>
                </c:pt>
                <c:pt idx="6">
                  <c:v>0%</c:v>
                </c:pt>
                <c:pt idx="7">
                  <c:v>100%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100%</c:v>
                </c:pt>
                <c:pt idx="14">
                  <c:v>100%</c:v>
                </c:pt>
                <c:pt idx="15">
                  <c:v>100%</c:v>
                </c:pt>
                <c:pt idx="16">
                  <c:v>100%</c:v>
                </c:pt>
                <c:pt idx="17">
                  <c:v>0%</c:v>
                </c:pt>
                <c:pt idx="18">
                  <c:v>0%</c:v>
                </c:pt>
                <c:pt idx="19">
                  <c:v>100%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'16'!$D$6:$D$28</c:f>
              <c:strCache>
                <c:ptCount val="22"/>
                <c:pt idx="0">
                  <c:v>ADAPTER</c:v>
                </c:pt>
                <c:pt idx="1">
                  <c:v>LATCH</c:v>
                </c:pt>
                <c:pt idx="2">
                  <c:v>BASE</c:v>
                </c:pt>
                <c:pt idx="3">
                  <c:v>SLIDER</c:v>
                </c:pt>
                <c:pt idx="4">
                  <c:v>SLIDER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SLIDER</c:v>
                </c:pt>
                <c:pt idx="13">
                  <c:v>STOPPPER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'16'!$AD$6:$AD$28</c:f>
              <c:numCache>
                <c:formatCode>0%</c:formatCode>
                <c:ptCount val="23"/>
                <c:pt idx="0">
                  <c:v>0.875</c:v>
                </c:pt>
                <c:pt idx="1">
                  <c:v>0</c:v>
                </c:pt>
                <c:pt idx="2">
                  <c:v>0.33333333333333331</c:v>
                </c:pt>
                <c:pt idx="3">
                  <c:v>0.54166666666666663</c:v>
                </c:pt>
                <c:pt idx="4">
                  <c:v>0.54166666666666663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1.0048192771084337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8A-40FC-B3F3-9FAB300E7DC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D8A-40FC-B3F3-9FAB300E7DC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'16'!$D$6:$D$28</c:f>
              <c:strCache>
                <c:ptCount val="22"/>
                <c:pt idx="0">
                  <c:v>ADAPTER</c:v>
                </c:pt>
                <c:pt idx="1">
                  <c:v>LATCH</c:v>
                </c:pt>
                <c:pt idx="2">
                  <c:v>BASE</c:v>
                </c:pt>
                <c:pt idx="3">
                  <c:v>SLIDER</c:v>
                </c:pt>
                <c:pt idx="4">
                  <c:v>SLIDER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SLIDER</c:v>
                </c:pt>
                <c:pt idx="13">
                  <c:v>STOPPPER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'16'!$AE$6:$AE$28</c:f>
              <c:numCache>
                <c:formatCode>0%</c:formatCode>
                <c:ptCount val="23"/>
                <c:pt idx="0">
                  <c:v>0.53462982364239564</c:v>
                </c:pt>
                <c:pt idx="1">
                  <c:v>0.53462982364239564</c:v>
                </c:pt>
                <c:pt idx="2">
                  <c:v>0.53462982364239564</c:v>
                </c:pt>
                <c:pt idx="3">
                  <c:v>0.53462982364239564</c:v>
                </c:pt>
                <c:pt idx="4">
                  <c:v>0.53462982364239564</c:v>
                </c:pt>
                <c:pt idx="5">
                  <c:v>0.53462982364239564</c:v>
                </c:pt>
                <c:pt idx="6">
                  <c:v>0.53462982364239564</c:v>
                </c:pt>
                <c:pt idx="7">
                  <c:v>0.53462982364239564</c:v>
                </c:pt>
                <c:pt idx="8">
                  <c:v>0.53462982364239564</c:v>
                </c:pt>
                <c:pt idx="9">
                  <c:v>0.53462982364239564</c:v>
                </c:pt>
                <c:pt idx="10">
                  <c:v>0.53462982364239564</c:v>
                </c:pt>
                <c:pt idx="11">
                  <c:v>0.53462982364239564</c:v>
                </c:pt>
                <c:pt idx="12">
                  <c:v>0.53462982364239564</c:v>
                </c:pt>
                <c:pt idx="13">
                  <c:v>0.53462982364239564</c:v>
                </c:pt>
                <c:pt idx="14">
                  <c:v>0.53462982364239564</c:v>
                </c:pt>
                <c:pt idx="15">
                  <c:v>0.53462982364239564</c:v>
                </c:pt>
                <c:pt idx="16">
                  <c:v>0.53462982364239564</c:v>
                </c:pt>
                <c:pt idx="17">
                  <c:v>0.53462982364239564</c:v>
                </c:pt>
                <c:pt idx="18">
                  <c:v>0.53462982364239564</c:v>
                </c:pt>
                <c:pt idx="19">
                  <c:v>0.53462982364239564</c:v>
                </c:pt>
                <c:pt idx="20">
                  <c:v>0.53462982364239564</c:v>
                </c:pt>
                <c:pt idx="21">
                  <c:v>0.53462982364239564</c:v>
                </c:pt>
                <c:pt idx="22">
                  <c:v>0.53462982364239564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8A-40FC-B3F3-9FAB300E7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'16'!$D$6:$D$28</c:f>
              <c:strCache>
                <c:ptCount val="22"/>
                <c:pt idx="0">
                  <c:v>ADAPTER</c:v>
                </c:pt>
                <c:pt idx="1">
                  <c:v>LATCH</c:v>
                </c:pt>
                <c:pt idx="2">
                  <c:v>BASE</c:v>
                </c:pt>
                <c:pt idx="3">
                  <c:v>SLIDER</c:v>
                </c:pt>
                <c:pt idx="4">
                  <c:v>SLIDER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SLIDER</c:v>
                </c:pt>
                <c:pt idx="13">
                  <c:v>STOPPPER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'16'!$L$6:$L$28</c:f>
              <c:numCache>
                <c:formatCode>_(* #,##0_);_(* \(#,##0\);_(* "-"_);_(@_)</c:formatCode>
                <c:ptCount val="23"/>
                <c:pt idx="0">
                  <c:v>10648</c:v>
                </c:pt>
                <c:pt idx="2">
                  <c:v>2124</c:v>
                </c:pt>
                <c:pt idx="3">
                  <c:v>864</c:v>
                </c:pt>
                <c:pt idx="4">
                  <c:v>2021</c:v>
                </c:pt>
                <c:pt idx="5">
                  <c:v>10162</c:v>
                </c:pt>
                <c:pt idx="7">
                  <c:v>5497</c:v>
                </c:pt>
                <c:pt idx="8">
                  <c:v>5408</c:v>
                </c:pt>
                <c:pt idx="11">
                  <c:v>5376</c:v>
                </c:pt>
                <c:pt idx="12">
                  <c:v>18492</c:v>
                </c:pt>
                <c:pt idx="13">
                  <c:v>6255</c:v>
                </c:pt>
                <c:pt idx="14">
                  <c:v>5390</c:v>
                </c:pt>
                <c:pt idx="15">
                  <c:v>5214</c:v>
                </c:pt>
                <c:pt idx="16">
                  <c:v>72180</c:v>
                </c:pt>
                <c:pt idx="19">
                  <c:v>7360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CC-4EE5-A090-5C801A8029D8}"/>
            </c:ext>
          </c:extLst>
        </c:ser>
        <c:ser>
          <c:idx val="1"/>
          <c:order val="1"/>
          <c:tx>
            <c:v>계획</c:v>
          </c:tx>
          <c:cat>
            <c:strRef>
              <c:f>'16'!$D$6:$D$28</c:f>
              <c:strCache>
                <c:ptCount val="22"/>
                <c:pt idx="0">
                  <c:v>ADAPTER</c:v>
                </c:pt>
                <c:pt idx="1">
                  <c:v>LATCH</c:v>
                </c:pt>
                <c:pt idx="2">
                  <c:v>BASE</c:v>
                </c:pt>
                <c:pt idx="3">
                  <c:v>SLIDER</c:v>
                </c:pt>
                <c:pt idx="4">
                  <c:v>SLIDER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SLIDER</c:v>
                </c:pt>
                <c:pt idx="13">
                  <c:v>STOPPPER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'16'!$J$6:$J$28</c:f>
              <c:numCache>
                <c:formatCode>_(* #,##0_);_(* \(#,##0\);_(* "-"_);_(@_)</c:formatCode>
                <c:ptCount val="23"/>
                <c:pt idx="0">
                  <c:v>10648</c:v>
                </c:pt>
                <c:pt idx="1">
                  <c:v>34552</c:v>
                </c:pt>
                <c:pt idx="2">
                  <c:v>2124</c:v>
                </c:pt>
                <c:pt idx="3">
                  <c:v>864</c:v>
                </c:pt>
                <c:pt idx="4">
                  <c:v>2021</c:v>
                </c:pt>
                <c:pt idx="5">
                  <c:v>10162</c:v>
                </c:pt>
                <c:pt idx="6">
                  <c:v>2071</c:v>
                </c:pt>
                <c:pt idx="7">
                  <c:v>5497</c:v>
                </c:pt>
                <c:pt idx="8">
                  <c:v>5408</c:v>
                </c:pt>
                <c:pt idx="9">
                  <c:v>921</c:v>
                </c:pt>
                <c:pt idx="10">
                  <c:v>12356</c:v>
                </c:pt>
                <c:pt idx="11">
                  <c:v>5376</c:v>
                </c:pt>
                <c:pt idx="12">
                  <c:v>18492</c:v>
                </c:pt>
                <c:pt idx="13">
                  <c:v>6225</c:v>
                </c:pt>
                <c:pt idx="14">
                  <c:v>5390</c:v>
                </c:pt>
                <c:pt idx="15">
                  <c:v>5214</c:v>
                </c:pt>
                <c:pt idx="16">
                  <c:v>72180</c:v>
                </c:pt>
                <c:pt idx="17">
                  <c:v>0</c:v>
                </c:pt>
                <c:pt idx="18">
                  <c:v>0</c:v>
                </c:pt>
                <c:pt idx="19">
                  <c:v>7360</c:v>
                </c:pt>
                <c:pt idx="20">
                  <c:v>9988</c:v>
                </c:pt>
                <c:pt idx="21">
                  <c:v>11600</c:v>
                </c:pt>
                <c:pt idx="22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CC-4EE5-A090-5C801A802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'16'!$AD$6:$AD$28</c:f>
              <c:strCache>
                <c:ptCount val="23"/>
                <c:pt idx="0">
                  <c:v>88%</c:v>
                </c:pt>
                <c:pt idx="1">
                  <c:v>0%</c:v>
                </c:pt>
                <c:pt idx="2">
                  <c:v>33%</c:v>
                </c:pt>
                <c:pt idx="3">
                  <c:v>54%</c:v>
                </c:pt>
                <c:pt idx="4">
                  <c:v>54%</c:v>
                </c:pt>
                <c:pt idx="5">
                  <c:v>100%</c:v>
                </c:pt>
                <c:pt idx="6">
                  <c:v>0%</c:v>
                </c:pt>
                <c:pt idx="7">
                  <c:v>100%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100%</c:v>
                </c:pt>
                <c:pt idx="14">
                  <c:v>100%</c:v>
                </c:pt>
                <c:pt idx="15">
                  <c:v>100%</c:v>
                </c:pt>
                <c:pt idx="16">
                  <c:v>100%</c:v>
                </c:pt>
                <c:pt idx="17">
                  <c:v>0%</c:v>
                </c:pt>
                <c:pt idx="18">
                  <c:v>0%</c:v>
                </c:pt>
                <c:pt idx="19">
                  <c:v>100%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'16'!$D$6:$D$28</c:f>
              <c:strCache>
                <c:ptCount val="22"/>
                <c:pt idx="0">
                  <c:v>ADAPTER</c:v>
                </c:pt>
                <c:pt idx="1">
                  <c:v>LATCH</c:v>
                </c:pt>
                <c:pt idx="2">
                  <c:v>BASE</c:v>
                </c:pt>
                <c:pt idx="3">
                  <c:v>SLIDER</c:v>
                </c:pt>
                <c:pt idx="4">
                  <c:v>SLIDER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SLIDER</c:v>
                </c:pt>
                <c:pt idx="13">
                  <c:v>STOPPPER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'16'!$AD$6:$AD$28</c:f>
              <c:numCache>
                <c:formatCode>0%</c:formatCode>
                <c:ptCount val="23"/>
                <c:pt idx="0">
                  <c:v>0.875</c:v>
                </c:pt>
                <c:pt idx="1">
                  <c:v>0</c:v>
                </c:pt>
                <c:pt idx="2">
                  <c:v>0.33333333333333331</c:v>
                </c:pt>
                <c:pt idx="3">
                  <c:v>0.54166666666666663</c:v>
                </c:pt>
                <c:pt idx="4">
                  <c:v>0.54166666666666663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1.0048192771084337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14-4424-AB27-48300F64B63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314-4424-AB27-48300F64B63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'16'!$D$6:$D$28</c:f>
              <c:strCache>
                <c:ptCount val="22"/>
                <c:pt idx="0">
                  <c:v>ADAPTER</c:v>
                </c:pt>
                <c:pt idx="1">
                  <c:v>LATCH</c:v>
                </c:pt>
                <c:pt idx="2">
                  <c:v>BASE</c:v>
                </c:pt>
                <c:pt idx="3">
                  <c:v>SLIDER</c:v>
                </c:pt>
                <c:pt idx="4">
                  <c:v>SLIDER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SLIDER</c:v>
                </c:pt>
                <c:pt idx="13">
                  <c:v>STOPPPER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'16'!$AE$6:$AE$28</c:f>
              <c:numCache>
                <c:formatCode>0%</c:formatCode>
                <c:ptCount val="23"/>
                <c:pt idx="0">
                  <c:v>0.53462982364239564</c:v>
                </c:pt>
                <c:pt idx="1">
                  <c:v>0.53462982364239564</c:v>
                </c:pt>
                <c:pt idx="2">
                  <c:v>0.53462982364239564</c:v>
                </c:pt>
                <c:pt idx="3">
                  <c:v>0.53462982364239564</c:v>
                </c:pt>
                <c:pt idx="4">
                  <c:v>0.53462982364239564</c:v>
                </c:pt>
                <c:pt idx="5">
                  <c:v>0.53462982364239564</c:v>
                </c:pt>
                <c:pt idx="6">
                  <c:v>0.53462982364239564</c:v>
                </c:pt>
                <c:pt idx="7">
                  <c:v>0.53462982364239564</c:v>
                </c:pt>
                <c:pt idx="8">
                  <c:v>0.53462982364239564</c:v>
                </c:pt>
                <c:pt idx="9">
                  <c:v>0.53462982364239564</c:v>
                </c:pt>
                <c:pt idx="10">
                  <c:v>0.53462982364239564</c:v>
                </c:pt>
                <c:pt idx="11">
                  <c:v>0.53462982364239564</c:v>
                </c:pt>
                <c:pt idx="12">
                  <c:v>0.53462982364239564</c:v>
                </c:pt>
                <c:pt idx="13">
                  <c:v>0.53462982364239564</c:v>
                </c:pt>
                <c:pt idx="14">
                  <c:v>0.53462982364239564</c:v>
                </c:pt>
                <c:pt idx="15">
                  <c:v>0.53462982364239564</c:v>
                </c:pt>
                <c:pt idx="16">
                  <c:v>0.53462982364239564</c:v>
                </c:pt>
                <c:pt idx="17">
                  <c:v>0.53462982364239564</c:v>
                </c:pt>
                <c:pt idx="18">
                  <c:v>0.53462982364239564</c:v>
                </c:pt>
                <c:pt idx="19">
                  <c:v>0.53462982364239564</c:v>
                </c:pt>
                <c:pt idx="20">
                  <c:v>0.53462982364239564</c:v>
                </c:pt>
                <c:pt idx="21">
                  <c:v>0.53462982364239564</c:v>
                </c:pt>
                <c:pt idx="22">
                  <c:v>0.53462982364239564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14-4424-AB27-48300F64B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720-4CB6-BDD3-F616D717C5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0.68147728498178428</c:v>
                </c:pt>
                <c:pt idx="1">
                  <c:v>0.64962121212121204</c:v>
                </c:pt>
                <c:pt idx="2">
                  <c:v>0.37121212121212116</c:v>
                </c:pt>
                <c:pt idx="4">
                  <c:v>0.47282608695652184</c:v>
                </c:pt>
                <c:pt idx="5">
                  <c:v>0.55303030303030298</c:v>
                </c:pt>
                <c:pt idx="6">
                  <c:v>0.45833333333333331</c:v>
                </c:pt>
                <c:pt idx="7">
                  <c:v>0.47282608695652173</c:v>
                </c:pt>
                <c:pt idx="8">
                  <c:v>0.34567901234567905</c:v>
                </c:pt>
                <c:pt idx="9">
                  <c:v>0.41098484848484856</c:v>
                </c:pt>
                <c:pt idx="11">
                  <c:v>0.36742424242424243</c:v>
                </c:pt>
                <c:pt idx="12">
                  <c:v>0.48863636363636354</c:v>
                </c:pt>
                <c:pt idx="13">
                  <c:v>0.59000470952885553</c:v>
                </c:pt>
                <c:pt idx="14">
                  <c:v>0.58712121212121204</c:v>
                </c:pt>
                <c:pt idx="15">
                  <c:v>0.53462982364239564</c:v>
                </c:pt>
                <c:pt idx="16">
                  <c:v>0.45075757575757575</c:v>
                </c:pt>
                <c:pt idx="18">
                  <c:v>0.54356060606060608</c:v>
                </c:pt>
                <c:pt idx="19">
                  <c:v>0.39855072463768115</c:v>
                </c:pt>
                <c:pt idx="20">
                  <c:v>0.29347826086956524</c:v>
                </c:pt>
                <c:pt idx="21">
                  <c:v>0.45619957956867979</c:v>
                </c:pt>
                <c:pt idx="22">
                  <c:v>0.56060606060606066</c:v>
                </c:pt>
                <c:pt idx="23">
                  <c:v>0.45108695652173914</c:v>
                </c:pt>
                <c:pt idx="25">
                  <c:v>0.41493055555555552</c:v>
                </c:pt>
                <c:pt idx="26">
                  <c:v>0.53598484848484851</c:v>
                </c:pt>
                <c:pt idx="27">
                  <c:v>0.43560606060606055</c:v>
                </c:pt>
                <c:pt idx="28">
                  <c:v>0.42234848484848481</c:v>
                </c:pt>
                <c:pt idx="29">
                  <c:v>0.42529900929110415</c:v>
                </c:pt>
                <c:pt idx="31">
                  <c:v>0.41240717878611177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20-4CB6-BDD3-F616D717C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720-4CB6-BDD3-F616D717C58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20-4CB6-BDD3-F616D717C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SLIDER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'17'!$L$6:$L$27</c:f>
              <c:numCache>
                <c:formatCode>_(* #,##0_);_(* \(#,##0\);_(* "-"_);_(@_)</c:formatCode>
                <c:ptCount val="22"/>
                <c:pt idx="0">
                  <c:v>13436</c:v>
                </c:pt>
                <c:pt idx="1">
                  <c:v>2076</c:v>
                </c:pt>
                <c:pt idx="3">
                  <c:v>4284</c:v>
                </c:pt>
                <c:pt idx="6">
                  <c:v>6377</c:v>
                </c:pt>
                <c:pt idx="7">
                  <c:v>12072</c:v>
                </c:pt>
                <c:pt idx="8">
                  <c:v>446</c:v>
                </c:pt>
                <c:pt idx="10">
                  <c:v>3124</c:v>
                </c:pt>
                <c:pt idx="11">
                  <c:v>10491</c:v>
                </c:pt>
                <c:pt idx="12">
                  <c:v>1986</c:v>
                </c:pt>
                <c:pt idx="13">
                  <c:v>5307</c:v>
                </c:pt>
                <c:pt idx="14">
                  <c:v>5257</c:v>
                </c:pt>
                <c:pt idx="15">
                  <c:v>74076</c:v>
                </c:pt>
                <c:pt idx="18">
                  <c:v>2397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7E-4C55-909A-E1C340A6251D}"/>
            </c:ext>
          </c:extLst>
        </c:ser>
        <c:ser>
          <c:idx val="1"/>
          <c:order val="1"/>
          <c:tx>
            <c:v>계획</c:v>
          </c:tx>
          <c:cat>
            <c:strRef>
              <c:f>'17'!$D$6:$D$27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SLIDER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'17'!$J$6:$J$27</c:f>
              <c:numCache>
                <c:formatCode>_(* #,##0_);_(* \(#,##0\);_(* "-"_);_(@_)</c:formatCode>
                <c:ptCount val="22"/>
                <c:pt idx="0">
                  <c:v>13436</c:v>
                </c:pt>
                <c:pt idx="1">
                  <c:v>2076</c:v>
                </c:pt>
                <c:pt idx="2">
                  <c:v>864</c:v>
                </c:pt>
                <c:pt idx="3">
                  <c:v>4284</c:v>
                </c:pt>
                <c:pt idx="4">
                  <c:v>10162</c:v>
                </c:pt>
                <c:pt idx="5">
                  <c:v>2071</c:v>
                </c:pt>
                <c:pt idx="6">
                  <c:v>6377</c:v>
                </c:pt>
                <c:pt idx="7">
                  <c:v>12072</c:v>
                </c:pt>
                <c:pt idx="8">
                  <c:v>446</c:v>
                </c:pt>
                <c:pt idx="9">
                  <c:v>12356</c:v>
                </c:pt>
                <c:pt idx="10">
                  <c:v>3124</c:v>
                </c:pt>
                <c:pt idx="11">
                  <c:v>10491</c:v>
                </c:pt>
                <c:pt idx="12">
                  <c:v>1986</c:v>
                </c:pt>
                <c:pt idx="13">
                  <c:v>5307</c:v>
                </c:pt>
                <c:pt idx="14">
                  <c:v>5257</c:v>
                </c:pt>
                <c:pt idx="15">
                  <c:v>74076</c:v>
                </c:pt>
                <c:pt idx="16">
                  <c:v>0</c:v>
                </c:pt>
                <c:pt idx="17">
                  <c:v>0</c:v>
                </c:pt>
                <c:pt idx="18">
                  <c:v>2397</c:v>
                </c:pt>
                <c:pt idx="19">
                  <c:v>9988</c:v>
                </c:pt>
                <c:pt idx="20">
                  <c:v>11600</c:v>
                </c:pt>
                <c:pt idx="21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7E-4C55-909A-E1C340A62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'17'!$AD$6:$AD$27</c:f>
              <c:strCache>
                <c:ptCount val="22"/>
                <c:pt idx="0">
                  <c:v>100%</c:v>
                </c:pt>
                <c:pt idx="1">
                  <c:v>25%</c:v>
                </c:pt>
                <c:pt idx="2">
                  <c:v>0%</c:v>
                </c:pt>
                <c:pt idx="3">
                  <c:v>100%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21%</c:v>
                </c:pt>
                <c:pt idx="9">
                  <c:v>0%</c:v>
                </c:pt>
                <c:pt idx="10">
                  <c:v>79%</c:v>
                </c:pt>
                <c:pt idx="11">
                  <c:v>83%</c:v>
                </c:pt>
                <c:pt idx="12">
                  <c:v>42%</c:v>
                </c:pt>
                <c:pt idx="13">
                  <c:v>100%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42%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SLIDER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'17'!$AD$6:$AD$27</c:f>
              <c:numCache>
                <c:formatCode>0%</c:formatCode>
                <c:ptCount val="22"/>
                <c:pt idx="0">
                  <c:v>1</c:v>
                </c:pt>
                <c:pt idx="1">
                  <c:v>0.25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0.20833333333333334</c:v>
                </c:pt>
                <c:pt idx="9">
                  <c:v>0</c:v>
                </c:pt>
                <c:pt idx="10">
                  <c:v>0.79166666666666663</c:v>
                </c:pt>
                <c:pt idx="11">
                  <c:v>0.83333333333333337</c:v>
                </c:pt>
                <c:pt idx="12">
                  <c:v>0.41666666666666669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0.41666666666666669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0D-4D55-813A-6BF6E5D66F5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00D-4D55-813A-6BF6E5D66F5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SLIDER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'17'!$AE$6:$AE$27</c:f>
              <c:numCache>
                <c:formatCode>0%</c:formatCode>
                <c:ptCount val="22"/>
                <c:pt idx="0">
                  <c:v>0.45075757575757575</c:v>
                </c:pt>
                <c:pt idx="1">
                  <c:v>0.45075757575757575</c:v>
                </c:pt>
                <c:pt idx="2">
                  <c:v>0.45075757575757575</c:v>
                </c:pt>
                <c:pt idx="3">
                  <c:v>0.45075757575757575</c:v>
                </c:pt>
                <c:pt idx="4">
                  <c:v>0.45075757575757575</c:v>
                </c:pt>
                <c:pt idx="5">
                  <c:v>0.45075757575757575</c:v>
                </c:pt>
                <c:pt idx="6">
                  <c:v>0.45075757575757575</c:v>
                </c:pt>
                <c:pt idx="7">
                  <c:v>0.45075757575757575</c:v>
                </c:pt>
                <c:pt idx="8">
                  <c:v>0.45075757575757575</c:v>
                </c:pt>
                <c:pt idx="9">
                  <c:v>0.45075757575757575</c:v>
                </c:pt>
                <c:pt idx="10">
                  <c:v>0.45075757575757575</c:v>
                </c:pt>
                <c:pt idx="11">
                  <c:v>0.45075757575757575</c:v>
                </c:pt>
                <c:pt idx="12">
                  <c:v>0.45075757575757575</c:v>
                </c:pt>
                <c:pt idx="13">
                  <c:v>0.45075757575757575</c:v>
                </c:pt>
                <c:pt idx="14">
                  <c:v>0.45075757575757575</c:v>
                </c:pt>
                <c:pt idx="15">
                  <c:v>0.45075757575757575</c:v>
                </c:pt>
                <c:pt idx="16">
                  <c:v>0.45075757575757575</c:v>
                </c:pt>
                <c:pt idx="17">
                  <c:v>0.45075757575757575</c:v>
                </c:pt>
                <c:pt idx="18">
                  <c:v>0.45075757575757575</c:v>
                </c:pt>
                <c:pt idx="19">
                  <c:v>0.45075757575757575</c:v>
                </c:pt>
                <c:pt idx="20">
                  <c:v>0.45075757575757575</c:v>
                </c:pt>
                <c:pt idx="21">
                  <c:v>0.45075757575757575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0D-4D55-813A-6BF6E5D66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SLIDER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'17'!$L$6:$L$27</c:f>
              <c:numCache>
                <c:formatCode>_(* #,##0_);_(* \(#,##0\);_(* "-"_);_(@_)</c:formatCode>
                <c:ptCount val="22"/>
                <c:pt idx="0">
                  <c:v>13436</c:v>
                </c:pt>
                <c:pt idx="1">
                  <c:v>2076</c:v>
                </c:pt>
                <c:pt idx="3">
                  <c:v>4284</c:v>
                </c:pt>
                <c:pt idx="6">
                  <c:v>6377</c:v>
                </c:pt>
                <c:pt idx="7">
                  <c:v>12072</c:v>
                </c:pt>
                <c:pt idx="8">
                  <c:v>446</c:v>
                </c:pt>
                <c:pt idx="10">
                  <c:v>3124</c:v>
                </c:pt>
                <c:pt idx="11">
                  <c:v>10491</c:v>
                </c:pt>
                <c:pt idx="12">
                  <c:v>1986</c:v>
                </c:pt>
                <c:pt idx="13">
                  <c:v>5307</c:v>
                </c:pt>
                <c:pt idx="14">
                  <c:v>5257</c:v>
                </c:pt>
                <c:pt idx="15">
                  <c:v>74076</c:v>
                </c:pt>
                <c:pt idx="18">
                  <c:v>2397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81-40DC-97F2-88FDF89A922C}"/>
            </c:ext>
          </c:extLst>
        </c:ser>
        <c:ser>
          <c:idx val="1"/>
          <c:order val="1"/>
          <c:tx>
            <c:v>계획</c:v>
          </c:tx>
          <c:cat>
            <c:strRef>
              <c:f>'17'!$D$6:$D$27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SLIDER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'17'!$J$6:$J$27</c:f>
              <c:numCache>
                <c:formatCode>_(* #,##0_);_(* \(#,##0\);_(* "-"_);_(@_)</c:formatCode>
                <c:ptCount val="22"/>
                <c:pt idx="0">
                  <c:v>13436</c:v>
                </c:pt>
                <c:pt idx="1">
                  <c:v>2076</c:v>
                </c:pt>
                <c:pt idx="2">
                  <c:v>864</c:v>
                </c:pt>
                <c:pt idx="3">
                  <c:v>4284</c:v>
                </c:pt>
                <c:pt idx="4">
                  <c:v>10162</c:v>
                </c:pt>
                <c:pt idx="5">
                  <c:v>2071</c:v>
                </c:pt>
                <c:pt idx="6">
                  <c:v>6377</c:v>
                </c:pt>
                <c:pt idx="7">
                  <c:v>12072</c:v>
                </c:pt>
                <c:pt idx="8">
                  <c:v>446</c:v>
                </c:pt>
                <c:pt idx="9">
                  <c:v>12356</c:v>
                </c:pt>
                <c:pt idx="10">
                  <c:v>3124</c:v>
                </c:pt>
                <c:pt idx="11">
                  <c:v>10491</c:v>
                </c:pt>
                <c:pt idx="12">
                  <c:v>1986</c:v>
                </c:pt>
                <c:pt idx="13">
                  <c:v>5307</c:v>
                </c:pt>
                <c:pt idx="14">
                  <c:v>5257</c:v>
                </c:pt>
                <c:pt idx="15">
                  <c:v>74076</c:v>
                </c:pt>
                <c:pt idx="16">
                  <c:v>0</c:v>
                </c:pt>
                <c:pt idx="17">
                  <c:v>0</c:v>
                </c:pt>
                <c:pt idx="18">
                  <c:v>2397</c:v>
                </c:pt>
                <c:pt idx="19">
                  <c:v>9988</c:v>
                </c:pt>
                <c:pt idx="20">
                  <c:v>11600</c:v>
                </c:pt>
                <c:pt idx="21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81-40DC-97F2-88FDF89A9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'17'!$AD$6:$AD$27</c:f>
              <c:strCache>
                <c:ptCount val="22"/>
                <c:pt idx="0">
                  <c:v>100%</c:v>
                </c:pt>
                <c:pt idx="1">
                  <c:v>25%</c:v>
                </c:pt>
                <c:pt idx="2">
                  <c:v>0%</c:v>
                </c:pt>
                <c:pt idx="3">
                  <c:v>100%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21%</c:v>
                </c:pt>
                <c:pt idx="9">
                  <c:v>0%</c:v>
                </c:pt>
                <c:pt idx="10">
                  <c:v>79%</c:v>
                </c:pt>
                <c:pt idx="11">
                  <c:v>83%</c:v>
                </c:pt>
                <c:pt idx="12">
                  <c:v>42%</c:v>
                </c:pt>
                <c:pt idx="13">
                  <c:v>100%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42%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SLIDER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'17'!$AD$6:$AD$27</c:f>
              <c:numCache>
                <c:formatCode>0%</c:formatCode>
                <c:ptCount val="22"/>
                <c:pt idx="0">
                  <c:v>1</c:v>
                </c:pt>
                <c:pt idx="1">
                  <c:v>0.25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0.20833333333333334</c:v>
                </c:pt>
                <c:pt idx="9">
                  <c:v>0</c:v>
                </c:pt>
                <c:pt idx="10">
                  <c:v>0.79166666666666663</c:v>
                </c:pt>
                <c:pt idx="11">
                  <c:v>0.83333333333333337</c:v>
                </c:pt>
                <c:pt idx="12">
                  <c:v>0.41666666666666669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0.41666666666666669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AA-4F78-94E9-8521071AEA4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AA-4F78-94E9-8521071AEA4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SLIDER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'17'!$AE$6:$AE$27</c:f>
              <c:numCache>
                <c:formatCode>0%</c:formatCode>
                <c:ptCount val="22"/>
                <c:pt idx="0">
                  <c:v>0.45075757575757575</c:v>
                </c:pt>
                <c:pt idx="1">
                  <c:v>0.45075757575757575</c:v>
                </c:pt>
                <c:pt idx="2">
                  <c:v>0.45075757575757575</c:v>
                </c:pt>
                <c:pt idx="3">
                  <c:v>0.45075757575757575</c:v>
                </c:pt>
                <c:pt idx="4">
                  <c:v>0.45075757575757575</c:v>
                </c:pt>
                <c:pt idx="5">
                  <c:v>0.45075757575757575</c:v>
                </c:pt>
                <c:pt idx="6">
                  <c:v>0.45075757575757575</c:v>
                </c:pt>
                <c:pt idx="7">
                  <c:v>0.45075757575757575</c:v>
                </c:pt>
                <c:pt idx="8">
                  <c:v>0.45075757575757575</c:v>
                </c:pt>
                <c:pt idx="9">
                  <c:v>0.45075757575757575</c:v>
                </c:pt>
                <c:pt idx="10">
                  <c:v>0.45075757575757575</c:v>
                </c:pt>
                <c:pt idx="11">
                  <c:v>0.45075757575757575</c:v>
                </c:pt>
                <c:pt idx="12">
                  <c:v>0.45075757575757575</c:v>
                </c:pt>
                <c:pt idx="13">
                  <c:v>0.45075757575757575</c:v>
                </c:pt>
                <c:pt idx="14">
                  <c:v>0.45075757575757575</c:v>
                </c:pt>
                <c:pt idx="15">
                  <c:v>0.45075757575757575</c:v>
                </c:pt>
                <c:pt idx="16">
                  <c:v>0.45075757575757575</c:v>
                </c:pt>
                <c:pt idx="17">
                  <c:v>0.45075757575757575</c:v>
                </c:pt>
                <c:pt idx="18">
                  <c:v>0.45075757575757575</c:v>
                </c:pt>
                <c:pt idx="19">
                  <c:v>0.45075757575757575</c:v>
                </c:pt>
                <c:pt idx="20">
                  <c:v>0.45075757575757575</c:v>
                </c:pt>
                <c:pt idx="21">
                  <c:v>0.45075757575757575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AA-4F78-94E9-8521071AE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E37-48CF-A7C7-FCAB2E14CD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0.68147728498178428</c:v>
                </c:pt>
                <c:pt idx="1">
                  <c:v>0.64962121212121204</c:v>
                </c:pt>
                <c:pt idx="2">
                  <c:v>0.37121212121212116</c:v>
                </c:pt>
                <c:pt idx="4">
                  <c:v>0.47282608695652184</c:v>
                </c:pt>
                <c:pt idx="5">
                  <c:v>0.55303030303030298</c:v>
                </c:pt>
                <c:pt idx="6">
                  <c:v>0.45833333333333331</c:v>
                </c:pt>
                <c:pt idx="7">
                  <c:v>0.47282608695652173</c:v>
                </c:pt>
                <c:pt idx="8">
                  <c:v>0.34567901234567905</c:v>
                </c:pt>
                <c:pt idx="9">
                  <c:v>0.41098484848484856</c:v>
                </c:pt>
                <c:pt idx="11">
                  <c:v>0.36742424242424243</c:v>
                </c:pt>
                <c:pt idx="12">
                  <c:v>0.48863636363636354</c:v>
                </c:pt>
                <c:pt idx="13">
                  <c:v>0.59000470952885553</c:v>
                </c:pt>
                <c:pt idx="14">
                  <c:v>0.58712121212121204</c:v>
                </c:pt>
                <c:pt idx="15">
                  <c:v>0.53462982364239564</c:v>
                </c:pt>
                <c:pt idx="16">
                  <c:v>0.45075757575757575</c:v>
                </c:pt>
                <c:pt idx="18">
                  <c:v>0.54356060606060608</c:v>
                </c:pt>
                <c:pt idx="19">
                  <c:v>0.39855072463768115</c:v>
                </c:pt>
                <c:pt idx="20">
                  <c:v>0.29347826086956524</c:v>
                </c:pt>
                <c:pt idx="21">
                  <c:v>0.45619957956867979</c:v>
                </c:pt>
                <c:pt idx="22">
                  <c:v>0.56060606060606066</c:v>
                </c:pt>
                <c:pt idx="23">
                  <c:v>0.45108695652173914</c:v>
                </c:pt>
                <c:pt idx="25">
                  <c:v>0.41493055555555552</c:v>
                </c:pt>
                <c:pt idx="26">
                  <c:v>0.53598484848484851</c:v>
                </c:pt>
                <c:pt idx="27">
                  <c:v>0.43560606060606055</c:v>
                </c:pt>
                <c:pt idx="28">
                  <c:v>0.42234848484848481</c:v>
                </c:pt>
                <c:pt idx="29">
                  <c:v>0.42529900929110415</c:v>
                </c:pt>
                <c:pt idx="31">
                  <c:v>0.41240717878611177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37-48CF-A7C7-FCAB2E14C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E37-48CF-A7C7-FCAB2E14CD1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37-48CF-A7C7-FCAB2E14C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TOP</c:v>
                </c:pt>
                <c:pt idx="3">
                  <c:v>BASE</c:v>
                </c:pt>
                <c:pt idx="4">
                  <c:v>LATCH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'19'!$L$6:$L$27</c:f>
              <c:numCache>
                <c:formatCode>_(* #,##0_);_(* \(#,##0\);_(* "-"_);_(@_)</c:formatCode>
                <c:ptCount val="22"/>
                <c:pt idx="0">
                  <c:v>12794</c:v>
                </c:pt>
                <c:pt idx="1">
                  <c:v>4260</c:v>
                </c:pt>
                <c:pt idx="2">
                  <c:v>1761</c:v>
                </c:pt>
                <c:pt idx="3">
                  <c:v>4214</c:v>
                </c:pt>
                <c:pt idx="4">
                  <c:v>6600</c:v>
                </c:pt>
                <c:pt idx="5">
                  <c:v>98292</c:v>
                </c:pt>
                <c:pt idx="6">
                  <c:v>5244</c:v>
                </c:pt>
                <c:pt idx="7">
                  <c:v>11562</c:v>
                </c:pt>
                <c:pt idx="8">
                  <c:v>303</c:v>
                </c:pt>
                <c:pt idx="10">
                  <c:v>920</c:v>
                </c:pt>
                <c:pt idx="12">
                  <c:v>5058</c:v>
                </c:pt>
                <c:pt idx="13">
                  <c:v>4716</c:v>
                </c:pt>
                <c:pt idx="14">
                  <c:v>4447</c:v>
                </c:pt>
                <c:pt idx="15">
                  <c:v>62904</c:v>
                </c:pt>
                <c:pt idx="18">
                  <c:v>6904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F7-47E7-A6D0-B601123B47E9}"/>
            </c:ext>
          </c:extLst>
        </c:ser>
        <c:ser>
          <c:idx val="1"/>
          <c:order val="1"/>
          <c:tx>
            <c:v>계획</c:v>
          </c:tx>
          <c:cat>
            <c:strRef>
              <c:f>'19'!$D$6:$D$27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TOP</c:v>
                </c:pt>
                <c:pt idx="3">
                  <c:v>BASE</c:v>
                </c:pt>
                <c:pt idx="4">
                  <c:v>LATCH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'19'!$J$6:$J$27</c:f>
              <c:numCache>
                <c:formatCode>_(* #,##0_);_(* \(#,##0\);_(* "-"_);_(@_)</c:formatCode>
                <c:ptCount val="22"/>
                <c:pt idx="0">
                  <c:v>12794</c:v>
                </c:pt>
                <c:pt idx="1">
                  <c:v>4260</c:v>
                </c:pt>
                <c:pt idx="2">
                  <c:v>1761</c:v>
                </c:pt>
                <c:pt idx="3">
                  <c:v>4214</c:v>
                </c:pt>
                <c:pt idx="4">
                  <c:v>6600</c:v>
                </c:pt>
                <c:pt idx="5">
                  <c:v>98292</c:v>
                </c:pt>
                <c:pt idx="6">
                  <c:v>5244</c:v>
                </c:pt>
                <c:pt idx="7">
                  <c:v>11562</c:v>
                </c:pt>
                <c:pt idx="8">
                  <c:v>303</c:v>
                </c:pt>
                <c:pt idx="9">
                  <c:v>12356</c:v>
                </c:pt>
                <c:pt idx="10">
                  <c:v>920</c:v>
                </c:pt>
                <c:pt idx="11">
                  <c:v>10491</c:v>
                </c:pt>
                <c:pt idx="12">
                  <c:v>5058</c:v>
                </c:pt>
                <c:pt idx="13">
                  <c:v>4716</c:v>
                </c:pt>
                <c:pt idx="14">
                  <c:v>4447</c:v>
                </c:pt>
                <c:pt idx="15">
                  <c:v>62904</c:v>
                </c:pt>
                <c:pt idx="16">
                  <c:v>0</c:v>
                </c:pt>
                <c:pt idx="17">
                  <c:v>0</c:v>
                </c:pt>
                <c:pt idx="18">
                  <c:v>6904</c:v>
                </c:pt>
                <c:pt idx="19">
                  <c:v>9988</c:v>
                </c:pt>
                <c:pt idx="20">
                  <c:v>11600</c:v>
                </c:pt>
                <c:pt idx="21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F7-47E7-A6D0-B601123B4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'19'!$AD$6:$AD$27</c:f>
              <c:strCache>
                <c:ptCount val="22"/>
                <c:pt idx="0">
                  <c:v>100%</c:v>
                </c:pt>
                <c:pt idx="1">
                  <c:v>50%</c:v>
                </c:pt>
                <c:pt idx="2">
                  <c:v>38%</c:v>
                </c:pt>
                <c:pt idx="3">
                  <c:v>96%</c:v>
                </c:pt>
                <c:pt idx="4">
                  <c:v>58%</c:v>
                </c:pt>
                <c:pt idx="5">
                  <c:v>96%</c:v>
                </c:pt>
                <c:pt idx="6">
                  <c:v>100%</c:v>
                </c:pt>
                <c:pt idx="7">
                  <c:v>100%</c:v>
                </c:pt>
                <c:pt idx="8">
                  <c:v>25%</c:v>
                </c:pt>
                <c:pt idx="9">
                  <c:v>0%</c:v>
                </c:pt>
                <c:pt idx="10">
                  <c:v>58%</c:v>
                </c:pt>
                <c:pt idx="11">
                  <c:v>0%</c:v>
                </c:pt>
                <c:pt idx="12">
                  <c:v>92%</c:v>
                </c:pt>
                <c:pt idx="13">
                  <c:v>88%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96%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TOP</c:v>
                </c:pt>
                <c:pt idx="3">
                  <c:v>BASE</c:v>
                </c:pt>
                <c:pt idx="4">
                  <c:v>LATCH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'19'!$AD$6:$AD$27</c:f>
              <c:numCache>
                <c:formatCode>0%</c:formatCode>
                <c:ptCount val="22"/>
                <c:pt idx="0">
                  <c:v>1</c:v>
                </c:pt>
                <c:pt idx="1">
                  <c:v>0.5</c:v>
                </c:pt>
                <c:pt idx="2">
                  <c:v>0.375</c:v>
                </c:pt>
                <c:pt idx="3">
                  <c:v>0.95833333333333337</c:v>
                </c:pt>
                <c:pt idx="4">
                  <c:v>0.58333333333333337</c:v>
                </c:pt>
                <c:pt idx="5">
                  <c:v>0.95833333333333337</c:v>
                </c:pt>
                <c:pt idx="6">
                  <c:v>1</c:v>
                </c:pt>
                <c:pt idx="7">
                  <c:v>1</c:v>
                </c:pt>
                <c:pt idx="8">
                  <c:v>0.25</c:v>
                </c:pt>
                <c:pt idx="9">
                  <c:v>0</c:v>
                </c:pt>
                <c:pt idx="10">
                  <c:v>0.58333333333333337</c:v>
                </c:pt>
                <c:pt idx="11">
                  <c:v>0</c:v>
                </c:pt>
                <c:pt idx="12">
                  <c:v>0.91666666666666663</c:v>
                </c:pt>
                <c:pt idx="13">
                  <c:v>0.875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0.95833333333333337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19-4070-AD38-92792BC4083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319-4070-AD38-92792BC408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TOP</c:v>
                </c:pt>
                <c:pt idx="3">
                  <c:v>BASE</c:v>
                </c:pt>
                <c:pt idx="4">
                  <c:v>LATCH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'19'!$AE$6:$AE$27</c:f>
              <c:numCache>
                <c:formatCode>0%</c:formatCode>
                <c:ptCount val="22"/>
                <c:pt idx="0">
                  <c:v>0.54356060606060608</c:v>
                </c:pt>
                <c:pt idx="1">
                  <c:v>0.54356060606060608</c:v>
                </c:pt>
                <c:pt idx="2">
                  <c:v>0.54356060606060608</c:v>
                </c:pt>
                <c:pt idx="3">
                  <c:v>0.54356060606060608</c:v>
                </c:pt>
                <c:pt idx="4">
                  <c:v>0.54356060606060608</c:v>
                </c:pt>
                <c:pt idx="5">
                  <c:v>0.54356060606060608</c:v>
                </c:pt>
                <c:pt idx="6">
                  <c:v>0.54356060606060608</c:v>
                </c:pt>
                <c:pt idx="7">
                  <c:v>0.54356060606060608</c:v>
                </c:pt>
                <c:pt idx="8">
                  <c:v>0.54356060606060608</c:v>
                </c:pt>
                <c:pt idx="9">
                  <c:v>0.54356060606060608</c:v>
                </c:pt>
                <c:pt idx="10">
                  <c:v>0.54356060606060608</c:v>
                </c:pt>
                <c:pt idx="11">
                  <c:v>0.54356060606060608</c:v>
                </c:pt>
                <c:pt idx="12">
                  <c:v>0.54356060606060608</c:v>
                </c:pt>
                <c:pt idx="13">
                  <c:v>0.54356060606060608</c:v>
                </c:pt>
                <c:pt idx="14">
                  <c:v>0.54356060606060608</c:v>
                </c:pt>
                <c:pt idx="15">
                  <c:v>0.54356060606060608</c:v>
                </c:pt>
                <c:pt idx="16">
                  <c:v>0.54356060606060608</c:v>
                </c:pt>
                <c:pt idx="17">
                  <c:v>0.54356060606060608</c:v>
                </c:pt>
                <c:pt idx="18">
                  <c:v>0.54356060606060608</c:v>
                </c:pt>
                <c:pt idx="19">
                  <c:v>0.54356060606060608</c:v>
                </c:pt>
                <c:pt idx="20">
                  <c:v>0.54356060606060608</c:v>
                </c:pt>
                <c:pt idx="21">
                  <c:v>0.54356060606060608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19-4070-AD38-92792BC40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TOP</c:v>
                </c:pt>
                <c:pt idx="3">
                  <c:v>BASE</c:v>
                </c:pt>
                <c:pt idx="4">
                  <c:v>LATCH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'19'!$L$6:$L$27</c:f>
              <c:numCache>
                <c:formatCode>_(* #,##0_);_(* \(#,##0\);_(* "-"_);_(@_)</c:formatCode>
                <c:ptCount val="22"/>
                <c:pt idx="0">
                  <c:v>12794</c:v>
                </c:pt>
                <c:pt idx="1">
                  <c:v>4260</c:v>
                </c:pt>
                <c:pt idx="2">
                  <c:v>1761</c:v>
                </c:pt>
                <c:pt idx="3">
                  <c:v>4214</c:v>
                </c:pt>
                <c:pt idx="4">
                  <c:v>6600</c:v>
                </c:pt>
                <c:pt idx="5">
                  <c:v>98292</c:v>
                </c:pt>
                <c:pt idx="6">
                  <c:v>5244</c:v>
                </c:pt>
                <c:pt idx="7">
                  <c:v>11562</c:v>
                </c:pt>
                <c:pt idx="8">
                  <c:v>303</c:v>
                </c:pt>
                <c:pt idx="10">
                  <c:v>920</c:v>
                </c:pt>
                <c:pt idx="12">
                  <c:v>5058</c:v>
                </c:pt>
                <c:pt idx="13">
                  <c:v>4716</c:v>
                </c:pt>
                <c:pt idx="14">
                  <c:v>4447</c:v>
                </c:pt>
                <c:pt idx="15">
                  <c:v>62904</c:v>
                </c:pt>
                <c:pt idx="18">
                  <c:v>6904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D4-4AB5-9801-E1FEADC7480F}"/>
            </c:ext>
          </c:extLst>
        </c:ser>
        <c:ser>
          <c:idx val="1"/>
          <c:order val="1"/>
          <c:tx>
            <c:v>계획</c:v>
          </c:tx>
          <c:cat>
            <c:strRef>
              <c:f>'19'!$D$6:$D$27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TOP</c:v>
                </c:pt>
                <c:pt idx="3">
                  <c:v>BASE</c:v>
                </c:pt>
                <c:pt idx="4">
                  <c:v>LATCH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'19'!$J$6:$J$27</c:f>
              <c:numCache>
                <c:formatCode>_(* #,##0_);_(* \(#,##0\);_(* "-"_);_(@_)</c:formatCode>
                <c:ptCount val="22"/>
                <c:pt idx="0">
                  <c:v>12794</c:v>
                </c:pt>
                <c:pt idx="1">
                  <c:v>4260</c:v>
                </c:pt>
                <c:pt idx="2">
                  <c:v>1761</c:v>
                </c:pt>
                <c:pt idx="3">
                  <c:v>4214</c:v>
                </c:pt>
                <c:pt idx="4">
                  <c:v>6600</c:v>
                </c:pt>
                <c:pt idx="5">
                  <c:v>98292</c:v>
                </c:pt>
                <c:pt idx="6">
                  <c:v>5244</c:v>
                </c:pt>
                <c:pt idx="7">
                  <c:v>11562</c:v>
                </c:pt>
                <c:pt idx="8">
                  <c:v>303</c:v>
                </c:pt>
                <c:pt idx="9">
                  <c:v>12356</c:v>
                </c:pt>
                <c:pt idx="10">
                  <c:v>920</c:v>
                </c:pt>
                <c:pt idx="11">
                  <c:v>10491</c:v>
                </c:pt>
                <c:pt idx="12">
                  <c:v>5058</c:v>
                </c:pt>
                <c:pt idx="13">
                  <c:v>4716</c:v>
                </c:pt>
                <c:pt idx="14">
                  <c:v>4447</c:v>
                </c:pt>
                <c:pt idx="15">
                  <c:v>62904</c:v>
                </c:pt>
                <c:pt idx="16">
                  <c:v>0</c:v>
                </c:pt>
                <c:pt idx="17">
                  <c:v>0</c:v>
                </c:pt>
                <c:pt idx="18">
                  <c:v>6904</c:v>
                </c:pt>
                <c:pt idx="19">
                  <c:v>9988</c:v>
                </c:pt>
                <c:pt idx="20">
                  <c:v>11600</c:v>
                </c:pt>
                <c:pt idx="21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D4-4AB5-9801-E1FEADC74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'19'!$AD$6:$AD$27</c:f>
              <c:strCache>
                <c:ptCount val="22"/>
                <c:pt idx="0">
                  <c:v>100%</c:v>
                </c:pt>
                <c:pt idx="1">
                  <c:v>50%</c:v>
                </c:pt>
                <c:pt idx="2">
                  <c:v>38%</c:v>
                </c:pt>
                <c:pt idx="3">
                  <c:v>96%</c:v>
                </c:pt>
                <c:pt idx="4">
                  <c:v>58%</c:v>
                </c:pt>
                <c:pt idx="5">
                  <c:v>96%</c:v>
                </c:pt>
                <c:pt idx="6">
                  <c:v>100%</c:v>
                </c:pt>
                <c:pt idx="7">
                  <c:v>100%</c:v>
                </c:pt>
                <c:pt idx="8">
                  <c:v>25%</c:v>
                </c:pt>
                <c:pt idx="9">
                  <c:v>0%</c:v>
                </c:pt>
                <c:pt idx="10">
                  <c:v>58%</c:v>
                </c:pt>
                <c:pt idx="11">
                  <c:v>0%</c:v>
                </c:pt>
                <c:pt idx="12">
                  <c:v>92%</c:v>
                </c:pt>
                <c:pt idx="13">
                  <c:v>88%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96%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TOP</c:v>
                </c:pt>
                <c:pt idx="3">
                  <c:v>BASE</c:v>
                </c:pt>
                <c:pt idx="4">
                  <c:v>LATCH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'19'!$AD$6:$AD$27</c:f>
              <c:numCache>
                <c:formatCode>0%</c:formatCode>
                <c:ptCount val="22"/>
                <c:pt idx="0">
                  <c:v>1</c:v>
                </c:pt>
                <c:pt idx="1">
                  <c:v>0.5</c:v>
                </c:pt>
                <c:pt idx="2">
                  <c:v>0.375</c:v>
                </c:pt>
                <c:pt idx="3">
                  <c:v>0.95833333333333337</c:v>
                </c:pt>
                <c:pt idx="4">
                  <c:v>0.58333333333333337</c:v>
                </c:pt>
                <c:pt idx="5">
                  <c:v>0.95833333333333337</c:v>
                </c:pt>
                <c:pt idx="6">
                  <c:v>1</c:v>
                </c:pt>
                <c:pt idx="7">
                  <c:v>1</c:v>
                </c:pt>
                <c:pt idx="8">
                  <c:v>0.25</c:v>
                </c:pt>
                <c:pt idx="9">
                  <c:v>0</c:v>
                </c:pt>
                <c:pt idx="10">
                  <c:v>0.58333333333333337</c:v>
                </c:pt>
                <c:pt idx="11">
                  <c:v>0</c:v>
                </c:pt>
                <c:pt idx="12">
                  <c:v>0.91666666666666663</c:v>
                </c:pt>
                <c:pt idx="13">
                  <c:v>0.875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0.95833333333333337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D2-4892-B61B-9B75A59160E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1D2-4892-B61B-9B75A59160E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TOP</c:v>
                </c:pt>
                <c:pt idx="3">
                  <c:v>BASE</c:v>
                </c:pt>
                <c:pt idx="4">
                  <c:v>LATCH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'19'!$AE$6:$AE$27</c:f>
              <c:numCache>
                <c:formatCode>0%</c:formatCode>
                <c:ptCount val="22"/>
                <c:pt idx="0">
                  <c:v>0.54356060606060608</c:v>
                </c:pt>
                <c:pt idx="1">
                  <c:v>0.54356060606060608</c:v>
                </c:pt>
                <c:pt idx="2">
                  <c:v>0.54356060606060608</c:v>
                </c:pt>
                <c:pt idx="3">
                  <c:v>0.54356060606060608</c:v>
                </c:pt>
                <c:pt idx="4">
                  <c:v>0.54356060606060608</c:v>
                </c:pt>
                <c:pt idx="5">
                  <c:v>0.54356060606060608</c:v>
                </c:pt>
                <c:pt idx="6">
                  <c:v>0.54356060606060608</c:v>
                </c:pt>
                <c:pt idx="7">
                  <c:v>0.54356060606060608</c:v>
                </c:pt>
                <c:pt idx="8">
                  <c:v>0.54356060606060608</c:v>
                </c:pt>
                <c:pt idx="9">
                  <c:v>0.54356060606060608</c:v>
                </c:pt>
                <c:pt idx="10">
                  <c:v>0.54356060606060608</c:v>
                </c:pt>
                <c:pt idx="11">
                  <c:v>0.54356060606060608</c:v>
                </c:pt>
                <c:pt idx="12">
                  <c:v>0.54356060606060608</c:v>
                </c:pt>
                <c:pt idx="13">
                  <c:v>0.54356060606060608</c:v>
                </c:pt>
                <c:pt idx="14">
                  <c:v>0.54356060606060608</c:v>
                </c:pt>
                <c:pt idx="15">
                  <c:v>0.54356060606060608</c:v>
                </c:pt>
                <c:pt idx="16">
                  <c:v>0.54356060606060608</c:v>
                </c:pt>
                <c:pt idx="17">
                  <c:v>0.54356060606060608</c:v>
                </c:pt>
                <c:pt idx="18">
                  <c:v>0.54356060606060608</c:v>
                </c:pt>
                <c:pt idx="19">
                  <c:v>0.54356060606060608</c:v>
                </c:pt>
                <c:pt idx="20">
                  <c:v>0.54356060606060608</c:v>
                </c:pt>
                <c:pt idx="21">
                  <c:v>0.54356060606060608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D2-4892-B61B-9B75A5916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A89-4706-9647-AB17B52033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0.68147728498178428</c:v>
                </c:pt>
                <c:pt idx="1">
                  <c:v>0.64962121212121204</c:v>
                </c:pt>
                <c:pt idx="2">
                  <c:v>0.37121212121212116</c:v>
                </c:pt>
                <c:pt idx="4">
                  <c:v>0.47282608695652184</c:v>
                </c:pt>
                <c:pt idx="5">
                  <c:v>0.55303030303030298</c:v>
                </c:pt>
                <c:pt idx="6">
                  <c:v>0.45833333333333331</c:v>
                </c:pt>
                <c:pt idx="7">
                  <c:v>0.47282608695652173</c:v>
                </c:pt>
                <c:pt idx="8">
                  <c:v>0.34567901234567905</c:v>
                </c:pt>
                <c:pt idx="9">
                  <c:v>0.41098484848484856</c:v>
                </c:pt>
                <c:pt idx="11">
                  <c:v>0.36742424242424243</c:v>
                </c:pt>
                <c:pt idx="12">
                  <c:v>0.48863636363636354</c:v>
                </c:pt>
                <c:pt idx="13">
                  <c:v>0.59000470952885553</c:v>
                </c:pt>
                <c:pt idx="14">
                  <c:v>0.58712121212121204</c:v>
                </c:pt>
                <c:pt idx="15">
                  <c:v>0.53462982364239564</c:v>
                </c:pt>
                <c:pt idx="16">
                  <c:v>0.45075757575757575</c:v>
                </c:pt>
                <c:pt idx="18">
                  <c:v>0.54356060606060608</c:v>
                </c:pt>
                <c:pt idx="19">
                  <c:v>0.39855072463768115</c:v>
                </c:pt>
                <c:pt idx="20">
                  <c:v>0.29347826086956524</c:v>
                </c:pt>
                <c:pt idx="21">
                  <c:v>0.45619957956867979</c:v>
                </c:pt>
                <c:pt idx="22">
                  <c:v>0.56060606060606066</c:v>
                </c:pt>
                <c:pt idx="23">
                  <c:v>0.45108695652173914</c:v>
                </c:pt>
                <c:pt idx="25">
                  <c:v>0.41493055555555552</c:v>
                </c:pt>
                <c:pt idx="26">
                  <c:v>0.53598484848484851</c:v>
                </c:pt>
                <c:pt idx="27">
                  <c:v>0.43560606060606055</c:v>
                </c:pt>
                <c:pt idx="28">
                  <c:v>0.42234848484848481</c:v>
                </c:pt>
                <c:pt idx="29">
                  <c:v>0.42529900929110415</c:v>
                </c:pt>
                <c:pt idx="31">
                  <c:v>0.41240717878611177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89-4706-9647-AB17B5203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A89-4706-9647-AB17B52033B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89-4706-9647-AB17B5203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TOP</c:v>
                </c:pt>
                <c:pt idx="3">
                  <c:v>BASE</c:v>
                </c:pt>
                <c:pt idx="4">
                  <c:v>LATCH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BASE</c:v>
                </c:pt>
                <c:pt idx="14">
                  <c:v>ACTUATOR</c:v>
                </c:pt>
                <c:pt idx="15">
                  <c:v>LATCH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'20'!$L$6:$L$28</c:f>
              <c:numCache>
                <c:formatCode>_(* #,##0_);_(* \(#,##0\);_(* "-"_);_(@_)</c:formatCode>
                <c:ptCount val="23"/>
                <c:pt idx="0">
                  <c:v>13128</c:v>
                </c:pt>
                <c:pt idx="3">
                  <c:v>4693</c:v>
                </c:pt>
                <c:pt idx="5">
                  <c:v>105528</c:v>
                </c:pt>
                <c:pt idx="6">
                  <c:v>5460</c:v>
                </c:pt>
                <c:pt idx="7">
                  <c:v>4237</c:v>
                </c:pt>
                <c:pt idx="8">
                  <c:v>116</c:v>
                </c:pt>
                <c:pt idx="12">
                  <c:v>1300</c:v>
                </c:pt>
                <c:pt idx="13">
                  <c:v>2566</c:v>
                </c:pt>
                <c:pt idx="14">
                  <c:v>2400</c:v>
                </c:pt>
                <c:pt idx="15">
                  <c:v>3635</c:v>
                </c:pt>
                <c:pt idx="16">
                  <c:v>70044</c:v>
                </c:pt>
                <c:pt idx="19">
                  <c:v>7208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BE-4EE8-BD8A-55FA86A4A51E}"/>
            </c:ext>
          </c:extLst>
        </c:ser>
        <c:ser>
          <c:idx val="1"/>
          <c:order val="1"/>
          <c:tx>
            <c:v>계획</c:v>
          </c:tx>
          <c:cat>
            <c:strRef>
              <c:f>'20'!$D$6:$D$28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TOP</c:v>
                </c:pt>
                <c:pt idx="3">
                  <c:v>BASE</c:v>
                </c:pt>
                <c:pt idx="4">
                  <c:v>LATCH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BASE</c:v>
                </c:pt>
                <c:pt idx="14">
                  <c:v>ACTUATOR</c:v>
                </c:pt>
                <c:pt idx="15">
                  <c:v>LATCH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'20'!$J$6:$J$28</c:f>
              <c:numCache>
                <c:formatCode>_(* #,##0_);_(* \(#,##0\);_(* "-"_);_(@_)</c:formatCode>
                <c:ptCount val="23"/>
                <c:pt idx="0">
                  <c:v>13128</c:v>
                </c:pt>
                <c:pt idx="1">
                  <c:v>4260</c:v>
                </c:pt>
                <c:pt idx="2">
                  <c:v>1761</c:v>
                </c:pt>
                <c:pt idx="3">
                  <c:v>4693</c:v>
                </c:pt>
                <c:pt idx="4">
                  <c:v>6600</c:v>
                </c:pt>
                <c:pt idx="5">
                  <c:v>105528</c:v>
                </c:pt>
                <c:pt idx="6">
                  <c:v>5460</c:v>
                </c:pt>
                <c:pt idx="7">
                  <c:v>4237</c:v>
                </c:pt>
                <c:pt idx="8">
                  <c:v>116</c:v>
                </c:pt>
                <c:pt idx="9">
                  <c:v>12356</c:v>
                </c:pt>
                <c:pt idx="10">
                  <c:v>920</c:v>
                </c:pt>
                <c:pt idx="11">
                  <c:v>10491</c:v>
                </c:pt>
                <c:pt idx="12">
                  <c:v>1300</c:v>
                </c:pt>
                <c:pt idx="13">
                  <c:v>2566</c:v>
                </c:pt>
                <c:pt idx="14">
                  <c:v>2400</c:v>
                </c:pt>
                <c:pt idx="15">
                  <c:v>3635</c:v>
                </c:pt>
                <c:pt idx="16">
                  <c:v>70044</c:v>
                </c:pt>
                <c:pt idx="17">
                  <c:v>0</c:v>
                </c:pt>
                <c:pt idx="18">
                  <c:v>0</c:v>
                </c:pt>
                <c:pt idx="19">
                  <c:v>7208</c:v>
                </c:pt>
                <c:pt idx="20">
                  <c:v>9988</c:v>
                </c:pt>
                <c:pt idx="21">
                  <c:v>11600</c:v>
                </c:pt>
                <c:pt idx="22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BE-4EE8-BD8A-55FA86A4A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'20'!$AD$6:$AD$28</c:f>
              <c:strCache>
                <c:ptCount val="23"/>
                <c:pt idx="0">
                  <c:v>100%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0%</c:v>
                </c:pt>
                <c:pt idx="5">
                  <c:v>100%</c:v>
                </c:pt>
                <c:pt idx="6">
                  <c:v>100%</c:v>
                </c:pt>
                <c:pt idx="7">
                  <c:v>83%</c:v>
                </c:pt>
                <c:pt idx="8">
                  <c:v>17%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25%</c:v>
                </c:pt>
                <c:pt idx="13">
                  <c:v>58%</c:v>
                </c:pt>
                <c:pt idx="14">
                  <c:v>50%</c:v>
                </c:pt>
                <c:pt idx="15">
                  <c:v>83%</c:v>
                </c:pt>
                <c:pt idx="16">
                  <c:v>100%</c:v>
                </c:pt>
                <c:pt idx="17">
                  <c:v>0%</c:v>
                </c:pt>
                <c:pt idx="18">
                  <c:v>0%</c:v>
                </c:pt>
                <c:pt idx="19">
                  <c:v>100%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TOP</c:v>
                </c:pt>
                <c:pt idx="3">
                  <c:v>BASE</c:v>
                </c:pt>
                <c:pt idx="4">
                  <c:v>LATCH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BASE</c:v>
                </c:pt>
                <c:pt idx="14">
                  <c:v>ACTUATOR</c:v>
                </c:pt>
                <c:pt idx="15">
                  <c:v>LATCH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'20'!$AD$6:$AD$28</c:f>
              <c:numCache>
                <c:formatCode>0%</c:formatCode>
                <c:ptCount val="2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0.83333333333333337</c:v>
                </c:pt>
                <c:pt idx="8">
                  <c:v>0.16666666666666666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0.25</c:v>
                </c:pt>
                <c:pt idx="13">
                  <c:v>0.58333333333333337</c:v>
                </c:pt>
                <c:pt idx="14">
                  <c:v>0.5</c:v>
                </c:pt>
                <c:pt idx="15">
                  <c:v>0.83333333333333337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07-4A91-A695-61565812B53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C07-4A91-A695-61565812B53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TOP</c:v>
                </c:pt>
                <c:pt idx="3">
                  <c:v>BASE</c:v>
                </c:pt>
                <c:pt idx="4">
                  <c:v>LATCH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BASE</c:v>
                </c:pt>
                <c:pt idx="14">
                  <c:v>ACTUATOR</c:v>
                </c:pt>
                <c:pt idx="15">
                  <c:v>LATCH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'20'!$AE$6:$AE$28</c:f>
              <c:numCache>
                <c:formatCode>0%</c:formatCode>
                <c:ptCount val="23"/>
                <c:pt idx="0">
                  <c:v>0.39855072463768115</c:v>
                </c:pt>
                <c:pt idx="1">
                  <c:v>0.39855072463768115</c:v>
                </c:pt>
                <c:pt idx="2">
                  <c:v>0.39855072463768115</c:v>
                </c:pt>
                <c:pt idx="3">
                  <c:v>0.39855072463768115</c:v>
                </c:pt>
                <c:pt idx="4">
                  <c:v>0.39855072463768115</c:v>
                </c:pt>
                <c:pt idx="5">
                  <c:v>0.39855072463768115</c:v>
                </c:pt>
                <c:pt idx="6">
                  <c:v>0.39855072463768115</c:v>
                </c:pt>
                <c:pt idx="7">
                  <c:v>0.39855072463768115</c:v>
                </c:pt>
                <c:pt idx="8">
                  <c:v>0.39855072463768115</c:v>
                </c:pt>
                <c:pt idx="9">
                  <c:v>0.39855072463768115</c:v>
                </c:pt>
                <c:pt idx="10">
                  <c:v>0.39855072463768115</c:v>
                </c:pt>
                <c:pt idx="11">
                  <c:v>0.39855072463768115</c:v>
                </c:pt>
                <c:pt idx="12">
                  <c:v>0.39855072463768115</c:v>
                </c:pt>
                <c:pt idx="13">
                  <c:v>0.39855072463768115</c:v>
                </c:pt>
                <c:pt idx="14">
                  <c:v>0.39855072463768115</c:v>
                </c:pt>
                <c:pt idx="15">
                  <c:v>0.39855072463768115</c:v>
                </c:pt>
                <c:pt idx="16">
                  <c:v>0.39855072463768115</c:v>
                </c:pt>
                <c:pt idx="17">
                  <c:v>0.39855072463768115</c:v>
                </c:pt>
                <c:pt idx="18">
                  <c:v>0.39855072463768115</c:v>
                </c:pt>
                <c:pt idx="19">
                  <c:v>0.39855072463768115</c:v>
                </c:pt>
                <c:pt idx="20">
                  <c:v>0.39855072463768115</c:v>
                </c:pt>
                <c:pt idx="21">
                  <c:v>0.39855072463768115</c:v>
                </c:pt>
                <c:pt idx="22">
                  <c:v>0.39855072463768115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07-4A91-A695-61565812B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TOP</c:v>
                </c:pt>
                <c:pt idx="3">
                  <c:v>BASE</c:v>
                </c:pt>
                <c:pt idx="4">
                  <c:v>LATCH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BASE</c:v>
                </c:pt>
                <c:pt idx="14">
                  <c:v>ACTUATOR</c:v>
                </c:pt>
                <c:pt idx="15">
                  <c:v>LATCH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'20'!$L$6:$L$28</c:f>
              <c:numCache>
                <c:formatCode>_(* #,##0_);_(* \(#,##0\);_(* "-"_);_(@_)</c:formatCode>
                <c:ptCount val="23"/>
                <c:pt idx="0">
                  <c:v>13128</c:v>
                </c:pt>
                <c:pt idx="3">
                  <c:v>4693</c:v>
                </c:pt>
                <c:pt idx="5">
                  <c:v>105528</c:v>
                </c:pt>
                <c:pt idx="6">
                  <c:v>5460</c:v>
                </c:pt>
                <c:pt idx="7">
                  <c:v>4237</c:v>
                </c:pt>
                <c:pt idx="8">
                  <c:v>116</c:v>
                </c:pt>
                <c:pt idx="12">
                  <c:v>1300</c:v>
                </c:pt>
                <c:pt idx="13">
                  <c:v>2566</c:v>
                </c:pt>
                <c:pt idx="14">
                  <c:v>2400</c:v>
                </c:pt>
                <c:pt idx="15">
                  <c:v>3635</c:v>
                </c:pt>
                <c:pt idx="16">
                  <c:v>70044</c:v>
                </c:pt>
                <c:pt idx="19">
                  <c:v>7208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88-4427-9F81-22ACAD952C45}"/>
            </c:ext>
          </c:extLst>
        </c:ser>
        <c:ser>
          <c:idx val="1"/>
          <c:order val="1"/>
          <c:tx>
            <c:v>계획</c:v>
          </c:tx>
          <c:cat>
            <c:strRef>
              <c:f>'20'!$D$6:$D$28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TOP</c:v>
                </c:pt>
                <c:pt idx="3">
                  <c:v>BASE</c:v>
                </c:pt>
                <c:pt idx="4">
                  <c:v>LATCH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BASE</c:v>
                </c:pt>
                <c:pt idx="14">
                  <c:v>ACTUATOR</c:v>
                </c:pt>
                <c:pt idx="15">
                  <c:v>LATCH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'20'!$J$6:$J$28</c:f>
              <c:numCache>
                <c:formatCode>_(* #,##0_);_(* \(#,##0\);_(* "-"_);_(@_)</c:formatCode>
                <c:ptCount val="23"/>
                <c:pt idx="0">
                  <c:v>13128</c:v>
                </c:pt>
                <c:pt idx="1">
                  <c:v>4260</c:v>
                </c:pt>
                <c:pt idx="2">
                  <c:v>1761</c:v>
                </c:pt>
                <c:pt idx="3">
                  <c:v>4693</c:v>
                </c:pt>
                <c:pt idx="4">
                  <c:v>6600</c:v>
                </c:pt>
                <c:pt idx="5">
                  <c:v>105528</c:v>
                </c:pt>
                <c:pt idx="6">
                  <c:v>5460</c:v>
                </c:pt>
                <c:pt idx="7">
                  <c:v>4237</c:v>
                </c:pt>
                <c:pt idx="8">
                  <c:v>116</c:v>
                </c:pt>
                <c:pt idx="9">
                  <c:v>12356</c:v>
                </c:pt>
                <c:pt idx="10">
                  <c:v>920</c:v>
                </c:pt>
                <c:pt idx="11">
                  <c:v>10491</c:v>
                </c:pt>
                <c:pt idx="12">
                  <c:v>1300</c:v>
                </c:pt>
                <c:pt idx="13">
                  <c:v>2566</c:v>
                </c:pt>
                <c:pt idx="14">
                  <c:v>2400</c:v>
                </c:pt>
                <c:pt idx="15">
                  <c:v>3635</c:v>
                </c:pt>
                <c:pt idx="16">
                  <c:v>70044</c:v>
                </c:pt>
                <c:pt idx="17">
                  <c:v>0</c:v>
                </c:pt>
                <c:pt idx="18">
                  <c:v>0</c:v>
                </c:pt>
                <c:pt idx="19">
                  <c:v>7208</c:v>
                </c:pt>
                <c:pt idx="20">
                  <c:v>9988</c:v>
                </c:pt>
                <c:pt idx="21">
                  <c:v>11600</c:v>
                </c:pt>
                <c:pt idx="22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88-4427-9F81-22ACAD952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'20'!$AD$6:$AD$28</c:f>
              <c:strCache>
                <c:ptCount val="23"/>
                <c:pt idx="0">
                  <c:v>100%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0%</c:v>
                </c:pt>
                <c:pt idx="5">
                  <c:v>100%</c:v>
                </c:pt>
                <c:pt idx="6">
                  <c:v>100%</c:v>
                </c:pt>
                <c:pt idx="7">
                  <c:v>83%</c:v>
                </c:pt>
                <c:pt idx="8">
                  <c:v>17%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25%</c:v>
                </c:pt>
                <c:pt idx="13">
                  <c:v>58%</c:v>
                </c:pt>
                <c:pt idx="14">
                  <c:v>50%</c:v>
                </c:pt>
                <c:pt idx="15">
                  <c:v>83%</c:v>
                </c:pt>
                <c:pt idx="16">
                  <c:v>100%</c:v>
                </c:pt>
                <c:pt idx="17">
                  <c:v>0%</c:v>
                </c:pt>
                <c:pt idx="18">
                  <c:v>0%</c:v>
                </c:pt>
                <c:pt idx="19">
                  <c:v>100%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TOP</c:v>
                </c:pt>
                <c:pt idx="3">
                  <c:v>BASE</c:v>
                </c:pt>
                <c:pt idx="4">
                  <c:v>LATCH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BASE</c:v>
                </c:pt>
                <c:pt idx="14">
                  <c:v>ACTUATOR</c:v>
                </c:pt>
                <c:pt idx="15">
                  <c:v>LATCH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'20'!$AD$6:$AD$28</c:f>
              <c:numCache>
                <c:formatCode>0%</c:formatCode>
                <c:ptCount val="2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0.83333333333333337</c:v>
                </c:pt>
                <c:pt idx="8">
                  <c:v>0.16666666666666666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0.25</c:v>
                </c:pt>
                <c:pt idx="13">
                  <c:v>0.58333333333333337</c:v>
                </c:pt>
                <c:pt idx="14">
                  <c:v>0.5</c:v>
                </c:pt>
                <c:pt idx="15">
                  <c:v>0.83333333333333337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8B-43C4-B9EF-8FAB32E1907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58B-43C4-B9EF-8FAB32E1907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TOP</c:v>
                </c:pt>
                <c:pt idx="3">
                  <c:v>BASE</c:v>
                </c:pt>
                <c:pt idx="4">
                  <c:v>LATCH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STOPPPER</c:v>
                </c:pt>
                <c:pt idx="13">
                  <c:v>BASE</c:v>
                </c:pt>
                <c:pt idx="14">
                  <c:v>ACTUATOR</c:v>
                </c:pt>
                <c:pt idx="15">
                  <c:v>LATCH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'20'!$AE$6:$AE$28</c:f>
              <c:numCache>
                <c:formatCode>0%</c:formatCode>
                <c:ptCount val="23"/>
                <c:pt idx="0">
                  <c:v>0.39855072463768115</c:v>
                </c:pt>
                <c:pt idx="1">
                  <c:v>0.39855072463768115</c:v>
                </c:pt>
                <c:pt idx="2">
                  <c:v>0.39855072463768115</c:v>
                </c:pt>
                <c:pt idx="3">
                  <c:v>0.39855072463768115</c:v>
                </c:pt>
                <c:pt idx="4">
                  <c:v>0.39855072463768115</c:v>
                </c:pt>
                <c:pt idx="5">
                  <c:v>0.39855072463768115</c:v>
                </c:pt>
                <c:pt idx="6">
                  <c:v>0.39855072463768115</c:v>
                </c:pt>
                <c:pt idx="7">
                  <c:v>0.39855072463768115</c:v>
                </c:pt>
                <c:pt idx="8">
                  <c:v>0.39855072463768115</c:v>
                </c:pt>
                <c:pt idx="9">
                  <c:v>0.39855072463768115</c:v>
                </c:pt>
                <c:pt idx="10">
                  <c:v>0.39855072463768115</c:v>
                </c:pt>
                <c:pt idx="11">
                  <c:v>0.39855072463768115</c:v>
                </c:pt>
                <c:pt idx="12">
                  <c:v>0.39855072463768115</c:v>
                </c:pt>
                <c:pt idx="13">
                  <c:v>0.39855072463768115</c:v>
                </c:pt>
                <c:pt idx="14">
                  <c:v>0.39855072463768115</c:v>
                </c:pt>
                <c:pt idx="15">
                  <c:v>0.39855072463768115</c:v>
                </c:pt>
                <c:pt idx="16">
                  <c:v>0.39855072463768115</c:v>
                </c:pt>
                <c:pt idx="17">
                  <c:v>0.39855072463768115</c:v>
                </c:pt>
                <c:pt idx="18">
                  <c:v>0.39855072463768115</c:v>
                </c:pt>
                <c:pt idx="19">
                  <c:v>0.39855072463768115</c:v>
                </c:pt>
                <c:pt idx="20">
                  <c:v>0.39855072463768115</c:v>
                </c:pt>
                <c:pt idx="21">
                  <c:v>0.39855072463768115</c:v>
                </c:pt>
                <c:pt idx="22">
                  <c:v>0.39855072463768115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8B-43C4-B9EF-8FAB32E19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BD4-4A90-BD86-D34B2ACD5B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0.68147728498178428</c:v>
                </c:pt>
                <c:pt idx="1">
                  <c:v>0.64962121212121204</c:v>
                </c:pt>
                <c:pt idx="2">
                  <c:v>0.37121212121212116</c:v>
                </c:pt>
                <c:pt idx="4">
                  <c:v>0.47282608695652184</c:v>
                </c:pt>
                <c:pt idx="5">
                  <c:v>0.55303030303030298</c:v>
                </c:pt>
                <c:pt idx="6">
                  <c:v>0.45833333333333331</c:v>
                </c:pt>
                <c:pt idx="7">
                  <c:v>0.47282608695652173</c:v>
                </c:pt>
                <c:pt idx="8">
                  <c:v>0.34567901234567905</c:v>
                </c:pt>
                <c:pt idx="9">
                  <c:v>0.41098484848484856</c:v>
                </c:pt>
                <c:pt idx="11">
                  <c:v>0.36742424242424243</c:v>
                </c:pt>
                <c:pt idx="12">
                  <c:v>0.48863636363636354</c:v>
                </c:pt>
                <c:pt idx="13">
                  <c:v>0.59000470952885553</c:v>
                </c:pt>
                <c:pt idx="14">
                  <c:v>0.58712121212121204</c:v>
                </c:pt>
                <c:pt idx="15">
                  <c:v>0.53462982364239564</c:v>
                </c:pt>
                <c:pt idx="16">
                  <c:v>0.45075757575757575</c:v>
                </c:pt>
                <c:pt idx="18">
                  <c:v>0.54356060606060608</c:v>
                </c:pt>
                <c:pt idx="19">
                  <c:v>0.39855072463768115</c:v>
                </c:pt>
                <c:pt idx="20">
                  <c:v>0.29347826086956524</c:v>
                </c:pt>
                <c:pt idx="21">
                  <c:v>0.45619957956867979</c:v>
                </c:pt>
                <c:pt idx="22">
                  <c:v>0.56060606060606066</c:v>
                </c:pt>
                <c:pt idx="23">
                  <c:v>0.45108695652173914</c:v>
                </c:pt>
                <c:pt idx="25">
                  <c:v>0.41493055555555552</c:v>
                </c:pt>
                <c:pt idx="26">
                  <c:v>0.53598484848484851</c:v>
                </c:pt>
                <c:pt idx="27">
                  <c:v>0.43560606060606055</c:v>
                </c:pt>
                <c:pt idx="28">
                  <c:v>0.42234848484848481</c:v>
                </c:pt>
                <c:pt idx="29">
                  <c:v>0.42529900929110415</c:v>
                </c:pt>
                <c:pt idx="31">
                  <c:v>0.41240717878611177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D4-4A90-BD86-D34B2ACD5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BD4-4A90-BD86-D34B2ACD5BA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D4-4A90-BD86-D34B2ACD5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TOP</c:v>
                </c:pt>
                <c:pt idx="3">
                  <c:v>BASE</c:v>
                </c:pt>
                <c:pt idx="4">
                  <c:v>LATCH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COVER</c:v>
                </c:pt>
                <c:pt idx="13">
                  <c:v>STOPPPER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'21'!$L$6:$L$28</c:f>
              <c:numCache>
                <c:formatCode>_(* #,##0_);_(* \(#,##0\);_(* "-"_);_(@_)</c:formatCode>
                <c:ptCount val="23"/>
                <c:pt idx="0">
                  <c:v>13256</c:v>
                </c:pt>
                <c:pt idx="3">
                  <c:v>1903</c:v>
                </c:pt>
                <c:pt idx="5">
                  <c:v>100116</c:v>
                </c:pt>
                <c:pt idx="6">
                  <c:v>5580</c:v>
                </c:pt>
                <c:pt idx="7">
                  <c:v>737</c:v>
                </c:pt>
                <c:pt idx="8">
                  <c:v>49</c:v>
                </c:pt>
                <c:pt idx="11">
                  <c:v>2164</c:v>
                </c:pt>
                <c:pt idx="12">
                  <c:v>543</c:v>
                </c:pt>
                <c:pt idx="13">
                  <c:v>1291</c:v>
                </c:pt>
                <c:pt idx="14">
                  <c:v>323</c:v>
                </c:pt>
                <c:pt idx="15">
                  <c:v>543</c:v>
                </c:pt>
                <c:pt idx="16">
                  <c:v>64028</c:v>
                </c:pt>
                <c:pt idx="19">
                  <c:v>7013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7F-4509-A34D-DB42FA0B1B6C}"/>
            </c:ext>
          </c:extLst>
        </c:ser>
        <c:ser>
          <c:idx val="1"/>
          <c:order val="1"/>
          <c:tx>
            <c:v>계획</c:v>
          </c:tx>
          <c:cat>
            <c:strRef>
              <c:f>'21'!$D$6:$D$28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TOP</c:v>
                </c:pt>
                <c:pt idx="3">
                  <c:v>BASE</c:v>
                </c:pt>
                <c:pt idx="4">
                  <c:v>LATCH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COVER</c:v>
                </c:pt>
                <c:pt idx="13">
                  <c:v>STOPPPER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'21'!$J$6:$J$28</c:f>
              <c:numCache>
                <c:formatCode>_(* #,##0_);_(* \(#,##0\);_(* "-"_);_(@_)</c:formatCode>
                <c:ptCount val="23"/>
                <c:pt idx="0">
                  <c:v>13256</c:v>
                </c:pt>
                <c:pt idx="1">
                  <c:v>4260</c:v>
                </c:pt>
                <c:pt idx="2">
                  <c:v>1761</c:v>
                </c:pt>
                <c:pt idx="3">
                  <c:v>1903</c:v>
                </c:pt>
                <c:pt idx="4">
                  <c:v>6600</c:v>
                </c:pt>
                <c:pt idx="5">
                  <c:v>100116</c:v>
                </c:pt>
                <c:pt idx="6">
                  <c:v>5580</c:v>
                </c:pt>
                <c:pt idx="7">
                  <c:v>737</c:v>
                </c:pt>
                <c:pt idx="8">
                  <c:v>49</c:v>
                </c:pt>
                <c:pt idx="9">
                  <c:v>12356</c:v>
                </c:pt>
                <c:pt idx="10">
                  <c:v>920</c:v>
                </c:pt>
                <c:pt idx="11">
                  <c:v>2164</c:v>
                </c:pt>
                <c:pt idx="12">
                  <c:v>543</c:v>
                </c:pt>
                <c:pt idx="13">
                  <c:v>1291</c:v>
                </c:pt>
                <c:pt idx="14">
                  <c:v>323</c:v>
                </c:pt>
                <c:pt idx="15">
                  <c:v>543</c:v>
                </c:pt>
                <c:pt idx="16">
                  <c:v>64028</c:v>
                </c:pt>
                <c:pt idx="17">
                  <c:v>0</c:v>
                </c:pt>
                <c:pt idx="18">
                  <c:v>0</c:v>
                </c:pt>
                <c:pt idx="19">
                  <c:v>7013</c:v>
                </c:pt>
                <c:pt idx="20">
                  <c:v>9988</c:v>
                </c:pt>
                <c:pt idx="21">
                  <c:v>11600</c:v>
                </c:pt>
                <c:pt idx="22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7F-4509-A34D-DB42FA0B1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'21'!$AD$6:$AD$28</c:f>
              <c:strCache>
                <c:ptCount val="23"/>
                <c:pt idx="0">
                  <c:v>100%</c:v>
                </c:pt>
                <c:pt idx="1">
                  <c:v>0%</c:v>
                </c:pt>
                <c:pt idx="2">
                  <c:v>0%</c:v>
                </c:pt>
                <c:pt idx="3">
                  <c:v>50%</c:v>
                </c:pt>
                <c:pt idx="4">
                  <c:v>0%</c:v>
                </c:pt>
                <c:pt idx="5">
                  <c:v>100%</c:v>
                </c:pt>
                <c:pt idx="6">
                  <c:v>100%</c:v>
                </c:pt>
                <c:pt idx="7">
                  <c:v>17%</c:v>
                </c:pt>
                <c:pt idx="8">
                  <c:v>17%</c:v>
                </c:pt>
                <c:pt idx="9">
                  <c:v>0%</c:v>
                </c:pt>
                <c:pt idx="10">
                  <c:v>0%</c:v>
                </c:pt>
                <c:pt idx="11">
                  <c:v>17%</c:v>
                </c:pt>
                <c:pt idx="12">
                  <c:v>17%</c:v>
                </c:pt>
                <c:pt idx="13">
                  <c:v>25%</c:v>
                </c:pt>
                <c:pt idx="14">
                  <c:v>17%</c:v>
                </c:pt>
                <c:pt idx="15">
                  <c:v>17%</c:v>
                </c:pt>
                <c:pt idx="16">
                  <c:v>100%</c:v>
                </c:pt>
                <c:pt idx="17">
                  <c:v>0%</c:v>
                </c:pt>
                <c:pt idx="18">
                  <c:v>0%</c:v>
                </c:pt>
                <c:pt idx="19">
                  <c:v>100%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TOP</c:v>
                </c:pt>
                <c:pt idx="3">
                  <c:v>BASE</c:v>
                </c:pt>
                <c:pt idx="4">
                  <c:v>LATCH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COVER</c:v>
                </c:pt>
                <c:pt idx="13">
                  <c:v>STOPPPER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'21'!$AD$6:$AD$28</c:f>
              <c:numCache>
                <c:formatCode>0%</c:formatCode>
                <c:ptCount val="2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0.16666666666666666</c:v>
                </c:pt>
                <c:pt idx="8">
                  <c:v>0.16666666666666666</c:v>
                </c:pt>
                <c:pt idx="9">
                  <c:v>0</c:v>
                </c:pt>
                <c:pt idx="10">
                  <c:v>0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0.25</c:v>
                </c:pt>
                <c:pt idx="14">
                  <c:v>0.16666666666666666</c:v>
                </c:pt>
                <c:pt idx="15">
                  <c:v>0.16666666666666666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CA-4C32-8971-5B44FEE338A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3CA-4C32-8971-5B44FEE338A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TOP</c:v>
                </c:pt>
                <c:pt idx="3">
                  <c:v>BASE</c:v>
                </c:pt>
                <c:pt idx="4">
                  <c:v>LATCH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COVER</c:v>
                </c:pt>
                <c:pt idx="13">
                  <c:v>STOPPPER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'21'!$AE$6:$AE$28</c:f>
              <c:numCache>
                <c:formatCode>0%</c:formatCode>
                <c:ptCount val="23"/>
                <c:pt idx="0">
                  <c:v>0.29347826086956524</c:v>
                </c:pt>
                <c:pt idx="1">
                  <c:v>0.29347826086956524</c:v>
                </c:pt>
                <c:pt idx="2">
                  <c:v>0.29347826086956524</c:v>
                </c:pt>
                <c:pt idx="3">
                  <c:v>0.29347826086956524</c:v>
                </c:pt>
                <c:pt idx="4">
                  <c:v>0.29347826086956524</c:v>
                </c:pt>
                <c:pt idx="5">
                  <c:v>0.29347826086956524</c:v>
                </c:pt>
                <c:pt idx="6">
                  <c:v>0.29347826086956524</c:v>
                </c:pt>
                <c:pt idx="7">
                  <c:v>0.29347826086956524</c:v>
                </c:pt>
                <c:pt idx="8">
                  <c:v>0.29347826086956524</c:v>
                </c:pt>
                <c:pt idx="9">
                  <c:v>0.29347826086956524</c:v>
                </c:pt>
                <c:pt idx="10">
                  <c:v>0.29347826086956524</c:v>
                </c:pt>
                <c:pt idx="11">
                  <c:v>0.29347826086956524</c:v>
                </c:pt>
                <c:pt idx="12">
                  <c:v>0.29347826086956524</c:v>
                </c:pt>
                <c:pt idx="13">
                  <c:v>0.29347826086956524</c:v>
                </c:pt>
                <c:pt idx="14">
                  <c:v>0.29347826086956524</c:v>
                </c:pt>
                <c:pt idx="15">
                  <c:v>0.29347826086956524</c:v>
                </c:pt>
                <c:pt idx="16">
                  <c:v>0.29347826086956524</c:v>
                </c:pt>
                <c:pt idx="17">
                  <c:v>0.29347826086956524</c:v>
                </c:pt>
                <c:pt idx="18">
                  <c:v>0.29347826086956524</c:v>
                </c:pt>
                <c:pt idx="19">
                  <c:v>0.29347826086956524</c:v>
                </c:pt>
                <c:pt idx="20">
                  <c:v>0.29347826086956524</c:v>
                </c:pt>
                <c:pt idx="21">
                  <c:v>0.29347826086956524</c:v>
                </c:pt>
                <c:pt idx="22">
                  <c:v>0.29347826086956524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CA-4C32-8971-5B44FEE33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TOP</c:v>
                </c:pt>
                <c:pt idx="3">
                  <c:v>BASE</c:v>
                </c:pt>
                <c:pt idx="4">
                  <c:v>LATCH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COVER</c:v>
                </c:pt>
                <c:pt idx="13">
                  <c:v>STOPPPER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'21'!$L$6:$L$28</c:f>
              <c:numCache>
                <c:formatCode>_(* #,##0_);_(* \(#,##0\);_(* "-"_);_(@_)</c:formatCode>
                <c:ptCount val="23"/>
                <c:pt idx="0">
                  <c:v>13256</c:v>
                </c:pt>
                <c:pt idx="3">
                  <c:v>1903</c:v>
                </c:pt>
                <c:pt idx="5">
                  <c:v>100116</c:v>
                </c:pt>
                <c:pt idx="6">
                  <c:v>5580</c:v>
                </c:pt>
                <c:pt idx="7">
                  <c:v>737</c:v>
                </c:pt>
                <c:pt idx="8">
                  <c:v>49</c:v>
                </c:pt>
                <c:pt idx="11">
                  <c:v>2164</c:v>
                </c:pt>
                <c:pt idx="12">
                  <c:v>543</c:v>
                </c:pt>
                <c:pt idx="13">
                  <c:v>1291</c:v>
                </c:pt>
                <c:pt idx="14">
                  <c:v>323</c:v>
                </c:pt>
                <c:pt idx="15">
                  <c:v>543</c:v>
                </c:pt>
                <c:pt idx="16">
                  <c:v>64028</c:v>
                </c:pt>
                <c:pt idx="19">
                  <c:v>7013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2A-4A8D-888B-91FF49952EB9}"/>
            </c:ext>
          </c:extLst>
        </c:ser>
        <c:ser>
          <c:idx val="1"/>
          <c:order val="1"/>
          <c:tx>
            <c:v>계획</c:v>
          </c:tx>
          <c:cat>
            <c:strRef>
              <c:f>'21'!$D$6:$D$28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TOP</c:v>
                </c:pt>
                <c:pt idx="3">
                  <c:v>BASE</c:v>
                </c:pt>
                <c:pt idx="4">
                  <c:v>LATCH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COVER</c:v>
                </c:pt>
                <c:pt idx="13">
                  <c:v>STOPPPER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'21'!$J$6:$J$28</c:f>
              <c:numCache>
                <c:formatCode>_(* #,##0_);_(* \(#,##0\);_(* "-"_);_(@_)</c:formatCode>
                <c:ptCount val="23"/>
                <c:pt idx="0">
                  <c:v>13256</c:v>
                </c:pt>
                <c:pt idx="1">
                  <c:v>4260</c:v>
                </c:pt>
                <c:pt idx="2">
                  <c:v>1761</c:v>
                </c:pt>
                <c:pt idx="3">
                  <c:v>1903</c:v>
                </c:pt>
                <c:pt idx="4">
                  <c:v>6600</c:v>
                </c:pt>
                <c:pt idx="5">
                  <c:v>100116</c:v>
                </c:pt>
                <c:pt idx="6">
                  <c:v>5580</c:v>
                </c:pt>
                <c:pt idx="7">
                  <c:v>737</c:v>
                </c:pt>
                <c:pt idx="8">
                  <c:v>49</c:v>
                </c:pt>
                <c:pt idx="9">
                  <c:v>12356</c:v>
                </c:pt>
                <c:pt idx="10">
                  <c:v>920</c:v>
                </c:pt>
                <c:pt idx="11">
                  <c:v>2164</c:v>
                </c:pt>
                <c:pt idx="12">
                  <c:v>543</c:v>
                </c:pt>
                <c:pt idx="13">
                  <c:v>1291</c:v>
                </c:pt>
                <c:pt idx="14">
                  <c:v>323</c:v>
                </c:pt>
                <c:pt idx="15">
                  <c:v>543</c:v>
                </c:pt>
                <c:pt idx="16">
                  <c:v>64028</c:v>
                </c:pt>
                <c:pt idx="17">
                  <c:v>0</c:v>
                </c:pt>
                <c:pt idx="18">
                  <c:v>0</c:v>
                </c:pt>
                <c:pt idx="19">
                  <c:v>7013</c:v>
                </c:pt>
                <c:pt idx="20">
                  <c:v>9988</c:v>
                </c:pt>
                <c:pt idx="21">
                  <c:v>11600</c:v>
                </c:pt>
                <c:pt idx="22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2A-4A8D-888B-91FF49952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'21'!$AD$6:$AD$28</c:f>
              <c:strCache>
                <c:ptCount val="23"/>
                <c:pt idx="0">
                  <c:v>100%</c:v>
                </c:pt>
                <c:pt idx="1">
                  <c:v>0%</c:v>
                </c:pt>
                <c:pt idx="2">
                  <c:v>0%</c:v>
                </c:pt>
                <c:pt idx="3">
                  <c:v>50%</c:v>
                </c:pt>
                <c:pt idx="4">
                  <c:v>0%</c:v>
                </c:pt>
                <c:pt idx="5">
                  <c:v>100%</c:v>
                </c:pt>
                <c:pt idx="6">
                  <c:v>100%</c:v>
                </c:pt>
                <c:pt idx="7">
                  <c:v>17%</c:v>
                </c:pt>
                <c:pt idx="8">
                  <c:v>17%</c:v>
                </c:pt>
                <c:pt idx="9">
                  <c:v>0%</c:v>
                </c:pt>
                <c:pt idx="10">
                  <c:v>0%</c:v>
                </c:pt>
                <c:pt idx="11">
                  <c:v>17%</c:v>
                </c:pt>
                <c:pt idx="12">
                  <c:v>17%</c:v>
                </c:pt>
                <c:pt idx="13">
                  <c:v>25%</c:v>
                </c:pt>
                <c:pt idx="14">
                  <c:v>17%</c:v>
                </c:pt>
                <c:pt idx="15">
                  <c:v>17%</c:v>
                </c:pt>
                <c:pt idx="16">
                  <c:v>100%</c:v>
                </c:pt>
                <c:pt idx="17">
                  <c:v>0%</c:v>
                </c:pt>
                <c:pt idx="18">
                  <c:v>0%</c:v>
                </c:pt>
                <c:pt idx="19">
                  <c:v>100%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TOP</c:v>
                </c:pt>
                <c:pt idx="3">
                  <c:v>BASE</c:v>
                </c:pt>
                <c:pt idx="4">
                  <c:v>LATCH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COVER</c:v>
                </c:pt>
                <c:pt idx="13">
                  <c:v>STOPPPER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'21'!$AD$6:$AD$28</c:f>
              <c:numCache>
                <c:formatCode>0%</c:formatCode>
                <c:ptCount val="2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0.16666666666666666</c:v>
                </c:pt>
                <c:pt idx="8">
                  <c:v>0.16666666666666666</c:v>
                </c:pt>
                <c:pt idx="9">
                  <c:v>0</c:v>
                </c:pt>
                <c:pt idx="10">
                  <c:v>0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0.25</c:v>
                </c:pt>
                <c:pt idx="14">
                  <c:v>0.16666666666666666</c:v>
                </c:pt>
                <c:pt idx="15">
                  <c:v>0.16666666666666666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6A-4585-8BFE-5E87D1AEE92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B6A-4585-8BFE-5E87D1AEE92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TOP</c:v>
                </c:pt>
                <c:pt idx="3">
                  <c:v>BASE</c:v>
                </c:pt>
                <c:pt idx="4">
                  <c:v>LATCH</c:v>
                </c:pt>
                <c:pt idx="5">
                  <c:v>SHAFT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SLIDER</c:v>
                </c:pt>
                <c:pt idx="12">
                  <c:v>COVER</c:v>
                </c:pt>
                <c:pt idx="13">
                  <c:v>STOPPPER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'21'!$AE$6:$AE$28</c:f>
              <c:numCache>
                <c:formatCode>0%</c:formatCode>
                <c:ptCount val="23"/>
                <c:pt idx="0">
                  <c:v>0.29347826086956524</c:v>
                </c:pt>
                <c:pt idx="1">
                  <c:v>0.29347826086956524</c:v>
                </c:pt>
                <c:pt idx="2">
                  <c:v>0.29347826086956524</c:v>
                </c:pt>
                <c:pt idx="3">
                  <c:v>0.29347826086956524</c:v>
                </c:pt>
                <c:pt idx="4">
                  <c:v>0.29347826086956524</c:v>
                </c:pt>
                <c:pt idx="5">
                  <c:v>0.29347826086956524</c:v>
                </c:pt>
                <c:pt idx="6">
                  <c:v>0.29347826086956524</c:v>
                </c:pt>
                <c:pt idx="7">
                  <c:v>0.29347826086956524</c:v>
                </c:pt>
                <c:pt idx="8">
                  <c:v>0.29347826086956524</c:v>
                </c:pt>
                <c:pt idx="9">
                  <c:v>0.29347826086956524</c:v>
                </c:pt>
                <c:pt idx="10">
                  <c:v>0.29347826086956524</c:v>
                </c:pt>
                <c:pt idx="11">
                  <c:v>0.29347826086956524</c:v>
                </c:pt>
                <c:pt idx="12">
                  <c:v>0.29347826086956524</c:v>
                </c:pt>
                <c:pt idx="13">
                  <c:v>0.29347826086956524</c:v>
                </c:pt>
                <c:pt idx="14">
                  <c:v>0.29347826086956524</c:v>
                </c:pt>
                <c:pt idx="15">
                  <c:v>0.29347826086956524</c:v>
                </c:pt>
                <c:pt idx="16">
                  <c:v>0.29347826086956524</c:v>
                </c:pt>
                <c:pt idx="17">
                  <c:v>0.29347826086956524</c:v>
                </c:pt>
                <c:pt idx="18">
                  <c:v>0.29347826086956524</c:v>
                </c:pt>
                <c:pt idx="19">
                  <c:v>0.29347826086956524</c:v>
                </c:pt>
                <c:pt idx="20">
                  <c:v>0.29347826086956524</c:v>
                </c:pt>
                <c:pt idx="21">
                  <c:v>0.29347826086956524</c:v>
                </c:pt>
                <c:pt idx="22">
                  <c:v>0.29347826086956524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6A-4585-8BFE-5E87D1AEE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C73-471B-9858-5D886D140F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0.68147728498178428</c:v>
                </c:pt>
                <c:pt idx="1">
                  <c:v>0.64962121212121204</c:v>
                </c:pt>
                <c:pt idx="2">
                  <c:v>0.37121212121212116</c:v>
                </c:pt>
                <c:pt idx="4">
                  <c:v>0.47282608695652184</c:v>
                </c:pt>
                <c:pt idx="5">
                  <c:v>0.55303030303030298</c:v>
                </c:pt>
                <c:pt idx="6">
                  <c:v>0.45833333333333331</c:v>
                </c:pt>
                <c:pt idx="7">
                  <c:v>0.47282608695652173</c:v>
                </c:pt>
                <c:pt idx="8">
                  <c:v>0.34567901234567905</c:v>
                </c:pt>
                <c:pt idx="9">
                  <c:v>0.41098484848484856</c:v>
                </c:pt>
                <c:pt idx="11">
                  <c:v>0.36742424242424243</c:v>
                </c:pt>
                <c:pt idx="12">
                  <c:v>0.48863636363636354</c:v>
                </c:pt>
                <c:pt idx="13">
                  <c:v>0.59000470952885553</c:v>
                </c:pt>
                <c:pt idx="14">
                  <c:v>0.58712121212121204</c:v>
                </c:pt>
                <c:pt idx="15">
                  <c:v>0.53462982364239564</c:v>
                </c:pt>
                <c:pt idx="16">
                  <c:v>0.45075757575757575</c:v>
                </c:pt>
                <c:pt idx="18">
                  <c:v>0.54356060606060608</c:v>
                </c:pt>
                <c:pt idx="19">
                  <c:v>0.39855072463768115</c:v>
                </c:pt>
                <c:pt idx="20">
                  <c:v>0.29347826086956524</c:v>
                </c:pt>
                <c:pt idx="21">
                  <c:v>0.45619957956867979</c:v>
                </c:pt>
                <c:pt idx="22">
                  <c:v>0.56060606060606066</c:v>
                </c:pt>
                <c:pt idx="23">
                  <c:v>0.45108695652173914</c:v>
                </c:pt>
                <c:pt idx="25">
                  <c:v>0.41493055555555552</c:v>
                </c:pt>
                <c:pt idx="26">
                  <c:v>0.53598484848484851</c:v>
                </c:pt>
                <c:pt idx="27">
                  <c:v>0.43560606060606055</c:v>
                </c:pt>
                <c:pt idx="28">
                  <c:v>0.42234848484848481</c:v>
                </c:pt>
                <c:pt idx="29">
                  <c:v>0.42529900929110415</c:v>
                </c:pt>
                <c:pt idx="31">
                  <c:v>0.41240717878611177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73-471B-9858-5D886D140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C73-471B-9858-5D886D140F3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73-471B-9858-5D886D140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'22'!$D$6:$D$27</c:f>
              <c:strCache>
                <c:ptCount val="21"/>
                <c:pt idx="0">
                  <c:v>ADAPTER</c:v>
                </c:pt>
                <c:pt idx="1">
                  <c:v>BASE</c:v>
                </c:pt>
                <c:pt idx="2">
                  <c:v>STOPPPER</c:v>
                </c:pt>
                <c:pt idx="3">
                  <c:v>BASE</c:v>
                </c:pt>
                <c:pt idx="4">
                  <c:v>COVER</c:v>
                </c:pt>
                <c:pt idx="5">
                  <c:v>CAM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'22'!$L$6:$L$27</c:f>
              <c:numCache>
                <c:formatCode>_(* #,##0_);_(* \(#,##0\);_(* "-"_);_(@_)</c:formatCode>
                <c:ptCount val="22"/>
                <c:pt idx="0">
                  <c:v>12526</c:v>
                </c:pt>
                <c:pt idx="1">
                  <c:v>17064</c:v>
                </c:pt>
                <c:pt idx="3">
                  <c:v>4146</c:v>
                </c:pt>
                <c:pt idx="4">
                  <c:v>0</c:v>
                </c:pt>
                <c:pt idx="5">
                  <c:v>36512</c:v>
                </c:pt>
                <c:pt idx="6">
                  <c:v>5482</c:v>
                </c:pt>
                <c:pt idx="7">
                  <c:v>2704</c:v>
                </c:pt>
                <c:pt idx="10">
                  <c:v>9738</c:v>
                </c:pt>
                <c:pt idx="12">
                  <c:v>3408</c:v>
                </c:pt>
                <c:pt idx="13">
                  <c:v>2119</c:v>
                </c:pt>
                <c:pt idx="14">
                  <c:v>7008</c:v>
                </c:pt>
                <c:pt idx="15">
                  <c:v>66784</c:v>
                </c:pt>
                <c:pt idx="18">
                  <c:v>6976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75-4C84-B9D6-62426C194B40}"/>
            </c:ext>
          </c:extLst>
        </c:ser>
        <c:ser>
          <c:idx val="1"/>
          <c:order val="1"/>
          <c:tx>
            <c:v>계획</c:v>
          </c:tx>
          <c:cat>
            <c:strRef>
              <c:f>'22'!$D$6:$D$27</c:f>
              <c:strCache>
                <c:ptCount val="21"/>
                <c:pt idx="0">
                  <c:v>ADAPTER</c:v>
                </c:pt>
                <c:pt idx="1">
                  <c:v>BASE</c:v>
                </c:pt>
                <c:pt idx="2">
                  <c:v>STOPPPER</c:v>
                </c:pt>
                <c:pt idx="3">
                  <c:v>BASE</c:v>
                </c:pt>
                <c:pt idx="4">
                  <c:v>COVER</c:v>
                </c:pt>
                <c:pt idx="5">
                  <c:v>CAM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'22'!$J$6:$J$27</c:f>
              <c:numCache>
                <c:formatCode>_(* #,##0_);_(* \(#,##0\);_(* "-"_);_(@_)</c:formatCode>
                <c:ptCount val="22"/>
                <c:pt idx="0">
                  <c:v>12526</c:v>
                </c:pt>
                <c:pt idx="1">
                  <c:v>17064</c:v>
                </c:pt>
                <c:pt idx="2">
                  <c:v>1761</c:v>
                </c:pt>
                <c:pt idx="3">
                  <c:v>4146</c:v>
                </c:pt>
                <c:pt idx="4">
                  <c:v>6600</c:v>
                </c:pt>
                <c:pt idx="5">
                  <c:v>36512</c:v>
                </c:pt>
                <c:pt idx="6">
                  <c:v>5482</c:v>
                </c:pt>
                <c:pt idx="7">
                  <c:v>2704</c:v>
                </c:pt>
                <c:pt idx="8">
                  <c:v>49</c:v>
                </c:pt>
                <c:pt idx="9">
                  <c:v>12356</c:v>
                </c:pt>
                <c:pt idx="10">
                  <c:v>9738</c:v>
                </c:pt>
                <c:pt idx="11">
                  <c:v>2164</c:v>
                </c:pt>
                <c:pt idx="12">
                  <c:v>3408</c:v>
                </c:pt>
                <c:pt idx="13">
                  <c:v>2119</c:v>
                </c:pt>
                <c:pt idx="14">
                  <c:v>7008</c:v>
                </c:pt>
                <c:pt idx="15">
                  <c:v>66784</c:v>
                </c:pt>
                <c:pt idx="16">
                  <c:v>0</c:v>
                </c:pt>
                <c:pt idx="17">
                  <c:v>0</c:v>
                </c:pt>
                <c:pt idx="18">
                  <c:v>7013</c:v>
                </c:pt>
                <c:pt idx="19">
                  <c:v>9988</c:v>
                </c:pt>
                <c:pt idx="20">
                  <c:v>11600</c:v>
                </c:pt>
                <c:pt idx="21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75-4C84-B9D6-62426C194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'22'!$AD$6:$AD$27</c:f>
              <c:strCache>
                <c:ptCount val="22"/>
                <c:pt idx="0">
                  <c:v>100%</c:v>
                </c:pt>
                <c:pt idx="1">
                  <c:v>92%</c:v>
                </c:pt>
                <c:pt idx="2">
                  <c:v>0%</c:v>
                </c:pt>
                <c:pt idx="3">
                  <c:v>100%</c:v>
                </c:pt>
                <c:pt idx="4">
                  <c:v>0%</c:v>
                </c:pt>
                <c:pt idx="5">
                  <c:v>96%</c:v>
                </c:pt>
                <c:pt idx="6">
                  <c:v>100%</c:v>
                </c:pt>
                <c:pt idx="7">
                  <c:v>58%</c:v>
                </c:pt>
                <c:pt idx="8">
                  <c:v>0%</c:v>
                </c:pt>
                <c:pt idx="9">
                  <c:v>0%</c:v>
                </c:pt>
                <c:pt idx="10">
                  <c:v>63%</c:v>
                </c:pt>
                <c:pt idx="11">
                  <c:v>0%</c:v>
                </c:pt>
                <c:pt idx="12">
                  <c:v>71%</c:v>
                </c:pt>
                <c:pt idx="13">
                  <c:v>46%</c:v>
                </c:pt>
                <c:pt idx="14">
                  <c:v>79%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99%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'22'!$D$6:$D$27</c:f>
              <c:strCache>
                <c:ptCount val="21"/>
                <c:pt idx="0">
                  <c:v>ADAPTER</c:v>
                </c:pt>
                <c:pt idx="1">
                  <c:v>BASE</c:v>
                </c:pt>
                <c:pt idx="2">
                  <c:v>STOPPPER</c:v>
                </c:pt>
                <c:pt idx="3">
                  <c:v>BASE</c:v>
                </c:pt>
                <c:pt idx="4">
                  <c:v>COVER</c:v>
                </c:pt>
                <c:pt idx="5">
                  <c:v>CAM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'22'!$AD$6:$AD$27</c:f>
              <c:numCache>
                <c:formatCode>0%</c:formatCode>
                <c:ptCount val="22"/>
                <c:pt idx="0">
                  <c:v>1</c:v>
                </c:pt>
                <c:pt idx="1">
                  <c:v>0.91666666666666663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0.95833333333333337</c:v>
                </c:pt>
                <c:pt idx="6">
                  <c:v>1</c:v>
                </c:pt>
                <c:pt idx="7">
                  <c:v>0.58333333333333337</c:v>
                </c:pt>
                <c:pt idx="8">
                  <c:v>0</c:v>
                </c:pt>
                <c:pt idx="9">
                  <c:v>0</c:v>
                </c:pt>
                <c:pt idx="10">
                  <c:v>0.625</c:v>
                </c:pt>
                <c:pt idx="11">
                  <c:v>0</c:v>
                </c:pt>
                <c:pt idx="12">
                  <c:v>0.70833333333333337</c:v>
                </c:pt>
                <c:pt idx="13">
                  <c:v>0.45833333333333331</c:v>
                </c:pt>
                <c:pt idx="14">
                  <c:v>0.79166666666666663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0.99472408384428923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38-4FD3-B3E7-87D338A1EA1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538-4FD3-B3E7-87D338A1EA1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'22'!$D$6:$D$27</c:f>
              <c:strCache>
                <c:ptCount val="21"/>
                <c:pt idx="0">
                  <c:v>ADAPTER</c:v>
                </c:pt>
                <c:pt idx="1">
                  <c:v>BASE</c:v>
                </c:pt>
                <c:pt idx="2">
                  <c:v>STOPPPER</c:v>
                </c:pt>
                <c:pt idx="3">
                  <c:v>BASE</c:v>
                </c:pt>
                <c:pt idx="4">
                  <c:v>COVER</c:v>
                </c:pt>
                <c:pt idx="5">
                  <c:v>CAM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'22'!$AE$6:$AE$27</c:f>
              <c:numCache>
                <c:formatCode>0%</c:formatCode>
                <c:ptCount val="22"/>
                <c:pt idx="0">
                  <c:v>0.45619957956867979</c:v>
                </c:pt>
                <c:pt idx="1">
                  <c:v>0.45619957956867979</c:v>
                </c:pt>
                <c:pt idx="2">
                  <c:v>0.45619957956867979</c:v>
                </c:pt>
                <c:pt idx="3">
                  <c:v>0.45619957956867979</c:v>
                </c:pt>
                <c:pt idx="4">
                  <c:v>0.45619957956867979</c:v>
                </c:pt>
                <c:pt idx="5">
                  <c:v>0.45619957956867979</c:v>
                </c:pt>
                <c:pt idx="6">
                  <c:v>0.45619957956867979</c:v>
                </c:pt>
                <c:pt idx="7">
                  <c:v>0.45619957956867979</c:v>
                </c:pt>
                <c:pt idx="8">
                  <c:v>0.45619957956867979</c:v>
                </c:pt>
                <c:pt idx="9">
                  <c:v>0.45619957956867979</c:v>
                </c:pt>
                <c:pt idx="10">
                  <c:v>0.45619957956867979</c:v>
                </c:pt>
                <c:pt idx="11">
                  <c:v>0.45619957956867979</c:v>
                </c:pt>
                <c:pt idx="12">
                  <c:v>0.45619957956867979</c:v>
                </c:pt>
                <c:pt idx="13">
                  <c:v>0.45619957956867979</c:v>
                </c:pt>
                <c:pt idx="14">
                  <c:v>0.45619957956867979</c:v>
                </c:pt>
                <c:pt idx="15">
                  <c:v>0.45619957956867979</c:v>
                </c:pt>
                <c:pt idx="16">
                  <c:v>0.45619957956867979</c:v>
                </c:pt>
                <c:pt idx="17">
                  <c:v>0.45619957956867979</c:v>
                </c:pt>
                <c:pt idx="18">
                  <c:v>0.45619957956867979</c:v>
                </c:pt>
                <c:pt idx="19">
                  <c:v>0.45619957956867979</c:v>
                </c:pt>
                <c:pt idx="20">
                  <c:v>0.45619957956867979</c:v>
                </c:pt>
                <c:pt idx="21">
                  <c:v>0.45619957956867979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38-4FD3-B3E7-87D338A1E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'22'!$D$6:$D$27</c:f>
              <c:strCache>
                <c:ptCount val="21"/>
                <c:pt idx="0">
                  <c:v>ADAPTER</c:v>
                </c:pt>
                <c:pt idx="1">
                  <c:v>BASE</c:v>
                </c:pt>
                <c:pt idx="2">
                  <c:v>STOPPPER</c:v>
                </c:pt>
                <c:pt idx="3">
                  <c:v>BASE</c:v>
                </c:pt>
                <c:pt idx="4">
                  <c:v>COVER</c:v>
                </c:pt>
                <c:pt idx="5">
                  <c:v>CAM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'22'!$L$6:$L$27</c:f>
              <c:numCache>
                <c:formatCode>_(* #,##0_);_(* \(#,##0\);_(* "-"_);_(@_)</c:formatCode>
                <c:ptCount val="22"/>
                <c:pt idx="0">
                  <c:v>12526</c:v>
                </c:pt>
                <c:pt idx="1">
                  <c:v>17064</c:v>
                </c:pt>
                <c:pt idx="3">
                  <c:v>4146</c:v>
                </c:pt>
                <c:pt idx="4">
                  <c:v>0</c:v>
                </c:pt>
                <c:pt idx="5">
                  <c:v>36512</c:v>
                </c:pt>
                <c:pt idx="6">
                  <c:v>5482</c:v>
                </c:pt>
                <c:pt idx="7">
                  <c:v>2704</c:v>
                </c:pt>
                <c:pt idx="10">
                  <c:v>9738</c:v>
                </c:pt>
                <c:pt idx="12">
                  <c:v>3408</c:v>
                </c:pt>
                <c:pt idx="13">
                  <c:v>2119</c:v>
                </c:pt>
                <c:pt idx="14">
                  <c:v>7008</c:v>
                </c:pt>
                <c:pt idx="15">
                  <c:v>66784</c:v>
                </c:pt>
                <c:pt idx="18">
                  <c:v>6976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D9-4565-8676-4F66CCF35B30}"/>
            </c:ext>
          </c:extLst>
        </c:ser>
        <c:ser>
          <c:idx val="1"/>
          <c:order val="1"/>
          <c:tx>
            <c:v>계획</c:v>
          </c:tx>
          <c:cat>
            <c:strRef>
              <c:f>'22'!$D$6:$D$27</c:f>
              <c:strCache>
                <c:ptCount val="21"/>
                <c:pt idx="0">
                  <c:v>ADAPTER</c:v>
                </c:pt>
                <c:pt idx="1">
                  <c:v>BASE</c:v>
                </c:pt>
                <c:pt idx="2">
                  <c:v>STOPPPER</c:v>
                </c:pt>
                <c:pt idx="3">
                  <c:v>BASE</c:v>
                </c:pt>
                <c:pt idx="4">
                  <c:v>COVER</c:v>
                </c:pt>
                <c:pt idx="5">
                  <c:v>CAM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'22'!$J$6:$J$27</c:f>
              <c:numCache>
                <c:formatCode>_(* #,##0_);_(* \(#,##0\);_(* "-"_);_(@_)</c:formatCode>
                <c:ptCount val="22"/>
                <c:pt idx="0">
                  <c:v>12526</c:v>
                </c:pt>
                <c:pt idx="1">
                  <c:v>17064</c:v>
                </c:pt>
                <c:pt idx="2">
                  <c:v>1761</c:v>
                </c:pt>
                <c:pt idx="3">
                  <c:v>4146</c:v>
                </c:pt>
                <c:pt idx="4">
                  <c:v>6600</c:v>
                </c:pt>
                <c:pt idx="5">
                  <c:v>36512</c:v>
                </c:pt>
                <c:pt idx="6">
                  <c:v>5482</c:v>
                </c:pt>
                <c:pt idx="7">
                  <c:v>2704</c:v>
                </c:pt>
                <c:pt idx="8">
                  <c:v>49</c:v>
                </c:pt>
                <c:pt idx="9">
                  <c:v>12356</c:v>
                </c:pt>
                <c:pt idx="10">
                  <c:v>9738</c:v>
                </c:pt>
                <c:pt idx="11">
                  <c:v>2164</c:v>
                </c:pt>
                <c:pt idx="12">
                  <c:v>3408</c:v>
                </c:pt>
                <c:pt idx="13">
                  <c:v>2119</c:v>
                </c:pt>
                <c:pt idx="14">
                  <c:v>7008</c:v>
                </c:pt>
                <c:pt idx="15">
                  <c:v>66784</c:v>
                </c:pt>
                <c:pt idx="16">
                  <c:v>0</c:v>
                </c:pt>
                <c:pt idx="17">
                  <c:v>0</c:v>
                </c:pt>
                <c:pt idx="18">
                  <c:v>7013</c:v>
                </c:pt>
                <c:pt idx="19">
                  <c:v>9988</c:v>
                </c:pt>
                <c:pt idx="20">
                  <c:v>11600</c:v>
                </c:pt>
                <c:pt idx="21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D9-4565-8676-4F66CCF35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'22'!$AD$6:$AD$27</c:f>
              <c:strCache>
                <c:ptCount val="22"/>
                <c:pt idx="0">
                  <c:v>100%</c:v>
                </c:pt>
                <c:pt idx="1">
                  <c:v>92%</c:v>
                </c:pt>
                <c:pt idx="2">
                  <c:v>0%</c:v>
                </c:pt>
                <c:pt idx="3">
                  <c:v>100%</c:v>
                </c:pt>
                <c:pt idx="4">
                  <c:v>0%</c:v>
                </c:pt>
                <c:pt idx="5">
                  <c:v>96%</c:v>
                </c:pt>
                <c:pt idx="6">
                  <c:v>100%</c:v>
                </c:pt>
                <c:pt idx="7">
                  <c:v>58%</c:v>
                </c:pt>
                <c:pt idx="8">
                  <c:v>0%</c:v>
                </c:pt>
                <c:pt idx="9">
                  <c:v>0%</c:v>
                </c:pt>
                <c:pt idx="10">
                  <c:v>63%</c:v>
                </c:pt>
                <c:pt idx="11">
                  <c:v>0%</c:v>
                </c:pt>
                <c:pt idx="12">
                  <c:v>71%</c:v>
                </c:pt>
                <c:pt idx="13">
                  <c:v>46%</c:v>
                </c:pt>
                <c:pt idx="14">
                  <c:v>79%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99%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'22'!$D$6:$D$27</c:f>
              <c:strCache>
                <c:ptCount val="21"/>
                <c:pt idx="0">
                  <c:v>ADAPTER</c:v>
                </c:pt>
                <c:pt idx="1">
                  <c:v>BASE</c:v>
                </c:pt>
                <c:pt idx="2">
                  <c:v>STOPPPER</c:v>
                </c:pt>
                <c:pt idx="3">
                  <c:v>BASE</c:v>
                </c:pt>
                <c:pt idx="4">
                  <c:v>COVER</c:v>
                </c:pt>
                <c:pt idx="5">
                  <c:v>CAM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'22'!$AD$6:$AD$27</c:f>
              <c:numCache>
                <c:formatCode>0%</c:formatCode>
                <c:ptCount val="22"/>
                <c:pt idx="0">
                  <c:v>1</c:v>
                </c:pt>
                <c:pt idx="1">
                  <c:v>0.91666666666666663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0.95833333333333337</c:v>
                </c:pt>
                <c:pt idx="6">
                  <c:v>1</c:v>
                </c:pt>
                <c:pt idx="7">
                  <c:v>0.58333333333333337</c:v>
                </c:pt>
                <c:pt idx="8">
                  <c:v>0</c:v>
                </c:pt>
                <c:pt idx="9">
                  <c:v>0</c:v>
                </c:pt>
                <c:pt idx="10">
                  <c:v>0.625</c:v>
                </c:pt>
                <c:pt idx="11">
                  <c:v>0</c:v>
                </c:pt>
                <c:pt idx="12">
                  <c:v>0.70833333333333337</c:v>
                </c:pt>
                <c:pt idx="13">
                  <c:v>0.45833333333333331</c:v>
                </c:pt>
                <c:pt idx="14">
                  <c:v>0.79166666666666663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0.99472408384428923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22-459F-86F3-FC7A0C7FE3D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22-459F-86F3-FC7A0C7FE3D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'22'!$D$6:$D$27</c:f>
              <c:strCache>
                <c:ptCount val="21"/>
                <c:pt idx="0">
                  <c:v>ADAPTER</c:v>
                </c:pt>
                <c:pt idx="1">
                  <c:v>BASE</c:v>
                </c:pt>
                <c:pt idx="2">
                  <c:v>STOPPPER</c:v>
                </c:pt>
                <c:pt idx="3">
                  <c:v>BASE</c:v>
                </c:pt>
                <c:pt idx="4">
                  <c:v>COVER</c:v>
                </c:pt>
                <c:pt idx="5">
                  <c:v>CAM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'22'!$AE$6:$AE$27</c:f>
              <c:numCache>
                <c:formatCode>0%</c:formatCode>
                <c:ptCount val="22"/>
                <c:pt idx="0">
                  <c:v>0.45619957956867979</c:v>
                </c:pt>
                <c:pt idx="1">
                  <c:v>0.45619957956867979</c:v>
                </c:pt>
                <c:pt idx="2">
                  <c:v>0.45619957956867979</c:v>
                </c:pt>
                <c:pt idx="3">
                  <c:v>0.45619957956867979</c:v>
                </c:pt>
                <c:pt idx="4">
                  <c:v>0.45619957956867979</c:v>
                </c:pt>
                <c:pt idx="5">
                  <c:v>0.45619957956867979</c:v>
                </c:pt>
                <c:pt idx="6">
                  <c:v>0.45619957956867979</c:v>
                </c:pt>
                <c:pt idx="7">
                  <c:v>0.45619957956867979</c:v>
                </c:pt>
                <c:pt idx="8">
                  <c:v>0.45619957956867979</c:v>
                </c:pt>
                <c:pt idx="9">
                  <c:v>0.45619957956867979</c:v>
                </c:pt>
                <c:pt idx="10">
                  <c:v>0.45619957956867979</c:v>
                </c:pt>
                <c:pt idx="11">
                  <c:v>0.45619957956867979</c:v>
                </c:pt>
                <c:pt idx="12">
                  <c:v>0.45619957956867979</c:v>
                </c:pt>
                <c:pt idx="13">
                  <c:v>0.45619957956867979</c:v>
                </c:pt>
                <c:pt idx="14">
                  <c:v>0.45619957956867979</c:v>
                </c:pt>
                <c:pt idx="15">
                  <c:v>0.45619957956867979</c:v>
                </c:pt>
                <c:pt idx="16">
                  <c:v>0.45619957956867979</c:v>
                </c:pt>
                <c:pt idx="17">
                  <c:v>0.45619957956867979</c:v>
                </c:pt>
                <c:pt idx="18">
                  <c:v>0.45619957956867979</c:v>
                </c:pt>
                <c:pt idx="19">
                  <c:v>0.45619957956867979</c:v>
                </c:pt>
                <c:pt idx="20">
                  <c:v>0.45619957956867979</c:v>
                </c:pt>
                <c:pt idx="21">
                  <c:v>0.45619957956867979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22-459F-86F3-FC7A0C7FE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5FE-4A57-9F12-4185AED9BC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0.68147728498178428</c:v>
                </c:pt>
                <c:pt idx="1">
                  <c:v>0.64962121212121204</c:v>
                </c:pt>
                <c:pt idx="2">
                  <c:v>0.37121212121212116</c:v>
                </c:pt>
                <c:pt idx="4">
                  <c:v>0.47282608695652184</c:v>
                </c:pt>
                <c:pt idx="5">
                  <c:v>0.55303030303030298</c:v>
                </c:pt>
                <c:pt idx="6">
                  <c:v>0.45833333333333331</c:v>
                </c:pt>
                <c:pt idx="7">
                  <c:v>0.47282608695652173</c:v>
                </c:pt>
                <c:pt idx="8">
                  <c:v>0.34567901234567905</c:v>
                </c:pt>
                <c:pt idx="9">
                  <c:v>0.41098484848484856</c:v>
                </c:pt>
                <c:pt idx="11">
                  <c:v>0.36742424242424243</c:v>
                </c:pt>
                <c:pt idx="12">
                  <c:v>0.48863636363636354</c:v>
                </c:pt>
                <c:pt idx="13">
                  <c:v>0.59000470952885553</c:v>
                </c:pt>
                <c:pt idx="14">
                  <c:v>0.58712121212121204</c:v>
                </c:pt>
                <c:pt idx="15">
                  <c:v>0.53462982364239564</c:v>
                </c:pt>
                <c:pt idx="16">
                  <c:v>0.45075757575757575</c:v>
                </c:pt>
                <c:pt idx="18">
                  <c:v>0.54356060606060608</c:v>
                </c:pt>
                <c:pt idx="19">
                  <c:v>0.39855072463768115</c:v>
                </c:pt>
                <c:pt idx="20">
                  <c:v>0.29347826086956524</c:v>
                </c:pt>
                <c:pt idx="21">
                  <c:v>0.45619957956867979</c:v>
                </c:pt>
                <c:pt idx="22">
                  <c:v>0.56060606060606066</c:v>
                </c:pt>
                <c:pt idx="23">
                  <c:v>0.45108695652173914</c:v>
                </c:pt>
                <c:pt idx="25">
                  <c:v>0.41493055555555552</c:v>
                </c:pt>
                <c:pt idx="26">
                  <c:v>0.53598484848484851</c:v>
                </c:pt>
                <c:pt idx="27">
                  <c:v>0.43560606060606055</c:v>
                </c:pt>
                <c:pt idx="28">
                  <c:v>0.42234848484848481</c:v>
                </c:pt>
                <c:pt idx="29">
                  <c:v>0.42529900929110415</c:v>
                </c:pt>
                <c:pt idx="31">
                  <c:v>0.41240717878611177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FE-4A57-9F12-4185AED9B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5FE-4A57-9F12-4185AED9BC9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FE-4A57-9F12-4185AED9B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4">
                  <c:v>COVER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'23'!$L$6:$L$27</c:f>
              <c:numCache>
                <c:formatCode>_(* #,##0_);_(* \(#,##0\);_(* "-"_);_(@_)</c:formatCode>
                <c:ptCount val="22"/>
                <c:pt idx="0">
                  <c:v>3017</c:v>
                </c:pt>
                <c:pt idx="1">
                  <c:v>18072</c:v>
                </c:pt>
                <c:pt idx="2">
                  <c:v>2610</c:v>
                </c:pt>
                <c:pt idx="3">
                  <c:v>10102</c:v>
                </c:pt>
                <c:pt idx="4">
                  <c:v>12462</c:v>
                </c:pt>
                <c:pt idx="5">
                  <c:v>10954</c:v>
                </c:pt>
                <c:pt idx="6">
                  <c:v>5489</c:v>
                </c:pt>
                <c:pt idx="7">
                  <c:v>4976</c:v>
                </c:pt>
                <c:pt idx="10">
                  <c:v>18225</c:v>
                </c:pt>
                <c:pt idx="12">
                  <c:v>5170</c:v>
                </c:pt>
                <c:pt idx="13">
                  <c:v>4726</c:v>
                </c:pt>
                <c:pt idx="14">
                  <c:v>11154</c:v>
                </c:pt>
                <c:pt idx="15">
                  <c:v>70476</c:v>
                </c:pt>
                <c:pt idx="18">
                  <c:v>6992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75-43F7-ACD0-5E8C6081A871}"/>
            </c:ext>
          </c:extLst>
        </c:ser>
        <c:ser>
          <c:idx val="1"/>
          <c:order val="1"/>
          <c:tx>
            <c:v>계획</c:v>
          </c:tx>
          <c:cat>
            <c:strRef>
              <c:f>'23'!$D$6:$D$27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4">
                  <c:v>COVER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'23'!$J$6:$J$27</c:f>
              <c:numCache>
                <c:formatCode>_(* #,##0_);_(* \(#,##0\);_(* "-"_);_(@_)</c:formatCode>
                <c:ptCount val="22"/>
                <c:pt idx="0">
                  <c:v>3017</c:v>
                </c:pt>
                <c:pt idx="1">
                  <c:v>18072</c:v>
                </c:pt>
                <c:pt idx="2">
                  <c:v>2610</c:v>
                </c:pt>
                <c:pt idx="3">
                  <c:v>10102</c:v>
                </c:pt>
                <c:pt idx="4">
                  <c:v>12462</c:v>
                </c:pt>
                <c:pt idx="5">
                  <c:v>10954</c:v>
                </c:pt>
                <c:pt idx="6">
                  <c:v>5489</c:v>
                </c:pt>
                <c:pt idx="7">
                  <c:v>4976</c:v>
                </c:pt>
                <c:pt idx="8">
                  <c:v>49</c:v>
                </c:pt>
                <c:pt idx="9">
                  <c:v>12356</c:v>
                </c:pt>
                <c:pt idx="10">
                  <c:v>18225</c:v>
                </c:pt>
                <c:pt idx="11">
                  <c:v>2164</c:v>
                </c:pt>
                <c:pt idx="12">
                  <c:v>5170</c:v>
                </c:pt>
                <c:pt idx="13">
                  <c:v>4726</c:v>
                </c:pt>
                <c:pt idx="14">
                  <c:v>11154</c:v>
                </c:pt>
                <c:pt idx="15">
                  <c:v>70476</c:v>
                </c:pt>
                <c:pt idx="16">
                  <c:v>0</c:v>
                </c:pt>
                <c:pt idx="17">
                  <c:v>0</c:v>
                </c:pt>
                <c:pt idx="18">
                  <c:v>6992</c:v>
                </c:pt>
                <c:pt idx="19">
                  <c:v>9988</c:v>
                </c:pt>
                <c:pt idx="20">
                  <c:v>11600</c:v>
                </c:pt>
                <c:pt idx="21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75-43F7-ACD0-5E8C6081A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'23'!$AD$6:$AD$27</c:f>
              <c:strCache>
                <c:ptCount val="22"/>
                <c:pt idx="0">
                  <c:v>67%</c:v>
                </c:pt>
                <c:pt idx="1">
                  <c:v>79%</c:v>
                </c:pt>
                <c:pt idx="2">
                  <c:v>42%</c:v>
                </c:pt>
                <c:pt idx="3">
                  <c:v>88%</c:v>
                </c:pt>
                <c:pt idx="4">
                  <c:v>83%</c:v>
                </c:pt>
                <c:pt idx="5">
                  <c:v>92%</c:v>
                </c:pt>
                <c:pt idx="6">
                  <c:v>100%</c:v>
                </c:pt>
                <c:pt idx="7">
                  <c:v>92%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92%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100%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4">
                  <c:v>COVER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'23'!$AD$6:$AD$27</c:f>
              <c:numCache>
                <c:formatCode>0%</c:formatCode>
                <c:ptCount val="22"/>
                <c:pt idx="0">
                  <c:v>0.66666666666666663</c:v>
                </c:pt>
                <c:pt idx="1">
                  <c:v>0.79166666666666663</c:v>
                </c:pt>
                <c:pt idx="2">
                  <c:v>0.41666666666666669</c:v>
                </c:pt>
                <c:pt idx="3">
                  <c:v>0.875</c:v>
                </c:pt>
                <c:pt idx="4">
                  <c:v>0.83333333333333337</c:v>
                </c:pt>
                <c:pt idx="5">
                  <c:v>0.91666666666666663</c:v>
                </c:pt>
                <c:pt idx="6">
                  <c:v>1</c:v>
                </c:pt>
                <c:pt idx="7">
                  <c:v>0.91666666666666663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0.91666666666666663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6C-4966-9C8E-EBA1314AA1B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D6C-4966-9C8E-EBA1314AA1B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4">
                  <c:v>COVER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'23'!$AE$6:$AE$27</c:f>
              <c:numCache>
                <c:formatCode>0%</c:formatCode>
                <c:ptCount val="22"/>
                <c:pt idx="0">
                  <c:v>0.56060606060606066</c:v>
                </c:pt>
                <c:pt idx="1">
                  <c:v>0.56060606060606066</c:v>
                </c:pt>
                <c:pt idx="2">
                  <c:v>0.56060606060606066</c:v>
                </c:pt>
                <c:pt idx="3">
                  <c:v>0.56060606060606066</c:v>
                </c:pt>
                <c:pt idx="4">
                  <c:v>0.56060606060606066</c:v>
                </c:pt>
                <c:pt idx="5">
                  <c:v>0.56060606060606066</c:v>
                </c:pt>
                <c:pt idx="6">
                  <c:v>0.56060606060606066</c:v>
                </c:pt>
                <c:pt idx="7">
                  <c:v>0.56060606060606066</c:v>
                </c:pt>
                <c:pt idx="8">
                  <c:v>0.56060606060606066</c:v>
                </c:pt>
                <c:pt idx="9">
                  <c:v>0.56060606060606066</c:v>
                </c:pt>
                <c:pt idx="10">
                  <c:v>0.56060606060606066</c:v>
                </c:pt>
                <c:pt idx="11">
                  <c:v>0.56060606060606066</c:v>
                </c:pt>
                <c:pt idx="12">
                  <c:v>0.56060606060606066</c:v>
                </c:pt>
                <c:pt idx="13">
                  <c:v>0.56060606060606066</c:v>
                </c:pt>
                <c:pt idx="14">
                  <c:v>0.56060606060606066</c:v>
                </c:pt>
                <c:pt idx="15">
                  <c:v>0.56060606060606066</c:v>
                </c:pt>
                <c:pt idx="16">
                  <c:v>0.56060606060606066</c:v>
                </c:pt>
                <c:pt idx="17">
                  <c:v>0.56060606060606066</c:v>
                </c:pt>
                <c:pt idx="18">
                  <c:v>0.56060606060606066</c:v>
                </c:pt>
                <c:pt idx="19">
                  <c:v>0.56060606060606066</c:v>
                </c:pt>
                <c:pt idx="20">
                  <c:v>0.56060606060606066</c:v>
                </c:pt>
                <c:pt idx="21">
                  <c:v>0.56060606060606066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6C-4966-9C8E-EBA1314AA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4">
                  <c:v>COVER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'23'!$L$6:$L$27</c:f>
              <c:numCache>
                <c:formatCode>_(* #,##0_);_(* \(#,##0\);_(* "-"_);_(@_)</c:formatCode>
                <c:ptCount val="22"/>
                <c:pt idx="0">
                  <c:v>3017</c:v>
                </c:pt>
                <c:pt idx="1">
                  <c:v>18072</c:v>
                </c:pt>
                <c:pt idx="2">
                  <c:v>2610</c:v>
                </c:pt>
                <c:pt idx="3">
                  <c:v>10102</c:v>
                </c:pt>
                <c:pt idx="4">
                  <c:v>12462</c:v>
                </c:pt>
                <c:pt idx="5">
                  <c:v>10954</c:v>
                </c:pt>
                <c:pt idx="6">
                  <c:v>5489</c:v>
                </c:pt>
                <c:pt idx="7">
                  <c:v>4976</c:v>
                </c:pt>
                <c:pt idx="10">
                  <c:v>18225</c:v>
                </c:pt>
                <c:pt idx="12">
                  <c:v>5170</c:v>
                </c:pt>
                <c:pt idx="13">
                  <c:v>4726</c:v>
                </c:pt>
                <c:pt idx="14">
                  <c:v>11154</c:v>
                </c:pt>
                <c:pt idx="15">
                  <c:v>70476</c:v>
                </c:pt>
                <c:pt idx="18">
                  <c:v>6992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D9-4BDE-BE70-F7C72C112070}"/>
            </c:ext>
          </c:extLst>
        </c:ser>
        <c:ser>
          <c:idx val="1"/>
          <c:order val="1"/>
          <c:tx>
            <c:v>계획</c:v>
          </c:tx>
          <c:cat>
            <c:strRef>
              <c:f>'23'!$D$6:$D$27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4">
                  <c:v>COVER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'23'!$J$6:$J$27</c:f>
              <c:numCache>
                <c:formatCode>_(* #,##0_);_(* \(#,##0\);_(* "-"_);_(@_)</c:formatCode>
                <c:ptCount val="22"/>
                <c:pt idx="0">
                  <c:v>3017</c:v>
                </c:pt>
                <c:pt idx="1">
                  <c:v>18072</c:v>
                </c:pt>
                <c:pt idx="2">
                  <c:v>2610</c:v>
                </c:pt>
                <c:pt idx="3">
                  <c:v>10102</c:v>
                </c:pt>
                <c:pt idx="4">
                  <c:v>12462</c:v>
                </c:pt>
                <c:pt idx="5">
                  <c:v>10954</c:v>
                </c:pt>
                <c:pt idx="6">
                  <c:v>5489</c:v>
                </c:pt>
                <c:pt idx="7">
                  <c:v>4976</c:v>
                </c:pt>
                <c:pt idx="8">
                  <c:v>49</c:v>
                </c:pt>
                <c:pt idx="9">
                  <c:v>12356</c:v>
                </c:pt>
                <c:pt idx="10">
                  <c:v>18225</c:v>
                </c:pt>
                <c:pt idx="11">
                  <c:v>2164</c:v>
                </c:pt>
                <c:pt idx="12">
                  <c:v>5170</c:v>
                </c:pt>
                <c:pt idx="13">
                  <c:v>4726</c:v>
                </c:pt>
                <c:pt idx="14">
                  <c:v>11154</c:v>
                </c:pt>
                <c:pt idx="15">
                  <c:v>70476</c:v>
                </c:pt>
                <c:pt idx="16">
                  <c:v>0</c:v>
                </c:pt>
                <c:pt idx="17">
                  <c:v>0</c:v>
                </c:pt>
                <c:pt idx="18">
                  <c:v>6992</c:v>
                </c:pt>
                <c:pt idx="19">
                  <c:v>9988</c:v>
                </c:pt>
                <c:pt idx="20">
                  <c:v>11600</c:v>
                </c:pt>
                <c:pt idx="21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D9-4BDE-BE70-F7C72C112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'23'!$AD$6:$AD$27</c:f>
              <c:strCache>
                <c:ptCount val="22"/>
                <c:pt idx="0">
                  <c:v>67%</c:v>
                </c:pt>
                <c:pt idx="1">
                  <c:v>79%</c:v>
                </c:pt>
                <c:pt idx="2">
                  <c:v>42%</c:v>
                </c:pt>
                <c:pt idx="3">
                  <c:v>88%</c:v>
                </c:pt>
                <c:pt idx="4">
                  <c:v>83%</c:v>
                </c:pt>
                <c:pt idx="5">
                  <c:v>92%</c:v>
                </c:pt>
                <c:pt idx="6">
                  <c:v>100%</c:v>
                </c:pt>
                <c:pt idx="7">
                  <c:v>92%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92%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100%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4">
                  <c:v>COVER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'23'!$AD$6:$AD$27</c:f>
              <c:numCache>
                <c:formatCode>0%</c:formatCode>
                <c:ptCount val="22"/>
                <c:pt idx="0">
                  <c:v>0.66666666666666663</c:v>
                </c:pt>
                <c:pt idx="1">
                  <c:v>0.79166666666666663</c:v>
                </c:pt>
                <c:pt idx="2">
                  <c:v>0.41666666666666669</c:v>
                </c:pt>
                <c:pt idx="3">
                  <c:v>0.875</c:v>
                </c:pt>
                <c:pt idx="4">
                  <c:v>0.83333333333333337</c:v>
                </c:pt>
                <c:pt idx="5">
                  <c:v>0.91666666666666663</c:v>
                </c:pt>
                <c:pt idx="6">
                  <c:v>1</c:v>
                </c:pt>
                <c:pt idx="7">
                  <c:v>0.91666666666666663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0.91666666666666663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89-4F16-89C9-7E49681D43C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D89-4F16-89C9-7E49681D43C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4">
                  <c:v>COVER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SLIDER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'23'!$AE$6:$AE$27</c:f>
              <c:numCache>
                <c:formatCode>0%</c:formatCode>
                <c:ptCount val="22"/>
                <c:pt idx="0">
                  <c:v>0.56060606060606066</c:v>
                </c:pt>
                <c:pt idx="1">
                  <c:v>0.56060606060606066</c:v>
                </c:pt>
                <c:pt idx="2">
                  <c:v>0.56060606060606066</c:v>
                </c:pt>
                <c:pt idx="3">
                  <c:v>0.56060606060606066</c:v>
                </c:pt>
                <c:pt idx="4">
                  <c:v>0.56060606060606066</c:v>
                </c:pt>
                <c:pt idx="5">
                  <c:v>0.56060606060606066</c:v>
                </c:pt>
                <c:pt idx="6">
                  <c:v>0.56060606060606066</c:v>
                </c:pt>
                <c:pt idx="7">
                  <c:v>0.56060606060606066</c:v>
                </c:pt>
                <c:pt idx="8">
                  <c:v>0.56060606060606066</c:v>
                </c:pt>
                <c:pt idx="9">
                  <c:v>0.56060606060606066</c:v>
                </c:pt>
                <c:pt idx="10">
                  <c:v>0.56060606060606066</c:v>
                </c:pt>
                <c:pt idx="11">
                  <c:v>0.56060606060606066</c:v>
                </c:pt>
                <c:pt idx="12">
                  <c:v>0.56060606060606066</c:v>
                </c:pt>
                <c:pt idx="13">
                  <c:v>0.56060606060606066</c:v>
                </c:pt>
                <c:pt idx="14">
                  <c:v>0.56060606060606066</c:v>
                </c:pt>
                <c:pt idx="15">
                  <c:v>0.56060606060606066</c:v>
                </c:pt>
                <c:pt idx="16">
                  <c:v>0.56060606060606066</c:v>
                </c:pt>
                <c:pt idx="17">
                  <c:v>0.56060606060606066</c:v>
                </c:pt>
                <c:pt idx="18">
                  <c:v>0.56060606060606066</c:v>
                </c:pt>
                <c:pt idx="19">
                  <c:v>0.56060606060606066</c:v>
                </c:pt>
                <c:pt idx="20">
                  <c:v>0.56060606060606066</c:v>
                </c:pt>
                <c:pt idx="21">
                  <c:v>0.56060606060606066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89-4F16-89C9-7E49681D4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4B4-4472-8DE4-38F6A1C801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0.68147728498178428</c:v>
                </c:pt>
                <c:pt idx="1">
                  <c:v>0.64962121212121204</c:v>
                </c:pt>
                <c:pt idx="2">
                  <c:v>0.37121212121212116</c:v>
                </c:pt>
                <c:pt idx="4">
                  <c:v>0.47282608695652184</c:v>
                </c:pt>
                <c:pt idx="5">
                  <c:v>0.55303030303030298</c:v>
                </c:pt>
                <c:pt idx="6">
                  <c:v>0.45833333333333331</c:v>
                </c:pt>
                <c:pt idx="7">
                  <c:v>0.47282608695652173</c:v>
                </c:pt>
                <c:pt idx="8">
                  <c:v>0.34567901234567905</c:v>
                </c:pt>
                <c:pt idx="9">
                  <c:v>0.41098484848484856</c:v>
                </c:pt>
                <c:pt idx="11">
                  <c:v>0.36742424242424243</c:v>
                </c:pt>
                <c:pt idx="12">
                  <c:v>0.48863636363636354</c:v>
                </c:pt>
                <c:pt idx="13">
                  <c:v>0.59000470952885553</c:v>
                </c:pt>
                <c:pt idx="14">
                  <c:v>0.58712121212121204</c:v>
                </c:pt>
                <c:pt idx="15">
                  <c:v>0.53462982364239564</c:v>
                </c:pt>
                <c:pt idx="16">
                  <c:v>0.45075757575757575</c:v>
                </c:pt>
                <c:pt idx="18">
                  <c:v>0.54356060606060608</c:v>
                </c:pt>
                <c:pt idx="19">
                  <c:v>0.39855072463768115</c:v>
                </c:pt>
                <c:pt idx="20">
                  <c:v>0.29347826086956524</c:v>
                </c:pt>
                <c:pt idx="21">
                  <c:v>0.45619957956867979</c:v>
                </c:pt>
                <c:pt idx="22">
                  <c:v>0.56060606060606066</c:v>
                </c:pt>
                <c:pt idx="23">
                  <c:v>0.45108695652173914</c:v>
                </c:pt>
                <c:pt idx="25">
                  <c:v>0.41493055555555552</c:v>
                </c:pt>
                <c:pt idx="26">
                  <c:v>0.53598484848484851</c:v>
                </c:pt>
                <c:pt idx="27">
                  <c:v>0.43560606060606055</c:v>
                </c:pt>
                <c:pt idx="28">
                  <c:v>0.42234848484848481</c:v>
                </c:pt>
                <c:pt idx="29">
                  <c:v>0.42529900929110415</c:v>
                </c:pt>
                <c:pt idx="31">
                  <c:v>0.41240717878611177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B4-4472-8DE4-38F6A1C80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4B4-4472-8DE4-38F6A1C801A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B4-4472-8DE4-38F6A1C80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'24'!$D$6:$D$28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4">
                  <c:v>COVER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'24'!$L$6:$L$28</c:f>
              <c:numCache>
                <c:formatCode>_(* #,##0_);_(* \(#,##0\);_(* "-"_);_(@_)</c:formatCode>
                <c:ptCount val="23"/>
                <c:pt idx="1">
                  <c:v>1252</c:v>
                </c:pt>
                <c:pt idx="3">
                  <c:v>11394</c:v>
                </c:pt>
                <c:pt idx="4">
                  <c:v>4374</c:v>
                </c:pt>
                <c:pt idx="5">
                  <c:v>8004</c:v>
                </c:pt>
                <c:pt idx="6">
                  <c:v>11864</c:v>
                </c:pt>
                <c:pt idx="7">
                  <c:v>5556</c:v>
                </c:pt>
                <c:pt idx="8">
                  <c:v>5274</c:v>
                </c:pt>
                <c:pt idx="11">
                  <c:v>18954</c:v>
                </c:pt>
                <c:pt idx="13">
                  <c:v>5124</c:v>
                </c:pt>
                <c:pt idx="14">
                  <c:v>5252</c:v>
                </c:pt>
                <c:pt idx="15">
                  <c:v>9077</c:v>
                </c:pt>
                <c:pt idx="16">
                  <c:v>66272</c:v>
                </c:pt>
                <c:pt idx="19">
                  <c:v>2652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8C-4346-B906-AE6BF64FA8FA}"/>
            </c:ext>
          </c:extLst>
        </c:ser>
        <c:ser>
          <c:idx val="1"/>
          <c:order val="1"/>
          <c:tx>
            <c:v>계획</c:v>
          </c:tx>
          <c:cat>
            <c:strRef>
              <c:f>'24'!$D$6:$D$28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4">
                  <c:v>COVER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'24'!$J$6:$J$28</c:f>
              <c:numCache>
                <c:formatCode>_(* #,##0_);_(* \(#,##0\);_(* "-"_);_(@_)</c:formatCode>
                <c:ptCount val="23"/>
                <c:pt idx="0">
                  <c:v>3017</c:v>
                </c:pt>
                <c:pt idx="1">
                  <c:v>1252</c:v>
                </c:pt>
                <c:pt idx="2">
                  <c:v>2610</c:v>
                </c:pt>
                <c:pt idx="3">
                  <c:v>11394</c:v>
                </c:pt>
                <c:pt idx="4">
                  <c:v>4374</c:v>
                </c:pt>
                <c:pt idx="5">
                  <c:v>8004</c:v>
                </c:pt>
                <c:pt idx="6">
                  <c:v>11864</c:v>
                </c:pt>
                <c:pt idx="7">
                  <c:v>5556</c:v>
                </c:pt>
                <c:pt idx="8">
                  <c:v>5274</c:v>
                </c:pt>
                <c:pt idx="9">
                  <c:v>49</c:v>
                </c:pt>
                <c:pt idx="10">
                  <c:v>12356</c:v>
                </c:pt>
                <c:pt idx="11">
                  <c:v>18954</c:v>
                </c:pt>
                <c:pt idx="12">
                  <c:v>2164</c:v>
                </c:pt>
                <c:pt idx="13">
                  <c:v>5124</c:v>
                </c:pt>
                <c:pt idx="14">
                  <c:v>5252</c:v>
                </c:pt>
                <c:pt idx="15">
                  <c:v>9077</c:v>
                </c:pt>
                <c:pt idx="16">
                  <c:v>66272</c:v>
                </c:pt>
                <c:pt idx="17">
                  <c:v>0</c:v>
                </c:pt>
                <c:pt idx="18">
                  <c:v>0</c:v>
                </c:pt>
                <c:pt idx="19">
                  <c:v>2652</c:v>
                </c:pt>
                <c:pt idx="20">
                  <c:v>9988</c:v>
                </c:pt>
                <c:pt idx="21">
                  <c:v>11600</c:v>
                </c:pt>
                <c:pt idx="22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8C-4346-B906-AE6BF64FA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'24'!$AD$6:$AD$28</c:f>
              <c:strCache>
                <c:ptCount val="23"/>
                <c:pt idx="0">
                  <c:v>0%</c:v>
                </c:pt>
                <c:pt idx="1">
                  <c:v>17%</c:v>
                </c:pt>
                <c:pt idx="2">
                  <c:v>0%</c:v>
                </c:pt>
                <c:pt idx="3">
                  <c:v>100%</c:v>
                </c:pt>
                <c:pt idx="4">
                  <c:v>17%</c:v>
                </c:pt>
                <c:pt idx="5">
                  <c:v>75%</c:v>
                </c:pt>
                <c:pt idx="6">
                  <c:v>100%</c:v>
                </c:pt>
                <c:pt idx="7">
                  <c:v>100%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100%</c:v>
                </c:pt>
                <c:pt idx="14">
                  <c:v>100%</c:v>
                </c:pt>
                <c:pt idx="15">
                  <c:v>88%</c:v>
                </c:pt>
                <c:pt idx="16">
                  <c:v>100%</c:v>
                </c:pt>
                <c:pt idx="17">
                  <c:v>0%</c:v>
                </c:pt>
                <c:pt idx="18">
                  <c:v>0%</c:v>
                </c:pt>
                <c:pt idx="19">
                  <c:v>42%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'24'!$D$6:$D$28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4">
                  <c:v>COVER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'24'!$AD$6:$AD$28</c:f>
              <c:numCache>
                <c:formatCode>0%</c:formatCode>
                <c:ptCount val="23"/>
                <c:pt idx="0">
                  <c:v>0</c:v>
                </c:pt>
                <c:pt idx="1">
                  <c:v>0.16666666666666666</c:v>
                </c:pt>
                <c:pt idx="2">
                  <c:v>0</c:v>
                </c:pt>
                <c:pt idx="3">
                  <c:v>1</c:v>
                </c:pt>
                <c:pt idx="4">
                  <c:v>0.16666666666666666</c:v>
                </c:pt>
                <c:pt idx="5">
                  <c:v>0.75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0.875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0.41666666666666669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6A-4093-969E-86FF267AD95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6A-4093-969E-86FF267AD95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'24'!$D$6:$D$28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4">
                  <c:v>COVER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'24'!$AE$6:$AE$28</c:f>
              <c:numCache>
                <c:formatCode>0%</c:formatCode>
                <c:ptCount val="23"/>
                <c:pt idx="0">
                  <c:v>0.45108695652173914</c:v>
                </c:pt>
                <c:pt idx="1">
                  <c:v>0.45108695652173914</c:v>
                </c:pt>
                <c:pt idx="2">
                  <c:v>0.45108695652173914</c:v>
                </c:pt>
                <c:pt idx="3">
                  <c:v>0.45108695652173914</c:v>
                </c:pt>
                <c:pt idx="4">
                  <c:v>0.45108695652173914</c:v>
                </c:pt>
                <c:pt idx="5">
                  <c:v>0.45108695652173914</c:v>
                </c:pt>
                <c:pt idx="6">
                  <c:v>0.45108695652173914</c:v>
                </c:pt>
                <c:pt idx="7">
                  <c:v>0.45108695652173914</c:v>
                </c:pt>
                <c:pt idx="8">
                  <c:v>0.45108695652173914</c:v>
                </c:pt>
                <c:pt idx="9">
                  <c:v>0.45108695652173914</c:v>
                </c:pt>
                <c:pt idx="10">
                  <c:v>0.45108695652173914</c:v>
                </c:pt>
                <c:pt idx="11">
                  <c:v>0.45108695652173914</c:v>
                </c:pt>
                <c:pt idx="12">
                  <c:v>0.45108695652173914</c:v>
                </c:pt>
                <c:pt idx="13">
                  <c:v>0.45108695652173914</c:v>
                </c:pt>
                <c:pt idx="14">
                  <c:v>0.45108695652173914</c:v>
                </c:pt>
                <c:pt idx="15">
                  <c:v>0.45108695652173914</c:v>
                </c:pt>
                <c:pt idx="16">
                  <c:v>0.45108695652173914</c:v>
                </c:pt>
                <c:pt idx="17">
                  <c:v>0.45108695652173914</c:v>
                </c:pt>
                <c:pt idx="18">
                  <c:v>0.45108695652173914</c:v>
                </c:pt>
                <c:pt idx="19">
                  <c:v>0.45108695652173914</c:v>
                </c:pt>
                <c:pt idx="20">
                  <c:v>0.45108695652173914</c:v>
                </c:pt>
                <c:pt idx="21">
                  <c:v>0.45108695652173914</c:v>
                </c:pt>
                <c:pt idx="22">
                  <c:v>0.45108695652173914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6A-4093-969E-86FF267AD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'24'!$D$6:$D$28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4">
                  <c:v>COVER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'24'!$L$6:$L$28</c:f>
              <c:numCache>
                <c:formatCode>_(* #,##0_);_(* \(#,##0\);_(* "-"_);_(@_)</c:formatCode>
                <c:ptCount val="23"/>
                <c:pt idx="1">
                  <c:v>1252</c:v>
                </c:pt>
                <c:pt idx="3">
                  <c:v>11394</c:v>
                </c:pt>
                <c:pt idx="4">
                  <c:v>4374</c:v>
                </c:pt>
                <c:pt idx="5">
                  <c:v>8004</c:v>
                </c:pt>
                <c:pt idx="6">
                  <c:v>11864</c:v>
                </c:pt>
                <c:pt idx="7">
                  <c:v>5556</c:v>
                </c:pt>
                <c:pt idx="8">
                  <c:v>5274</c:v>
                </c:pt>
                <c:pt idx="11">
                  <c:v>18954</c:v>
                </c:pt>
                <c:pt idx="13">
                  <c:v>5124</c:v>
                </c:pt>
                <c:pt idx="14">
                  <c:v>5252</c:v>
                </c:pt>
                <c:pt idx="15">
                  <c:v>9077</c:v>
                </c:pt>
                <c:pt idx="16">
                  <c:v>66272</c:v>
                </c:pt>
                <c:pt idx="19">
                  <c:v>2652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DA-4E87-A8F0-B0D2615DC548}"/>
            </c:ext>
          </c:extLst>
        </c:ser>
        <c:ser>
          <c:idx val="1"/>
          <c:order val="1"/>
          <c:tx>
            <c:v>계획</c:v>
          </c:tx>
          <c:cat>
            <c:strRef>
              <c:f>'24'!$D$6:$D$28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4">
                  <c:v>COVER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'24'!$J$6:$J$28</c:f>
              <c:numCache>
                <c:formatCode>_(* #,##0_);_(* \(#,##0\);_(* "-"_);_(@_)</c:formatCode>
                <c:ptCount val="23"/>
                <c:pt idx="0">
                  <c:v>3017</c:v>
                </c:pt>
                <c:pt idx="1">
                  <c:v>1252</c:v>
                </c:pt>
                <c:pt idx="2">
                  <c:v>2610</c:v>
                </c:pt>
                <c:pt idx="3">
                  <c:v>11394</c:v>
                </c:pt>
                <c:pt idx="4">
                  <c:v>4374</c:v>
                </c:pt>
                <c:pt idx="5">
                  <c:v>8004</c:v>
                </c:pt>
                <c:pt idx="6">
                  <c:v>11864</c:v>
                </c:pt>
                <c:pt idx="7">
                  <c:v>5556</c:v>
                </c:pt>
                <c:pt idx="8">
                  <c:v>5274</c:v>
                </c:pt>
                <c:pt idx="9">
                  <c:v>49</c:v>
                </c:pt>
                <c:pt idx="10">
                  <c:v>12356</c:v>
                </c:pt>
                <c:pt idx="11">
                  <c:v>18954</c:v>
                </c:pt>
                <c:pt idx="12">
                  <c:v>2164</c:v>
                </c:pt>
                <c:pt idx="13">
                  <c:v>5124</c:v>
                </c:pt>
                <c:pt idx="14">
                  <c:v>5252</c:v>
                </c:pt>
                <c:pt idx="15">
                  <c:v>9077</c:v>
                </c:pt>
                <c:pt idx="16">
                  <c:v>66272</c:v>
                </c:pt>
                <c:pt idx="17">
                  <c:v>0</c:v>
                </c:pt>
                <c:pt idx="18">
                  <c:v>0</c:v>
                </c:pt>
                <c:pt idx="19">
                  <c:v>2652</c:v>
                </c:pt>
                <c:pt idx="20">
                  <c:v>9988</c:v>
                </c:pt>
                <c:pt idx="21">
                  <c:v>11600</c:v>
                </c:pt>
                <c:pt idx="22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DA-4E87-A8F0-B0D2615DC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'24'!$AD$6:$AD$28</c:f>
              <c:strCache>
                <c:ptCount val="23"/>
                <c:pt idx="0">
                  <c:v>0%</c:v>
                </c:pt>
                <c:pt idx="1">
                  <c:v>17%</c:v>
                </c:pt>
                <c:pt idx="2">
                  <c:v>0%</c:v>
                </c:pt>
                <c:pt idx="3">
                  <c:v>100%</c:v>
                </c:pt>
                <c:pt idx="4">
                  <c:v>17%</c:v>
                </c:pt>
                <c:pt idx="5">
                  <c:v>75%</c:v>
                </c:pt>
                <c:pt idx="6">
                  <c:v>100%</c:v>
                </c:pt>
                <c:pt idx="7">
                  <c:v>100%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100%</c:v>
                </c:pt>
                <c:pt idx="14">
                  <c:v>100%</c:v>
                </c:pt>
                <c:pt idx="15">
                  <c:v>88%</c:v>
                </c:pt>
                <c:pt idx="16">
                  <c:v>100%</c:v>
                </c:pt>
                <c:pt idx="17">
                  <c:v>0%</c:v>
                </c:pt>
                <c:pt idx="18">
                  <c:v>0%</c:v>
                </c:pt>
                <c:pt idx="19">
                  <c:v>42%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'24'!$D$6:$D$28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4">
                  <c:v>COVER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'24'!$AD$6:$AD$28</c:f>
              <c:numCache>
                <c:formatCode>0%</c:formatCode>
                <c:ptCount val="23"/>
                <c:pt idx="0">
                  <c:v>0</c:v>
                </c:pt>
                <c:pt idx="1">
                  <c:v>0.16666666666666666</c:v>
                </c:pt>
                <c:pt idx="2">
                  <c:v>0</c:v>
                </c:pt>
                <c:pt idx="3">
                  <c:v>1</c:v>
                </c:pt>
                <c:pt idx="4">
                  <c:v>0.16666666666666666</c:v>
                </c:pt>
                <c:pt idx="5">
                  <c:v>0.75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0.875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0.41666666666666669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C-4AB9-82D2-9F9ABC39553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FCC-4AB9-82D2-9F9ABC39553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'24'!$D$6:$D$28</c:f>
              <c:strCache>
                <c:ptCount val="22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4">
                  <c:v>COVER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SLIDER</c:v>
                </c:pt>
                <c:pt idx="13">
                  <c:v>BASE</c:v>
                </c:pt>
                <c:pt idx="14">
                  <c:v>ACTUATOR</c:v>
                </c:pt>
                <c:pt idx="15">
                  <c:v>BASE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'24'!$AE$6:$AE$28</c:f>
              <c:numCache>
                <c:formatCode>0%</c:formatCode>
                <c:ptCount val="23"/>
                <c:pt idx="0">
                  <c:v>0.45108695652173914</c:v>
                </c:pt>
                <c:pt idx="1">
                  <c:v>0.45108695652173914</c:v>
                </c:pt>
                <c:pt idx="2">
                  <c:v>0.45108695652173914</c:v>
                </c:pt>
                <c:pt idx="3">
                  <c:v>0.45108695652173914</c:v>
                </c:pt>
                <c:pt idx="4">
                  <c:v>0.45108695652173914</c:v>
                </c:pt>
                <c:pt idx="5">
                  <c:v>0.45108695652173914</c:v>
                </c:pt>
                <c:pt idx="6">
                  <c:v>0.45108695652173914</c:v>
                </c:pt>
                <c:pt idx="7">
                  <c:v>0.45108695652173914</c:v>
                </c:pt>
                <c:pt idx="8">
                  <c:v>0.45108695652173914</c:v>
                </c:pt>
                <c:pt idx="9">
                  <c:v>0.45108695652173914</c:v>
                </c:pt>
                <c:pt idx="10">
                  <c:v>0.45108695652173914</c:v>
                </c:pt>
                <c:pt idx="11">
                  <c:v>0.45108695652173914</c:v>
                </c:pt>
                <c:pt idx="12">
                  <c:v>0.45108695652173914</c:v>
                </c:pt>
                <c:pt idx="13">
                  <c:v>0.45108695652173914</c:v>
                </c:pt>
                <c:pt idx="14">
                  <c:v>0.45108695652173914</c:v>
                </c:pt>
                <c:pt idx="15">
                  <c:v>0.45108695652173914</c:v>
                </c:pt>
                <c:pt idx="16">
                  <c:v>0.45108695652173914</c:v>
                </c:pt>
                <c:pt idx="17">
                  <c:v>0.45108695652173914</c:v>
                </c:pt>
                <c:pt idx="18">
                  <c:v>0.45108695652173914</c:v>
                </c:pt>
                <c:pt idx="19">
                  <c:v>0.45108695652173914</c:v>
                </c:pt>
                <c:pt idx="20">
                  <c:v>0.45108695652173914</c:v>
                </c:pt>
                <c:pt idx="21">
                  <c:v>0.45108695652173914</c:v>
                </c:pt>
                <c:pt idx="22">
                  <c:v>0.45108695652173914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CC-4AB9-82D2-9F9ABC395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9CC-41D7-8688-F0DFF53494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0.68147728498178428</c:v>
                </c:pt>
                <c:pt idx="1">
                  <c:v>0.64962121212121204</c:v>
                </c:pt>
                <c:pt idx="2">
                  <c:v>0.37121212121212116</c:v>
                </c:pt>
                <c:pt idx="4">
                  <c:v>0.47282608695652184</c:v>
                </c:pt>
                <c:pt idx="5">
                  <c:v>0.55303030303030298</c:v>
                </c:pt>
                <c:pt idx="6">
                  <c:v>0.45833333333333331</c:v>
                </c:pt>
                <c:pt idx="7">
                  <c:v>0.47282608695652173</c:v>
                </c:pt>
                <c:pt idx="8">
                  <c:v>0.34567901234567905</c:v>
                </c:pt>
                <c:pt idx="9">
                  <c:v>0.41098484848484856</c:v>
                </c:pt>
                <c:pt idx="11">
                  <c:v>0.36742424242424243</c:v>
                </c:pt>
                <c:pt idx="12">
                  <c:v>0.48863636363636354</c:v>
                </c:pt>
                <c:pt idx="13">
                  <c:v>0.59000470952885553</c:v>
                </c:pt>
                <c:pt idx="14">
                  <c:v>0.58712121212121204</c:v>
                </c:pt>
                <c:pt idx="15">
                  <c:v>0.53462982364239564</c:v>
                </c:pt>
                <c:pt idx="16">
                  <c:v>0.45075757575757575</c:v>
                </c:pt>
                <c:pt idx="18">
                  <c:v>0.54356060606060608</c:v>
                </c:pt>
                <c:pt idx="19">
                  <c:v>0.39855072463768115</c:v>
                </c:pt>
                <c:pt idx="20">
                  <c:v>0.29347826086956524</c:v>
                </c:pt>
                <c:pt idx="21">
                  <c:v>0.45619957956867979</c:v>
                </c:pt>
                <c:pt idx="22">
                  <c:v>0.56060606060606066</c:v>
                </c:pt>
                <c:pt idx="23">
                  <c:v>0.45108695652173914</c:v>
                </c:pt>
                <c:pt idx="25">
                  <c:v>0.41493055555555552</c:v>
                </c:pt>
                <c:pt idx="26">
                  <c:v>0.53598484848484851</c:v>
                </c:pt>
                <c:pt idx="27">
                  <c:v>0.43560606060606055</c:v>
                </c:pt>
                <c:pt idx="28">
                  <c:v>0.42234848484848481</c:v>
                </c:pt>
                <c:pt idx="29">
                  <c:v>0.42529900929110415</c:v>
                </c:pt>
                <c:pt idx="31">
                  <c:v>0.41240717878611177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CC-41D7-8688-F0DFF5349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9CC-41D7-8688-F0DFF53494C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CC-41D7-8688-F0DFF5349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'26'!$D$6:$D$29</c:f>
              <c:strCache>
                <c:ptCount val="23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4">
                  <c:v>COVER</c:v>
                </c:pt>
                <c:pt idx="6">
                  <c:v>STOPPPER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BASE</c:v>
                </c:pt>
                <c:pt idx="13">
                  <c:v>SLIDER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  <c:pt idx="20">
                  <c:v>SLIDER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'26'!$L$6:$L$29</c:f>
              <c:numCache>
                <c:formatCode>_(* #,##0_);_(* \(#,##0\);_(* "-"_);_(@_)</c:formatCode>
                <c:ptCount val="24"/>
                <c:pt idx="0">
                  <c:v>5840</c:v>
                </c:pt>
                <c:pt idx="3">
                  <c:v>5542</c:v>
                </c:pt>
                <c:pt idx="5">
                  <c:v>11244</c:v>
                </c:pt>
                <c:pt idx="6">
                  <c:v>11140</c:v>
                </c:pt>
                <c:pt idx="7">
                  <c:v>3742</c:v>
                </c:pt>
                <c:pt idx="8">
                  <c:v>631</c:v>
                </c:pt>
                <c:pt idx="9">
                  <c:v>50</c:v>
                </c:pt>
                <c:pt idx="11">
                  <c:v>366</c:v>
                </c:pt>
                <c:pt idx="12">
                  <c:v>7214</c:v>
                </c:pt>
                <c:pt idx="14">
                  <c:v>4945</c:v>
                </c:pt>
                <c:pt idx="15">
                  <c:v>4548</c:v>
                </c:pt>
                <c:pt idx="16">
                  <c:v>8768</c:v>
                </c:pt>
                <c:pt idx="17">
                  <c:v>52608</c:v>
                </c:pt>
                <c:pt idx="20">
                  <c:v>6495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33-4201-877A-1FF2D942804A}"/>
            </c:ext>
          </c:extLst>
        </c:ser>
        <c:ser>
          <c:idx val="1"/>
          <c:order val="1"/>
          <c:tx>
            <c:v>계획</c:v>
          </c:tx>
          <c:cat>
            <c:strRef>
              <c:f>'26'!$D$6:$D$29</c:f>
              <c:strCache>
                <c:ptCount val="23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4">
                  <c:v>COVER</c:v>
                </c:pt>
                <c:pt idx="6">
                  <c:v>STOPPPER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BASE</c:v>
                </c:pt>
                <c:pt idx="13">
                  <c:v>SLIDER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  <c:pt idx="20">
                  <c:v>SLIDER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'26'!$J$6:$J$29</c:f>
              <c:numCache>
                <c:formatCode>_(* #,##0_);_(* \(#,##0\);_(* "-"_);_(@_)</c:formatCode>
                <c:ptCount val="24"/>
                <c:pt idx="0">
                  <c:v>5840</c:v>
                </c:pt>
                <c:pt idx="1">
                  <c:v>1252</c:v>
                </c:pt>
                <c:pt idx="2">
                  <c:v>2610</c:v>
                </c:pt>
                <c:pt idx="3">
                  <c:v>5542</c:v>
                </c:pt>
                <c:pt idx="4">
                  <c:v>4374</c:v>
                </c:pt>
                <c:pt idx="5">
                  <c:v>11244</c:v>
                </c:pt>
                <c:pt idx="6">
                  <c:v>11140</c:v>
                </c:pt>
                <c:pt idx="7">
                  <c:v>3742</c:v>
                </c:pt>
                <c:pt idx="8">
                  <c:v>631</c:v>
                </c:pt>
                <c:pt idx="9">
                  <c:v>50</c:v>
                </c:pt>
                <c:pt idx="10">
                  <c:v>12356</c:v>
                </c:pt>
                <c:pt idx="11">
                  <c:v>366</c:v>
                </c:pt>
                <c:pt idx="12">
                  <c:v>7214</c:v>
                </c:pt>
                <c:pt idx="13">
                  <c:v>2164</c:v>
                </c:pt>
                <c:pt idx="14">
                  <c:v>4945</c:v>
                </c:pt>
                <c:pt idx="15">
                  <c:v>4548</c:v>
                </c:pt>
                <c:pt idx="16">
                  <c:v>8768</c:v>
                </c:pt>
                <c:pt idx="17">
                  <c:v>52608</c:v>
                </c:pt>
                <c:pt idx="18">
                  <c:v>0</c:v>
                </c:pt>
                <c:pt idx="19">
                  <c:v>0</c:v>
                </c:pt>
                <c:pt idx="20">
                  <c:v>6495</c:v>
                </c:pt>
                <c:pt idx="21">
                  <c:v>9988</c:v>
                </c:pt>
                <c:pt idx="22">
                  <c:v>11600</c:v>
                </c:pt>
                <c:pt idx="23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33-4201-877A-1FF2D9428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'26'!$AD$6:$AD$29</c:f>
              <c:strCache>
                <c:ptCount val="24"/>
                <c:pt idx="0">
                  <c:v>63%</c:v>
                </c:pt>
                <c:pt idx="1">
                  <c:v>0%</c:v>
                </c:pt>
                <c:pt idx="2">
                  <c:v>0%</c:v>
                </c:pt>
                <c:pt idx="3">
                  <c:v>54%</c:v>
                </c:pt>
                <c:pt idx="4">
                  <c:v>0%</c:v>
                </c:pt>
                <c:pt idx="5">
                  <c:v>100%</c:v>
                </c:pt>
                <c:pt idx="6">
                  <c:v>100%</c:v>
                </c:pt>
                <c:pt idx="7">
                  <c:v>75%</c:v>
                </c:pt>
                <c:pt idx="8">
                  <c:v>38%</c:v>
                </c:pt>
                <c:pt idx="9">
                  <c:v>17%</c:v>
                </c:pt>
                <c:pt idx="10">
                  <c:v>0%</c:v>
                </c:pt>
                <c:pt idx="11">
                  <c:v>21%</c:v>
                </c:pt>
                <c:pt idx="12">
                  <c:v>71%</c:v>
                </c:pt>
                <c:pt idx="13">
                  <c:v>0%</c:v>
                </c:pt>
                <c:pt idx="14">
                  <c:v>100%</c:v>
                </c:pt>
                <c:pt idx="15">
                  <c:v>88%</c:v>
                </c:pt>
                <c:pt idx="16">
                  <c:v>88%</c:v>
                </c:pt>
                <c:pt idx="17">
                  <c:v>92%</c:v>
                </c:pt>
                <c:pt idx="18">
                  <c:v>0%</c:v>
                </c:pt>
                <c:pt idx="19">
                  <c:v>0%</c:v>
                </c:pt>
                <c:pt idx="20">
                  <c:v>92%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'26'!$D$6:$D$29</c:f>
              <c:strCache>
                <c:ptCount val="23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4">
                  <c:v>COVER</c:v>
                </c:pt>
                <c:pt idx="6">
                  <c:v>STOPPPER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BASE</c:v>
                </c:pt>
                <c:pt idx="13">
                  <c:v>SLIDER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  <c:pt idx="20">
                  <c:v>SLIDER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'26'!$AD$6:$AD$29</c:f>
              <c:numCache>
                <c:formatCode>0%</c:formatCode>
                <c:ptCount val="24"/>
                <c:pt idx="0">
                  <c:v>0.625</c:v>
                </c:pt>
                <c:pt idx="1">
                  <c:v>0</c:v>
                </c:pt>
                <c:pt idx="2">
                  <c:v>0</c:v>
                </c:pt>
                <c:pt idx="3">
                  <c:v>0.54166666666666663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0.75</c:v>
                </c:pt>
                <c:pt idx="8">
                  <c:v>0.375</c:v>
                </c:pt>
                <c:pt idx="9">
                  <c:v>0.16666666666666666</c:v>
                </c:pt>
                <c:pt idx="10">
                  <c:v>0</c:v>
                </c:pt>
                <c:pt idx="11">
                  <c:v>0.20833333333333334</c:v>
                </c:pt>
                <c:pt idx="12">
                  <c:v>0.70833333333333337</c:v>
                </c:pt>
                <c:pt idx="13">
                  <c:v>0</c:v>
                </c:pt>
                <c:pt idx="14">
                  <c:v>1</c:v>
                </c:pt>
                <c:pt idx="15">
                  <c:v>0.875</c:v>
                </c:pt>
                <c:pt idx="16">
                  <c:v>0.875</c:v>
                </c:pt>
                <c:pt idx="17">
                  <c:v>0.91666666666666663</c:v>
                </c:pt>
                <c:pt idx="18">
                  <c:v>0</c:v>
                </c:pt>
                <c:pt idx="19">
                  <c:v>0</c:v>
                </c:pt>
                <c:pt idx="20">
                  <c:v>0.91666666666666663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BC-4811-A5C6-FD6CC56E988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8BC-4811-A5C6-FD6CC56E988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'26'!$D$6:$D$29</c:f>
              <c:strCache>
                <c:ptCount val="23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4">
                  <c:v>COVER</c:v>
                </c:pt>
                <c:pt idx="6">
                  <c:v>STOPPPER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BASE</c:v>
                </c:pt>
                <c:pt idx="13">
                  <c:v>SLIDER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  <c:pt idx="20">
                  <c:v>SLIDER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'26'!$AE$6:$AE$29</c:f>
              <c:numCache>
                <c:formatCode>0%</c:formatCode>
                <c:ptCount val="24"/>
                <c:pt idx="0">
                  <c:v>0.41493055555555552</c:v>
                </c:pt>
                <c:pt idx="1">
                  <c:v>0.41493055555555552</c:v>
                </c:pt>
                <c:pt idx="2">
                  <c:v>0.41493055555555552</c:v>
                </c:pt>
                <c:pt idx="3">
                  <c:v>0.41493055555555552</c:v>
                </c:pt>
                <c:pt idx="4">
                  <c:v>0.41493055555555552</c:v>
                </c:pt>
                <c:pt idx="5">
                  <c:v>0.41493055555555552</c:v>
                </c:pt>
                <c:pt idx="6">
                  <c:v>0.41493055555555552</c:v>
                </c:pt>
                <c:pt idx="7">
                  <c:v>0.41493055555555552</c:v>
                </c:pt>
                <c:pt idx="8">
                  <c:v>0.41493055555555552</c:v>
                </c:pt>
                <c:pt idx="9">
                  <c:v>0.41493055555555552</c:v>
                </c:pt>
                <c:pt idx="10">
                  <c:v>0.41493055555555552</c:v>
                </c:pt>
                <c:pt idx="11">
                  <c:v>0.41493055555555552</c:v>
                </c:pt>
                <c:pt idx="12">
                  <c:v>0.41493055555555552</c:v>
                </c:pt>
                <c:pt idx="13">
                  <c:v>0.41493055555555552</c:v>
                </c:pt>
                <c:pt idx="14">
                  <c:v>0.41493055555555552</c:v>
                </c:pt>
                <c:pt idx="15">
                  <c:v>0.41493055555555552</c:v>
                </c:pt>
                <c:pt idx="16">
                  <c:v>0.41493055555555552</c:v>
                </c:pt>
                <c:pt idx="17">
                  <c:v>0.41493055555555552</c:v>
                </c:pt>
                <c:pt idx="18">
                  <c:v>0.41493055555555552</c:v>
                </c:pt>
                <c:pt idx="19">
                  <c:v>0.41493055555555552</c:v>
                </c:pt>
                <c:pt idx="20">
                  <c:v>0.41493055555555552</c:v>
                </c:pt>
                <c:pt idx="21">
                  <c:v>0.41493055555555552</c:v>
                </c:pt>
                <c:pt idx="22">
                  <c:v>0.41493055555555552</c:v>
                </c:pt>
                <c:pt idx="23">
                  <c:v>0.41493055555555552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BC-4811-A5C6-FD6CC56E9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'26'!$D$6:$D$29</c:f>
              <c:strCache>
                <c:ptCount val="23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4">
                  <c:v>COVER</c:v>
                </c:pt>
                <c:pt idx="6">
                  <c:v>STOPPPER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BASE</c:v>
                </c:pt>
                <c:pt idx="13">
                  <c:v>SLIDER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  <c:pt idx="20">
                  <c:v>SLIDER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'26'!$L$6:$L$29</c:f>
              <c:numCache>
                <c:formatCode>_(* #,##0_);_(* \(#,##0\);_(* "-"_);_(@_)</c:formatCode>
                <c:ptCount val="24"/>
                <c:pt idx="0">
                  <c:v>5840</c:v>
                </c:pt>
                <c:pt idx="3">
                  <c:v>5542</c:v>
                </c:pt>
                <c:pt idx="5">
                  <c:v>11244</c:v>
                </c:pt>
                <c:pt idx="6">
                  <c:v>11140</c:v>
                </c:pt>
                <c:pt idx="7">
                  <c:v>3742</c:v>
                </c:pt>
                <c:pt idx="8">
                  <c:v>631</c:v>
                </c:pt>
                <c:pt idx="9">
                  <c:v>50</c:v>
                </c:pt>
                <c:pt idx="11">
                  <c:v>366</c:v>
                </c:pt>
                <c:pt idx="12">
                  <c:v>7214</c:v>
                </c:pt>
                <c:pt idx="14">
                  <c:v>4945</c:v>
                </c:pt>
                <c:pt idx="15">
                  <c:v>4548</c:v>
                </c:pt>
                <c:pt idx="16">
                  <c:v>8768</c:v>
                </c:pt>
                <c:pt idx="17">
                  <c:v>52608</c:v>
                </c:pt>
                <c:pt idx="20">
                  <c:v>6495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AC-43C2-B324-E6801D3B6884}"/>
            </c:ext>
          </c:extLst>
        </c:ser>
        <c:ser>
          <c:idx val="1"/>
          <c:order val="1"/>
          <c:tx>
            <c:v>계획</c:v>
          </c:tx>
          <c:cat>
            <c:strRef>
              <c:f>'26'!$D$6:$D$29</c:f>
              <c:strCache>
                <c:ptCount val="23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4">
                  <c:v>COVER</c:v>
                </c:pt>
                <c:pt idx="6">
                  <c:v>STOPPPER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BASE</c:v>
                </c:pt>
                <c:pt idx="13">
                  <c:v>SLIDER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  <c:pt idx="20">
                  <c:v>SLIDER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'26'!$J$6:$J$29</c:f>
              <c:numCache>
                <c:formatCode>_(* #,##0_);_(* \(#,##0\);_(* "-"_);_(@_)</c:formatCode>
                <c:ptCount val="24"/>
                <c:pt idx="0">
                  <c:v>5840</c:v>
                </c:pt>
                <c:pt idx="1">
                  <c:v>1252</c:v>
                </c:pt>
                <c:pt idx="2">
                  <c:v>2610</c:v>
                </c:pt>
                <c:pt idx="3">
                  <c:v>5542</c:v>
                </c:pt>
                <c:pt idx="4">
                  <c:v>4374</c:v>
                </c:pt>
                <c:pt idx="5">
                  <c:v>11244</c:v>
                </c:pt>
                <c:pt idx="6">
                  <c:v>11140</c:v>
                </c:pt>
                <c:pt idx="7">
                  <c:v>3742</c:v>
                </c:pt>
                <c:pt idx="8">
                  <c:v>631</c:v>
                </c:pt>
                <c:pt idx="9">
                  <c:v>50</c:v>
                </c:pt>
                <c:pt idx="10">
                  <c:v>12356</c:v>
                </c:pt>
                <c:pt idx="11">
                  <c:v>366</c:v>
                </c:pt>
                <c:pt idx="12">
                  <c:v>7214</c:v>
                </c:pt>
                <c:pt idx="13">
                  <c:v>2164</c:v>
                </c:pt>
                <c:pt idx="14">
                  <c:v>4945</c:v>
                </c:pt>
                <c:pt idx="15">
                  <c:v>4548</c:v>
                </c:pt>
                <c:pt idx="16">
                  <c:v>8768</c:v>
                </c:pt>
                <c:pt idx="17">
                  <c:v>52608</c:v>
                </c:pt>
                <c:pt idx="18">
                  <c:v>0</c:v>
                </c:pt>
                <c:pt idx="19">
                  <c:v>0</c:v>
                </c:pt>
                <c:pt idx="20">
                  <c:v>6495</c:v>
                </c:pt>
                <c:pt idx="21">
                  <c:v>9988</c:v>
                </c:pt>
                <c:pt idx="22">
                  <c:v>11600</c:v>
                </c:pt>
                <c:pt idx="23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AC-43C2-B324-E6801D3B6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'26'!$AD$6:$AD$29</c:f>
              <c:strCache>
                <c:ptCount val="24"/>
                <c:pt idx="0">
                  <c:v>63%</c:v>
                </c:pt>
                <c:pt idx="1">
                  <c:v>0%</c:v>
                </c:pt>
                <c:pt idx="2">
                  <c:v>0%</c:v>
                </c:pt>
                <c:pt idx="3">
                  <c:v>54%</c:v>
                </c:pt>
                <c:pt idx="4">
                  <c:v>0%</c:v>
                </c:pt>
                <c:pt idx="5">
                  <c:v>100%</c:v>
                </c:pt>
                <c:pt idx="6">
                  <c:v>100%</c:v>
                </c:pt>
                <c:pt idx="7">
                  <c:v>75%</c:v>
                </c:pt>
                <c:pt idx="8">
                  <c:v>38%</c:v>
                </c:pt>
                <c:pt idx="9">
                  <c:v>17%</c:v>
                </c:pt>
                <c:pt idx="10">
                  <c:v>0%</c:v>
                </c:pt>
                <c:pt idx="11">
                  <c:v>21%</c:v>
                </c:pt>
                <c:pt idx="12">
                  <c:v>71%</c:v>
                </c:pt>
                <c:pt idx="13">
                  <c:v>0%</c:v>
                </c:pt>
                <c:pt idx="14">
                  <c:v>100%</c:v>
                </c:pt>
                <c:pt idx="15">
                  <c:v>88%</c:v>
                </c:pt>
                <c:pt idx="16">
                  <c:v>88%</c:v>
                </c:pt>
                <c:pt idx="17">
                  <c:v>92%</c:v>
                </c:pt>
                <c:pt idx="18">
                  <c:v>0%</c:v>
                </c:pt>
                <c:pt idx="19">
                  <c:v>0%</c:v>
                </c:pt>
                <c:pt idx="20">
                  <c:v>92%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'26'!$D$6:$D$29</c:f>
              <c:strCache>
                <c:ptCount val="23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4">
                  <c:v>COVER</c:v>
                </c:pt>
                <c:pt idx="6">
                  <c:v>STOPPPER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BASE</c:v>
                </c:pt>
                <c:pt idx="13">
                  <c:v>SLIDER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  <c:pt idx="20">
                  <c:v>SLIDER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'26'!$AD$6:$AD$29</c:f>
              <c:numCache>
                <c:formatCode>0%</c:formatCode>
                <c:ptCount val="24"/>
                <c:pt idx="0">
                  <c:v>0.625</c:v>
                </c:pt>
                <c:pt idx="1">
                  <c:v>0</c:v>
                </c:pt>
                <c:pt idx="2">
                  <c:v>0</c:v>
                </c:pt>
                <c:pt idx="3">
                  <c:v>0.54166666666666663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0.75</c:v>
                </c:pt>
                <c:pt idx="8">
                  <c:v>0.375</c:v>
                </c:pt>
                <c:pt idx="9">
                  <c:v>0.16666666666666666</c:v>
                </c:pt>
                <c:pt idx="10">
                  <c:v>0</c:v>
                </c:pt>
                <c:pt idx="11">
                  <c:v>0.20833333333333334</c:v>
                </c:pt>
                <c:pt idx="12">
                  <c:v>0.70833333333333337</c:v>
                </c:pt>
                <c:pt idx="13">
                  <c:v>0</c:v>
                </c:pt>
                <c:pt idx="14">
                  <c:v>1</c:v>
                </c:pt>
                <c:pt idx="15">
                  <c:v>0.875</c:v>
                </c:pt>
                <c:pt idx="16">
                  <c:v>0.875</c:v>
                </c:pt>
                <c:pt idx="17">
                  <c:v>0.91666666666666663</c:v>
                </c:pt>
                <c:pt idx="18">
                  <c:v>0</c:v>
                </c:pt>
                <c:pt idx="19">
                  <c:v>0</c:v>
                </c:pt>
                <c:pt idx="20">
                  <c:v>0.91666666666666663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5C-4223-9608-EB24EA2B78E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75C-4223-9608-EB24EA2B78E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'26'!$D$6:$D$29</c:f>
              <c:strCache>
                <c:ptCount val="23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4">
                  <c:v>COVER</c:v>
                </c:pt>
                <c:pt idx="6">
                  <c:v>STOPPPER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BASE</c:v>
                </c:pt>
                <c:pt idx="13">
                  <c:v>SLIDER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  <c:pt idx="20">
                  <c:v>SLIDER</c:v>
                </c:pt>
                <c:pt idx="21">
                  <c:v>SLIDER</c:v>
                </c:pt>
                <c:pt idx="22">
                  <c:v>COVER</c:v>
                </c:pt>
              </c:strCache>
            </c:strRef>
          </c:cat>
          <c:val>
            <c:numRef>
              <c:f>'26'!$AE$6:$AE$29</c:f>
              <c:numCache>
                <c:formatCode>0%</c:formatCode>
                <c:ptCount val="24"/>
                <c:pt idx="0">
                  <c:v>0.41493055555555552</c:v>
                </c:pt>
                <c:pt idx="1">
                  <c:v>0.41493055555555552</c:v>
                </c:pt>
                <c:pt idx="2">
                  <c:v>0.41493055555555552</c:v>
                </c:pt>
                <c:pt idx="3">
                  <c:v>0.41493055555555552</c:v>
                </c:pt>
                <c:pt idx="4">
                  <c:v>0.41493055555555552</c:v>
                </c:pt>
                <c:pt idx="5">
                  <c:v>0.41493055555555552</c:v>
                </c:pt>
                <c:pt idx="6">
                  <c:v>0.41493055555555552</c:v>
                </c:pt>
                <c:pt idx="7">
                  <c:v>0.41493055555555552</c:v>
                </c:pt>
                <c:pt idx="8">
                  <c:v>0.41493055555555552</c:v>
                </c:pt>
                <c:pt idx="9">
                  <c:v>0.41493055555555552</c:v>
                </c:pt>
                <c:pt idx="10">
                  <c:v>0.41493055555555552</c:v>
                </c:pt>
                <c:pt idx="11">
                  <c:v>0.41493055555555552</c:v>
                </c:pt>
                <c:pt idx="12">
                  <c:v>0.41493055555555552</c:v>
                </c:pt>
                <c:pt idx="13">
                  <c:v>0.41493055555555552</c:v>
                </c:pt>
                <c:pt idx="14">
                  <c:v>0.41493055555555552</c:v>
                </c:pt>
                <c:pt idx="15">
                  <c:v>0.41493055555555552</c:v>
                </c:pt>
                <c:pt idx="16">
                  <c:v>0.41493055555555552</c:v>
                </c:pt>
                <c:pt idx="17">
                  <c:v>0.41493055555555552</c:v>
                </c:pt>
                <c:pt idx="18">
                  <c:v>0.41493055555555552</c:v>
                </c:pt>
                <c:pt idx="19">
                  <c:v>0.41493055555555552</c:v>
                </c:pt>
                <c:pt idx="20">
                  <c:v>0.41493055555555552</c:v>
                </c:pt>
                <c:pt idx="21">
                  <c:v>0.41493055555555552</c:v>
                </c:pt>
                <c:pt idx="22">
                  <c:v>0.41493055555555552</c:v>
                </c:pt>
                <c:pt idx="23">
                  <c:v>0.41493055555555552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5C-4223-9608-EB24EA2B7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8F7-4077-A4A1-7388128AE8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0.68147728498178428</c:v>
                </c:pt>
                <c:pt idx="1">
                  <c:v>0.64962121212121204</c:v>
                </c:pt>
                <c:pt idx="2">
                  <c:v>0.37121212121212116</c:v>
                </c:pt>
                <c:pt idx="4">
                  <c:v>0.47282608695652184</c:v>
                </c:pt>
                <c:pt idx="5">
                  <c:v>0.55303030303030298</c:v>
                </c:pt>
                <c:pt idx="6">
                  <c:v>0.45833333333333331</c:v>
                </c:pt>
                <c:pt idx="7">
                  <c:v>0.47282608695652173</c:v>
                </c:pt>
                <c:pt idx="8">
                  <c:v>0.34567901234567905</c:v>
                </c:pt>
                <c:pt idx="9">
                  <c:v>0.41098484848484856</c:v>
                </c:pt>
                <c:pt idx="11">
                  <c:v>0.36742424242424243</c:v>
                </c:pt>
                <c:pt idx="12">
                  <c:v>0.48863636363636354</c:v>
                </c:pt>
                <c:pt idx="13">
                  <c:v>0.59000470952885553</c:v>
                </c:pt>
                <c:pt idx="14">
                  <c:v>0.58712121212121204</c:v>
                </c:pt>
                <c:pt idx="15">
                  <c:v>0.53462982364239564</c:v>
                </c:pt>
                <c:pt idx="16">
                  <c:v>0.45075757575757575</c:v>
                </c:pt>
                <c:pt idx="18">
                  <c:v>0.54356060606060608</c:v>
                </c:pt>
                <c:pt idx="19">
                  <c:v>0.39855072463768115</c:v>
                </c:pt>
                <c:pt idx="20">
                  <c:v>0.29347826086956524</c:v>
                </c:pt>
                <c:pt idx="21">
                  <c:v>0.45619957956867979</c:v>
                </c:pt>
                <c:pt idx="22">
                  <c:v>0.56060606060606066</c:v>
                </c:pt>
                <c:pt idx="23">
                  <c:v>0.45108695652173914</c:v>
                </c:pt>
                <c:pt idx="25">
                  <c:v>0.41493055555555552</c:v>
                </c:pt>
                <c:pt idx="26">
                  <c:v>0.53598484848484851</c:v>
                </c:pt>
                <c:pt idx="27">
                  <c:v>0.43560606060606055</c:v>
                </c:pt>
                <c:pt idx="28">
                  <c:v>0.42234848484848481</c:v>
                </c:pt>
                <c:pt idx="29">
                  <c:v>0.42529900929110415</c:v>
                </c:pt>
                <c:pt idx="31">
                  <c:v>0.41240717878611177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F7-4077-A4A1-7388128AE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8F7-4077-A4A1-7388128AE8F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7-4077-A4A1-7388128AE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LATCH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'27'!$L$6:$L$27</c:f>
              <c:numCache>
                <c:formatCode>_(* #,##0_);_(* \(#,##0\);_(* "-"_);_(@_)</c:formatCode>
                <c:ptCount val="22"/>
                <c:pt idx="0">
                  <c:v>11504</c:v>
                </c:pt>
                <c:pt idx="3">
                  <c:v>6042</c:v>
                </c:pt>
                <c:pt idx="4">
                  <c:v>11966</c:v>
                </c:pt>
                <c:pt idx="5">
                  <c:v>11874</c:v>
                </c:pt>
                <c:pt idx="6">
                  <c:v>5513</c:v>
                </c:pt>
                <c:pt idx="7">
                  <c:v>927</c:v>
                </c:pt>
                <c:pt idx="8">
                  <c:v>175</c:v>
                </c:pt>
                <c:pt idx="10">
                  <c:v>11960</c:v>
                </c:pt>
                <c:pt idx="11">
                  <c:v>4496</c:v>
                </c:pt>
                <c:pt idx="12">
                  <c:v>5090</c:v>
                </c:pt>
                <c:pt idx="13">
                  <c:v>4887</c:v>
                </c:pt>
                <c:pt idx="14">
                  <c:v>10676</c:v>
                </c:pt>
                <c:pt idx="15">
                  <c:v>61640</c:v>
                </c:pt>
                <c:pt idx="18">
                  <c:v>7026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EB-4FD2-AFDD-F9227246B922}"/>
            </c:ext>
          </c:extLst>
        </c:ser>
        <c:ser>
          <c:idx val="1"/>
          <c:order val="1"/>
          <c:tx>
            <c:v>계획</c:v>
          </c:tx>
          <c:cat>
            <c:strRef>
              <c:f>'27'!$D$6:$D$27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LATCH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'27'!$J$6:$J$27</c:f>
              <c:numCache>
                <c:formatCode>_(* #,##0_);_(* \(#,##0\);_(* "-"_);_(@_)</c:formatCode>
                <c:ptCount val="22"/>
                <c:pt idx="0">
                  <c:v>11504</c:v>
                </c:pt>
                <c:pt idx="1">
                  <c:v>1252</c:v>
                </c:pt>
                <c:pt idx="2">
                  <c:v>2610</c:v>
                </c:pt>
                <c:pt idx="3">
                  <c:v>6042</c:v>
                </c:pt>
                <c:pt idx="4">
                  <c:v>11966</c:v>
                </c:pt>
                <c:pt idx="5">
                  <c:v>11874</c:v>
                </c:pt>
                <c:pt idx="6">
                  <c:v>5513</c:v>
                </c:pt>
                <c:pt idx="7">
                  <c:v>927</c:v>
                </c:pt>
                <c:pt idx="8">
                  <c:v>175</c:v>
                </c:pt>
                <c:pt idx="9">
                  <c:v>12356</c:v>
                </c:pt>
                <c:pt idx="10">
                  <c:v>11960</c:v>
                </c:pt>
                <c:pt idx="11">
                  <c:v>4496</c:v>
                </c:pt>
                <c:pt idx="12">
                  <c:v>5090</c:v>
                </c:pt>
                <c:pt idx="13">
                  <c:v>4887</c:v>
                </c:pt>
                <c:pt idx="14">
                  <c:v>10676</c:v>
                </c:pt>
                <c:pt idx="15">
                  <c:v>61640</c:v>
                </c:pt>
                <c:pt idx="16">
                  <c:v>0</c:v>
                </c:pt>
                <c:pt idx="17">
                  <c:v>0</c:v>
                </c:pt>
                <c:pt idx="18">
                  <c:v>7026</c:v>
                </c:pt>
                <c:pt idx="19">
                  <c:v>9988</c:v>
                </c:pt>
                <c:pt idx="20">
                  <c:v>11600</c:v>
                </c:pt>
                <c:pt idx="21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EB-4FD2-AFDD-F9227246B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'27'!$AD$6:$AD$27</c:f>
              <c:strCache>
                <c:ptCount val="22"/>
                <c:pt idx="0">
                  <c:v>100%</c:v>
                </c:pt>
                <c:pt idx="1">
                  <c:v>0%</c:v>
                </c:pt>
                <c:pt idx="2">
                  <c:v>0%</c:v>
                </c:pt>
                <c:pt idx="3">
                  <c:v>54%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71%</c:v>
                </c:pt>
                <c:pt idx="8">
                  <c:v>25%</c:v>
                </c:pt>
                <c:pt idx="9">
                  <c:v>0%</c:v>
                </c:pt>
                <c:pt idx="10">
                  <c:v>100%</c:v>
                </c:pt>
                <c:pt idx="11">
                  <c:v>42%</c:v>
                </c:pt>
                <c:pt idx="12">
                  <c:v>100%</c:v>
                </c:pt>
                <c:pt idx="13">
                  <c:v>88%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100%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LATCH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'27'!$AD$6:$AD$27</c:f>
              <c:numCache>
                <c:formatCode>0%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0.54166666666666663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0.70833333333333337</c:v>
                </c:pt>
                <c:pt idx="8">
                  <c:v>0.25</c:v>
                </c:pt>
                <c:pt idx="9">
                  <c:v>0</c:v>
                </c:pt>
                <c:pt idx="10">
                  <c:v>1</c:v>
                </c:pt>
                <c:pt idx="11">
                  <c:v>0.41666666666666669</c:v>
                </c:pt>
                <c:pt idx="12">
                  <c:v>1</c:v>
                </c:pt>
                <c:pt idx="13">
                  <c:v>0.875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65-41FC-B65C-03C5784AFE5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065-41FC-B65C-03C5784AFE5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LATCH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'27'!$AE$6:$AE$27</c:f>
              <c:numCache>
                <c:formatCode>0%</c:formatCode>
                <c:ptCount val="22"/>
                <c:pt idx="0">
                  <c:v>0.53598484848484851</c:v>
                </c:pt>
                <c:pt idx="1">
                  <c:v>0.53598484848484851</c:v>
                </c:pt>
                <c:pt idx="2">
                  <c:v>0.53598484848484851</c:v>
                </c:pt>
                <c:pt idx="3">
                  <c:v>0.53598484848484851</c:v>
                </c:pt>
                <c:pt idx="4">
                  <c:v>0.53598484848484851</c:v>
                </c:pt>
                <c:pt idx="5">
                  <c:v>0.53598484848484851</c:v>
                </c:pt>
                <c:pt idx="6">
                  <c:v>0.53598484848484851</c:v>
                </c:pt>
                <c:pt idx="7">
                  <c:v>0.53598484848484851</c:v>
                </c:pt>
                <c:pt idx="8">
                  <c:v>0.53598484848484851</c:v>
                </c:pt>
                <c:pt idx="9">
                  <c:v>0.53598484848484851</c:v>
                </c:pt>
                <c:pt idx="10">
                  <c:v>0.53598484848484851</c:v>
                </c:pt>
                <c:pt idx="11">
                  <c:v>0.53598484848484851</c:v>
                </c:pt>
                <c:pt idx="12">
                  <c:v>0.53598484848484851</c:v>
                </c:pt>
                <c:pt idx="13">
                  <c:v>0.53598484848484851</c:v>
                </c:pt>
                <c:pt idx="14">
                  <c:v>0.53598484848484851</c:v>
                </c:pt>
                <c:pt idx="15">
                  <c:v>0.53598484848484851</c:v>
                </c:pt>
                <c:pt idx="16">
                  <c:v>0.53598484848484851</c:v>
                </c:pt>
                <c:pt idx="17">
                  <c:v>0.53598484848484851</c:v>
                </c:pt>
                <c:pt idx="18">
                  <c:v>0.53598484848484851</c:v>
                </c:pt>
                <c:pt idx="19">
                  <c:v>0.53598484848484851</c:v>
                </c:pt>
                <c:pt idx="20">
                  <c:v>0.53598484848484851</c:v>
                </c:pt>
                <c:pt idx="21">
                  <c:v>0.53598484848484851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65-41FC-B65C-03C5784AF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LATCH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'27'!$L$6:$L$27</c:f>
              <c:numCache>
                <c:formatCode>_(* #,##0_);_(* \(#,##0\);_(* "-"_);_(@_)</c:formatCode>
                <c:ptCount val="22"/>
                <c:pt idx="0">
                  <c:v>11504</c:v>
                </c:pt>
                <c:pt idx="3">
                  <c:v>6042</c:v>
                </c:pt>
                <c:pt idx="4">
                  <c:v>11966</c:v>
                </c:pt>
                <c:pt idx="5">
                  <c:v>11874</c:v>
                </c:pt>
                <c:pt idx="6">
                  <c:v>5513</c:v>
                </c:pt>
                <c:pt idx="7">
                  <c:v>927</c:v>
                </c:pt>
                <c:pt idx="8">
                  <c:v>175</c:v>
                </c:pt>
                <c:pt idx="10">
                  <c:v>11960</c:v>
                </c:pt>
                <c:pt idx="11">
                  <c:v>4496</c:v>
                </c:pt>
                <c:pt idx="12">
                  <c:v>5090</c:v>
                </c:pt>
                <c:pt idx="13">
                  <c:v>4887</c:v>
                </c:pt>
                <c:pt idx="14">
                  <c:v>10676</c:v>
                </c:pt>
                <c:pt idx="15">
                  <c:v>61640</c:v>
                </c:pt>
                <c:pt idx="18">
                  <c:v>7026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76-45F9-82B8-DAF677C5E281}"/>
            </c:ext>
          </c:extLst>
        </c:ser>
        <c:ser>
          <c:idx val="1"/>
          <c:order val="1"/>
          <c:tx>
            <c:v>계획</c:v>
          </c:tx>
          <c:cat>
            <c:strRef>
              <c:f>'27'!$D$6:$D$27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LATCH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'27'!$J$6:$J$27</c:f>
              <c:numCache>
                <c:formatCode>_(* #,##0_);_(* \(#,##0\);_(* "-"_);_(@_)</c:formatCode>
                <c:ptCount val="22"/>
                <c:pt idx="0">
                  <c:v>11504</c:v>
                </c:pt>
                <c:pt idx="1">
                  <c:v>1252</c:v>
                </c:pt>
                <c:pt idx="2">
                  <c:v>2610</c:v>
                </c:pt>
                <c:pt idx="3">
                  <c:v>6042</c:v>
                </c:pt>
                <c:pt idx="4">
                  <c:v>11966</c:v>
                </c:pt>
                <c:pt idx="5">
                  <c:v>11874</c:v>
                </c:pt>
                <c:pt idx="6">
                  <c:v>5513</c:v>
                </c:pt>
                <c:pt idx="7">
                  <c:v>927</c:v>
                </c:pt>
                <c:pt idx="8">
                  <c:v>175</c:v>
                </c:pt>
                <c:pt idx="9">
                  <c:v>12356</c:v>
                </c:pt>
                <c:pt idx="10">
                  <c:v>11960</c:v>
                </c:pt>
                <c:pt idx="11">
                  <c:v>4496</c:v>
                </c:pt>
                <c:pt idx="12">
                  <c:v>5090</c:v>
                </c:pt>
                <c:pt idx="13">
                  <c:v>4887</c:v>
                </c:pt>
                <c:pt idx="14">
                  <c:v>10676</c:v>
                </c:pt>
                <c:pt idx="15">
                  <c:v>61640</c:v>
                </c:pt>
                <c:pt idx="16">
                  <c:v>0</c:v>
                </c:pt>
                <c:pt idx="17">
                  <c:v>0</c:v>
                </c:pt>
                <c:pt idx="18">
                  <c:v>7026</c:v>
                </c:pt>
                <c:pt idx="19">
                  <c:v>9988</c:v>
                </c:pt>
                <c:pt idx="20">
                  <c:v>11600</c:v>
                </c:pt>
                <c:pt idx="21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76-45F9-82B8-DAF677C5E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'27'!$AD$6:$AD$27</c:f>
              <c:strCache>
                <c:ptCount val="22"/>
                <c:pt idx="0">
                  <c:v>100%</c:v>
                </c:pt>
                <c:pt idx="1">
                  <c:v>0%</c:v>
                </c:pt>
                <c:pt idx="2">
                  <c:v>0%</c:v>
                </c:pt>
                <c:pt idx="3">
                  <c:v>54%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71%</c:v>
                </c:pt>
                <c:pt idx="8">
                  <c:v>25%</c:v>
                </c:pt>
                <c:pt idx="9">
                  <c:v>0%</c:v>
                </c:pt>
                <c:pt idx="10">
                  <c:v>100%</c:v>
                </c:pt>
                <c:pt idx="11">
                  <c:v>42%</c:v>
                </c:pt>
                <c:pt idx="12">
                  <c:v>100%</c:v>
                </c:pt>
                <c:pt idx="13">
                  <c:v>88%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100%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LATCH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'27'!$AD$6:$AD$27</c:f>
              <c:numCache>
                <c:formatCode>0%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0.54166666666666663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0.70833333333333337</c:v>
                </c:pt>
                <c:pt idx="8">
                  <c:v>0.25</c:v>
                </c:pt>
                <c:pt idx="9">
                  <c:v>0</c:v>
                </c:pt>
                <c:pt idx="10">
                  <c:v>1</c:v>
                </c:pt>
                <c:pt idx="11">
                  <c:v>0.41666666666666669</c:v>
                </c:pt>
                <c:pt idx="12">
                  <c:v>1</c:v>
                </c:pt>
                <c:pt idx="13">
                  <c:v>0.875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3-4C4F-AD0E-CCD77EBE4AB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0C3-4C4F-AD0E-CCD77EBE4AB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LATCH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'27'!$AE$6:$AE$27</c:f>
              <c:numCache>
                <c:formatCode>0%</c:formatCode>
                <c:ptCount val="22"/>
                <c:pt idx="0">
                  <c:v>0.53598484848484851</c:v>
                </c:pt>
                <c:pt idx="1">
                  <c:v>0.53598484848484851</c:v>
                </c:pt>
                <c:pt idx="2">
                  <c:v>0.53598484848484851</c:v>
                </c:pt>
                <c:pt idx="3">
                  <c:v>0.53598484848484851</c:v>
                </c:pt>
                <c:pt idx="4">
                  <c:v>0.53598484848484851</c:v>
                </c:pt>
                <c:pt idx="5">
                  <c:v>0.53598484848484851</c:v>
                </c:pt>
                <c:pt idx="6">
                  <c:v>0.53598484848484851</c:v>
                </c:pt>
                <c:pt idx="7">
                  <c:v>0.53598484848484851</c:v>
                </c:pt>
                <c:pt idx="8">
                  <c:v>0.53598484848484851</c:v>
                </c:pt>
                <c:pt idx="9">
                  <c:v>0.53598484848484851</c:v>
                </c:pt>
                <c:pt idx="10">
                  <c:v>0.53598484848484851</c:v>
                </c:pt>
                <c:pt idx="11">
                  <c:v>0.53598484848484851</c:v>
                </c:pt>
                <c:pt idx="12">
                  <c:v>0.53598484848484851</c:v>
                </c:pt>
                <c:pt idx="13">
                  <c:v>0.53598484848484851</c:v>
                </c:pt>
                <c:pt idx="14">
                  <c:v>0.53598484848484851</c:v>
                </c:pt>
                <c:pt idx="15">
                  <c:v>0.53598484848484851</c:v>
                </c:pt>
                <c:pt idx="16">
                  <c:v>0.53598484848484851</c:v>
                </c:pt>
                <c:pt idx="17">
                  <c:v>0.53598484848484851</c:v>
                </c:pt>
                <c:pt idx="18">
                  <c:v>0.53598484848484851</c:v>
                </c:pt>
                <c:pt idx="19">
                  <c:v>0.53598484848484851</c:v>
                </c:pt>
                <c:pt idx="20">
                  <c:v>0.53598484848484851</c:v>
                </c:pt>
                <c:pt idx="21">
                  <c:v>0.53598484848484851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C3-4C4F-AD0E-CCD77EBE4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D14-4660-8671-B62F972A2F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0.68147728498178428</c:v>
                </c:pt>
                <c:pt idx="1">
                  <c:v>0.64962121212121204</c:v>
                </c:pt>
                <c:pt idx="2">
                  <c:v>0.37121212121212116</c:v>
                </c:pt>
                <c:pt idx="4">
                  <c:v>0.47282608695652184</c:v>
                </c:pt>
                <c:pt idx="5">
                  <c:v>0.55303030303030298</c:v>
                </c:pt>
                <c:pt idx="6">
                  <c:v>0.45833333333333331</c:v>
                </c:pt>
                <c:pt idx="7">
                  <c:v>0.47282608695652173</c:v>
                </c:pt>
                <c:pt idx="8">
                  <c:v>0.34567901234567905</c:v>
                </c:pt>
                <c:pt idx="9">
                  <c:v>0.41098484848484856</c:v>
                </c:pt>
                <c:pt idx="11">
                  <c:v>0.36742424242424243</c:v>
                </c:pt>
                <c:pt idx="12">
                  <c:v>0.48863636363636354</c:v>
                </c:pt>
                <c:pt idx="13">
                  <c:v>0.59000470952885553</c:v>
                </c:pt>
                <c:pt idx="14">
                  <c:v>0.58712121212121204</c:v>
                </c:pt>
                <c:pt idx="15">
                  <c:v>0.53462982364239564</c:v>
                </c:pt>
                <c:pt idx="16">
                  <c:v>0.45075757575757575</c:v>
                </c:pt>
                <c:pt idx="18">
                  <c:v>0.54356060606060608</c:v>
                </c:pt>
                <c:pt idx="19">
                  <c:v>0.39855072463768115</c:v>
                </c:pt>
                <c:pt idx="20">
                  <c:v>0.29347826086956524</c:v>
                </c:pt>
                <c:pt idx="21">
                  <c:v>0.45619957956867979</c:v>
                </c:pt>
                <c:pt idx="22">
                  <c:v>0.56060606060606066</c:v>
                </c:pt>
                <c:pt idx="23">
                  <c:v>0.45108695652173914</c:v>
                </c:pt>
                <c:pt idx="25">
                  <c:v>0.41493055555555552</c:v>
                </c:pt>
                <c:pt idx="26">
                  <c:v>0.53598484848484851</c:v>
                </c:pt>
                <c:pt idx="27">
                  <c:v>0.43560606060606055</c:v>
                </c:pt>
                <c:pt idx="28">
                  <c:v>0.42234848484848481</c:v>
                </c:pt>
                <c:pt idx="29">
                  <c:v>0.42529900929110415</c:v>
                </c:pt>
                <c:pt idx="31">
                  <c:v>0.41240717878611177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4-4660-8671-B62F972A2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D14-4660-8671-B62F972A2FD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14-4660-8671-B62F972A2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'28'!$L$6:$L$27</c:f>
              <c:numCache>
                <c:formatCode>_(* #,##0_);_(* \(#,##0\);_(* "-"_);_(@_)</c:formatCode>
                <c:ptCount val="22"/>
                <c:pt idx="0">
                  <c:v>11434</c:v>
                </c:pt>
                <c:pt idx="2">
                  <c:v>3374</c:v>
                </c:pt>
                <c:pt idx="3">
                  <c:v>11348</c:v>
                </c:pt>
                <c:pt idx="4">
                  <c:v>8768</c:v>
                </c:pt>
                <c:pt idx="5">
                  <c:v>1460</c:v>
                </c:pt>
                <c:pt idx="6">
                  <c:v>5475</c:v>
                </c:pt>
                <c:pt idx="8">
                  <c:v>747</c:v>
                </c:pt>
                <c:pt idx="10">
                  <c:v>8562</c:v>
                </c:pt>
                <c:pt idx="11">
                  <c:v>1472</c:v>
                </c:pt>
                <c:pt idx="13">
                  <c:v>1332</c:v>
                </c:pt>
                <c:pt idx="14">
                  <c:v>10588</c:v>
                </c:pt>
                <c:pt idx="15">
                  <c:v>61384</c:v>
                </c:pt>
                <c:pt idx="18">
                  <c:v>7051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C9-4E24-BA0E-7832A68AAD6C}"/>
            </c:ext>
          </c:extLst>
        </c:ser>
        <c:ser>
          <c:idx val="1"/>
          <c:order val="1"/>
          <c:tx>
            <c:v>계획</c:v>
          </c:tx>
          <c:cat>
            <c:strRef>
              <c:f>'28'!$D$6:$D$27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'28'!$J$6:$J$27</c:f>
              <c:numCache>
                <c:formatCode>_(* #,##0_);_(* \(#,##0\);_(* "-"_);_(@_)</c:formatCode>
                <c:ptCount val="22"/>
                <c:pt idx="0">
                  <c:v>11434</c:v>
                </c:pt>
                <c:pt idx="1">
                  <c:v>1252</c:v>
                </c:pt>
                <c:pt idx="2">
                  <c:v>3374</c:v>
                </c:pt>
                <c:pt idx="3">
                  <c:v>11348</c:v>
                </c:pt>
                <c:pt idx="4">
                  <c:v>8768</c:v>
                </c:pt>
                <c:pt idx="5">
                  <c:v>1460</c:v>
                </c:pt>
                <c:pt idx="6">
                  <c:v>5475</c:v>
                </c:pt>
                <c:pt idx="7">
                  <c:v>927</c:v>
                </c:pt>
                <c:pt idx="8">
                  <c:v>747</c:v>
                </c:pt>
                <c:pt idx="9">
                  <c:v>12356</c:v>
                </c:pt>
                <c:pt idx="10">
                  <c:v>8562</c:v>
                </c:pt>
                <c:pt idx="11">
                  <c:v>1472</c:v>
                </c:pt>
                <c:pt idx="12">
                  <c:v>5090</c:v>
                </c:pt>
                <c:pt idx="13">
                  <c:v>1332</c:v>
                </c:pt>
                <c:pt idx="14">
                  <c:v>10588</c:v>
                </c:pt>
                <c:pt idx="15">
                  <c:v>61384</c:v>
                </c:pt>
                <c:pt idx="16">
                  <c:v>0</c:v>
                </c:pt>
                <c:pt idx="17">
                  <c:v>0</c:v>
                </c:pt>
                <c:pt idx="18">
                  <c:v>7051</c:v>
                </c:pt>
                <c:pt idx="19">
                  <c:v>9988</c:v>
                </c:pt>
                <c:pt idx="20">
                  <c:v>11600</c:v>
                </c:pt>
                <c:pt idx="21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C9-4E24-BA0E-7832A68AA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'28'!$AD$6:$AD$27</c:f>
              <c:strCache>
                <c:ptCount val="22"/>
                <c:pt idx="0">
                  <c:v>100%</c:v>
                </c:pt>
                <c:pt idx="1">
                  <c:v>0%</c:v>
                </c:pt>
                <c:pt idx="2">
                  <c:v>54%</c:v>
                </c:pt>
                <c:pt idx="3">
                  <c:v>100%</c:v>
                </c:pt>
                <c:pt idx="4">
                  <c:v>100%</c:v>
                </c:pt>
                <c:pt idx="5">
                  <c:v>17%</c:v>
                </c:pt>
                <c:pt idx="6">
                  <c:v>100%</c:v>
                </c:pt>
                <c:pt idx="7">
                  <c:v>0%</c:v>
                </c:pt>
                <c:pt idx="8">
                  <c:v>46%</c:v>
                </c:pt>
                <c:pt idx="9">
                  <c:v>0%</c:v>
                </c:pt>
                <c:pt idx="10">
                  <c:v>83%</c:v>
                </c:pt>
                <c:pt idx="11">
                  <c:v>33%</c:v>
                </c:pt>
                <c:pt idx="12">
                  <c:v>0%</c:v>
                </c:pt>
                <c:pt idx="13">
                  <c:v>25%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100%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'28'!$AD$6:$AD$27</c:f>
              <c:numCache>
                <c:formatCode>0%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0.54166666666666663</c:v>
                </c:pt>
                <c:pt idx="3">
                  <c:v>1</c:v>
                </c:pt>
                <c:pt idx="4">
                  <c:v>1</c:v>
                </c:pt>
                <c:pt idx="5">
                  <c:v>0.16666666666666666</c:v>
                </c:pt>
                <c:pt idx="6">
                  <c:v>1</c:v>
                </c:pt>
                <c:pt idx="7">
                  <c:v>0</c:v>
                </c:pt>
                <c:pt idx="8">
                  <c:v>0.45833333333333331</c:v>
                </c:pt>
                <c:pt idx="9">
                  <c:v>0</c:v>
                </c:pt>
                <c:pt idx="10">
                  <c:v>0.83333333333333337</c:v>
                </c:pt>
                <c:pt idx="11">
                  <c:v>0.33333333333333331</c:v>
                </c:pt>
                <c:pt idx="12">
                  <c:v>0</c:v>
                </c:pt>
                <c:pt idx="13">
                  <c:v>0.25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08-4305-9CC9-BC9C2836C6D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C08-4305-9CC9-BC9C2836C6D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'28'!$AE$6:$AE$27</c:f>
              <c:numCache>
                <c:formatCode>0%</c:formatCode>
                <c:ptCount val="22"/>
                <c:pt idx="0">
                  <c:v>0.43560606060606055</c:v>
                </c:pt>
                <c:pt idx="1">
                  <c:v>0.43560606060606055</c:v>
                </c:pt>
                <c:pt idx="2">
                  <c:v>0.43560606060606055</c:v>
                </c:pt>
                <c:pt idx="3">
                  <c:v>0.43560606060606055</c:v>
                </c:pt>
                <c:pt idx="4">
                  <c:v>0.43560606060606055</c:v>
                </c:pt>
                <c:pt idx="5">
                  <c:v>0.43560606060606055</c:v>
                </c:pt>
                <c:pt idx="6">
                  <c:v>0.43560606060606055</c:v>
                </c:pt>
                <c:pt idx="7">
                  <c:v>0.43560606060606055</c:v>
                </c:pt>
                <c:pt idx="8">
                  <c:v>0.43560606060606055</c:v>
                </c:pt>
                <c:pt idx="9">
                  <c:v>0.43560606060606055</c:v>
                </c:pt>
                <c:pt idx="10">
                  <c:v>0.43560606060606055</c:v>
                </c:pt>
                <c:pt idx="11">
                  <c:v>0.43560606060606055</c:v>
                </c:pt>
                <c:pt idx="12">
                  <c:v>0.43560606060606055</c:v>
                </c:pt>
                <c:pt idx="13">
                  <c:v>0.43560606060606055</c:v>
                </c:pt>
                <c:pt idx="14">
                  <c:v>0.43560606060606055</c:v>
                </c:pt>
                <c:pt idx="15">
                  <c:v>0.43560606060606055</c:v>
                </c:pt>
                <c:pt idx="16">
                  <c:v>0.43560606060606055</c:v>
                </c:pt>
                <c:pt idx="17">
                  <c:v>0.43560606060606055</c:v>
                </c:pt>
                <c:pt idx="18">
                  <c:v>0.43560606060606055</c:v>
                </c:pt>
                <c:pt idx="19">
                  <c:v>0.43560606060606055</c:v>
                </c:pt>
                <c:pt idx="20">
                  <c:v>0.43560606060606055</c:v>
                </c:pt>
                <c:pt idx="21">
                  <c:v>0.43560606060606055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08-4305-9CC9-BC9C2836C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'28'!$L$6:$L$27</c:f>
              <c:numCache>
                <c:formatCode>_(* #,##0_);_(* \(#,##0\);_(* "-"_);_(@_)</c:formatCode>
                <c:ptCount val="22"/>
                <c:pt idx="0">
                  <c:v>11434</c:v>
                </c:pt>
                <c:pt idx="2">
                  <c:v>3374</c:v>
                </c:pt>
                <c:pt idx="3">
                  <c:v>11348</c:v>
                </c:pt>
                <c:pt idx="4">
                  <c:v>8768</c:v>
                </c:pt>
                <c:pt idx="5">
                  <c:v>1460</c:v>
                </c:pt>
                <c:pt idx="6">
                  <c:v>5475</c:v>
                </c:pt>
                <c:pt idx="8">
                  <c:v>747</c:v>
                </c:pt>
                <c:pt idx="10">
                  <c:v>8562</c:v>
                </c:pt>
                <c:pt idx="11">
                  <c:v>1472</c:v>
                </c:pt>
                <c:pt idx="13">
                  <c:v>1332</c:v>
                </c:pt>
                <c:pt idx="14">
                  <c:v>10588</c:v>
                </c:pt>
                <c:pt idx="15">
                  <c:v>61384</c:v>
                </c:pt>
                <c:pt idx="18">
                  <c:v>7051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E7-4F7D-993C-B61E1D99DA53}"/>
            </c:ext>
          </c:extLst>
        </c:ser>
        <c:ser>
          <c:idx val="1"/>
          <c:order val="1"/>
          <c:tx>
            <c:v>계획</c:v>
          </c:tx>
          <c:cat>
            <c:strRef>
              <c:f>'28'!$D$6:$D$27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'28'!$J$6:$J$27</c:f>
              <c:numCache>
                <c:formatCode>_(* #,##0_);_(* \(#,##0\);_(* "-"_);_(@_)</c:formatCode>
                <c:ptCount val="22"/>
                <c:pt idx="0">
                  <c:v>11434</c:v>
                </c:pt>
                <c:pt idx="1">
                  <c:v>1252</c:v>
                </c:pt>
                <c:pt idx="2">
                  <c:v>3374</c:v>
                </c:pt>
                <c:pt idx="3">
                  <c:v>11348</c:v>
                </c:pt>
                <c:pt idx="4">
                  <c:v>8768</c:v>
                </c:pt>
                <c:pt idx="5">
                  <c:v>1460</c:v>
                </c:pt>
                <c:pt idx="6">
                  <c:v>5475</c:v>
                </c:pt>
                <c:pt idx="7">
                  <c:v>927</c:v>
                </c:pt>
                <c:pt idx="8">
                  <c:v>747</c:v>
                </c:pt>
                <c:pt idx="9">
                  <c:v>12356</c:v>
                </c:pt>
                <c:pt idx="10">
                  <c:v>8562</c:v>
                </c:pt>
                <c:pt idx="11">
                  <c:v>1472</c:v>
                </c:pt>
                <c:pt idx="12">
                  <c:v>5090</c:v>
                </c:pt>
                <c:pt idx="13">
                  <c:v>1332</c:v>
                </c:pt>
                <c:pt idx="14">
                  <c:v>10588</c:v>
                </c:pt>
                <c:pt idx="15">
                  <c:v>61384</c:v>
                </c:pt>
                <c:pt idx="16">
                  <c:v>0</c:v>
                </c:pt>
                <c:pt idx="17">
                  <c:v>0</c:v>
                </c:pt>
                <c:pt idx="18">
                  <c:v>7051</c:v>
                </c:pt>
                <c:pt idx="19">
                  <c:v>9988</c:v>
                </c:pt>
                <c:pt idx="20">
                  <c:v>11600</c:v>
                </c:pt>
                <c:pt idx="21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E7-4F7D-993C-B61E1D99D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'28'!$AD$6:$AD$27</c:f>
              <c:strCache>
                <c:ptCount val="22"/>
                <c:pt idx="0">
                  <c:v>100%</c:v>
                </c:pt>
                <c:pt idx="1">
                  <c:v>0%</c:v>
                </c:pt>
                <c:pt idx="2">
                  <c:v>54%</c:v>
                </c:pt>
                <c:pt idx="3">
                  <c:v>100%</c:v>
                </c:pt>
                <c:pt idx="4">
                  <c:v>100%</c:v>
                </c:pt>
                <c:pt idx="5">
                  <c:v>17%</c:v>
                </c:pt>
                <c:pt idx="6">
                  <c:v>100%</c:v>
                </c:pt>
                <c:pt idx="7">
                  <c:v>0%</c:v>
                </c:pt>
                <c:pt idx="8">
                  <c:v>46%</c:v>
                </c:pt>
                <c:pt idx="9">
                  <c:v>0%</c:v>
                </c:pt>
                <c:pt idx="10">
                  <c:v>83%</c:v>
                </c:pt>
                <c:pt idx="11">
                  <c:v>33%</c:v>
                </c:pt>
                <c:pt idx="12">
                  <c:v>0%</c:v>
                </c:pt>
                <c:pt idx="13">
                  <c:v>25%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100%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'28'!$AD$6:$AD$27</c:f>
              <c:numCache>
                <c:formatCode>0%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0.54166666666666663</c:v>
                </c:pt>
                <c:pt idx="3">
                  <c:v>1</c:v>
                </c:pt>
                <c:pt idx="4">
                  <c:v>1</c:v>
                </c:pt>
                <c:pt idx="5">
                  <c:v>0.16666666666666666</c:v>
                </c:pt>
                <c:pt idx="6">
                  <c:v>1</c:v>
                </c:pt>
                <c:pt idx="7">
                  <c:v>0</c:v>
                </c:pt>
                <c:pt idx="8">
                  <c:v>0.45833333333333331</c:v>
                </c:pt>
                <c:pt idx="9">
                  <c:v>0</c:v>
                </c:pt>
                <c:pt idx="10">
                  <c:v>0.83333333333333337</c:v>
                </c:pt>
                <c:pt idx="11">
                  <c:v>0.33333333333333331</c:v>
                </c:pt>
                <c:pt idx="12">
                  <c:v>0</c:v>
                </c:pt>
                <c:pt idx="13">
                  <c:v>0.25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AD-415B-BC04-3803A5A5238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DAD-415B-BC04-3803A5A5238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'28'!$AE$6:$AE$27</c:f>
              <c:numCache>
                <c:formatCode>0%</c:formatCode>
                <c:ptCount val="22"/>
                <c:pt idx="0">
                  <c:v>0.43560606060606055</c:v>
                </c:pt>
                <c:pt idx="1">
                  <c:v>0.43560606060606055</c:v>
                </c:pt>
                <c:pt idx="2">
                  <c:v>0.43560606060606055</c:v>
                </c:pt>
                <c:pt idx="3">
                  <c:v>0.43560606060606055</c:v>
                </c:pt>
                <c:pt idx="4">
                  <c:v>0.43560606060606055</c:v>
                </c:pt>
                <c:pt idx="5">
                  <c:v>0.43560606060606055</c:v>
                </c:pt>
                <c:pt idx="6">
                  <c:v>0.43560606060606055</c:v>
                </c:pt>
                <c:pt idx="7">
                  <c:v>0.43560606060606055</c:v>
                </c:pt>
                <c:pt idx="8">
                  <c:v>0.43560606060606055</c:v>
                </c:pt>
                <c:pt idx="9">
                  <c:v>0.43560606060606055</c:v>
                </c:pt>
                <c:pt idx="10">
                  <c:v>0.43560606060606055</c:v>
                </c:pt>
                <c:pt idx="11">
                  <c:v>0.43560606060606055</c:v>
                </c:pt>
                <c:pt idx="12">
                  <c:v>0.43560606060606055</c:v>
                </c:pt>
                <c:pt idx="13">
                  <c:v>0.43560606060606055</c:v>
                </c:pt>
                <c:pt idx="14">
                  <c:v>0.43560606060606055</c:v>
                </c:pt>
                <c:pt idx="15">
                  <c:v>0.43560606060606055</c:v>
                </c:pt>
                <c:pt idx="16">
                  <c:v>0.43560606060606055</c:v>
                </c:pt>
                <c:pt idx="17">
                  <c:v>0.43560606060606055</c:v>
                </c:pt>
                <c:pt idx="18">
                  <c:v>0.43560606060606055</c:v>
                </c:pt>
                <c:pt idx="19">
                  <c:v>0.43560606060606055</c:v>
                </c:pt>
                <c:pt idx="20">
                  <c:v>0.43560606060606055</c:v>
                </c:pt>
                <c:pt idx="21">
                  <c:v>0.43560606060606055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AD-415B-BC04-3803A5A52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9C8-4716-9A2B-3EEEFD658C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0.68147728498178428</c:v>
                </c:pt>
                <c:pt idx="1">
                  <c:v>0.64962121212121204</c:v>
                </c:pt>
                <c:pt idx="2">
                  <c:v>0.37121212121212116</c:v>
                </c:pt>
                <c:pt idx="4">
                  <c:v>0.47282608695652184</c:v>
                </c:pt>
                <c:pt idx="5">
                  <c:v>0.55303030303030298</c:v>
                </c:pt>
                <c:pt idx="6">
                  <c:v>0.45833333333333331</c:v>
                </c:pt>
                <c:pt idx="7">
                  <c:v>0.47282608695652173</c:v>
                </c:pt>
                <c:pt idx="8">
                  <c:v>0.34567901234567905</c:v>
                </c:pt>
                <c:pt idx="9">
                  <c:v>0.41098484848484856</c:v>
                </c:pt>
                <c:pt idx="11">
                  <c:v>0.36742424242424243</c:v>
                </c:pt>
                <c:pt idx="12">
                  <c:v>0.48863636363636354</c:v>
                </c:pt>
                <c:pt idx="13">
                  <c:v>0.59000470952885553</c:v>
                </c:pt>
                <c:pt idx="14">
                  <c:v>0.58712121212121204</c:v>
                </c:pt>
                <c:pt idx="15">
                  <c:v>0.53462982364239564</c:v>
                </c:pt>
                <c:pt idx="16">
                  <c:v>0.45075757575757575</c:v>
                </c:pt>
                <c:pt idx="18">
                  <c:v>0.54356060606060608</c:v>
                </c:pt>
                <c:pt idx="19">
                  <c:v>0.39855072463768115</c:v>
                </c:pt>
                <c:pt idx="20">
                  <c:v>0.29347826086956524</c:v>
                </c:pt>
                <c:pt idx="21">
                  <c:v>0.45619957956867979</c:v>
                </c:pt>
                <c:pt idx="22">
                  <c:v>0.56060606060606066</c:v>
                </c:pt>
                <c:pt idx="23">
                  <c:v>0.45108695652173914</c:v>
                </c:pt>
                <c:pt idx="25">
                  <c:v>0.41493055555555552</c:v>
                </c:pt>
                <c:pt idx="26">
                  <c:v>0.53598484848484851</c:v>
                </c:pt>
                <c:pt idx="27">
                  <c:v>0.43560606060606055</c:v>
                </c:pt>
                <c:pt idx="28">
                  <c:v>0.42234848484848481</c:v>
                </c:pt>
                <c:pt idx="29">
                  <c:v>0.42529900929110415</c:v>
                </c:pt>
                <c:pt idx="31">
                  <c:v>0.41240717878611177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C8-4716-9A2B-3EEEFD658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9C8-4716-9A2B-3EEEFD658C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C8-4716-9A2B-3EEEFD658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UNDER</c:v>
                </c:pt>
                <c:pt idx="9">
                  <c:v>COVER</c:v>
                </c:pt>
                <c:pt idx="10">
                  <c:v>BASE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'29'!$L$6:$L$27</c:f>
              <c:numCache>
                <c:formatCode>_(* #,##0_);_(* \(#,##0\);_(* "-"_);_(@_)</c:formatCode>
                <c:ptCount val="22"/>
                <c:pt idx="0">
                  <c:v>11462</c:v>
                </c:pt>
                <c:pt idx="2">
                  <c:v>6197</c:v>
                </c:pt>
                <c:pt idx="3">
                  <c:v>10430</c:v>
                </c:pt>
                <c:pt idx="4">
                  <c:v>7662</c:v>
                </c:pt>
                <c:pt idx="6">
                  <c:v>4332</c:v>
                </c:pt>
                <c:pt idx="7">
                  <c:v>3204</c:v>
                </c:pt>
                <c:pt idx="8">
                  <c:v>786</c:v>
                </c:pt>
                <c:pt idx="10">
                  <c:v>7350</c:v>
                </c:pt>
                <c:pt idx="12">
                  <c:v>2304</c:v>
                </c:pt>
                <c:pt idx="14">
                  <c:v>2521</c:v>
                </c:pt>
                <c:pt idx="15">
                  <c:v>61404</c:v>
                </c:pt>
                <c:pt idx="18">
                  <c:v>7084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D3-4A23-BF76-91B87FB56CD4}"/>
            </c:ext>
          </c:extLst>
        </c:ser>
        <c:ser>
          <c:idx val="1"/>
          <c:order val="1"/>
          <c:tx>
            <c:v>계획</c:v>
          </c:tx>
          <c:cat>
            <c:strRef>
              <c:f>'29'!$D$6:$D$27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UNDER</c:v>
                </c:pt>
                <c:pt idx="9">
                  <c:v>COVER</c:v>
                </c:pt>
                <c:pt idx="10">
                  <c:v>BASE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'29'!$J$6:$J$27</c:f>
              <c:numCache>
                <c:formatCode>_(* #,##0_);_(* \(#,##0\);_(* "-"_);_(@_)</c:formatCode>
                <c:ptCount val="22"/>
                <c:pt idx="0">
                  <c:v>11462</c:v>
                </c:pt>
                <c:pt idx="1">
                  <c:v>1252</c:v>
                </c:pt>
                <c:pt idx="2">
                  <c:v>6197</c:v>
                </c:pt>
                <c:pt idx="3">
                  <c:v>10430</c:v>
                </c:pt>
                <c:pt idx="4">
                  <c:v>7662</c:v>
                </c:pt>
                <c:pt idx="5">
                  <c:v>1460</c:v>
                </c:pt>
                <c:pt idx="6">
                  <c:v>4332</c:v>
                </c:pt>
                <c:pt idx="7">
                  <c:v>3204</c:v>
                </c:pt>
                <c:pt idx="8">
                  <c:v>786</c:v>
                </c:pt>
                <c:pt idx="9">
                  <c:v>12356</c:v>
                </c:pt>
                <c:pt idx="10">
                  <c:v>7350</c:v>
                </c:pt>
                <c:pt idx="11">
                  <c:v>1472</c:v>
                </c:pt>
                <c:pt idx="12">
                  <c:v>2304</c:v>
                </c:pt>
                <c:pt idx="13">
                  <c:v>1332</c:v>
                </c:pt>
                <c:pt idx="14">
                  <c:v>2521</c:v>
                </c:pt>
                <c:pt idx="15">
                  <c:v>61404</c:v>
                </c:pt>
                <c:pt idx="16">
                  <c:v>0</c:v>
                </c:pt>
                <c:pt idx="17">
                  <c:v>0</c:v>
                </c:pt>
                <c:pt idx="18">
                  <c:v>7084</c:v>
                </c:pt>
                <c:pt idx="19">
                  <c:v>9988</c:v>
                </c:pt>
                <c:pt idx="20">
                  <c:v>11600</c:v>
                </c:pt>
                <c:pt idx="21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D3-4A23-BF76-91B87FB56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'29'!$AD$6:$AD$27</c:f>
              <c:strCache>
                <c:ptCount val="22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75%</c:v>
                </c:pt>
                <c:pt idx="5">
                  <c:v>0%</c:v>
                </c:pt>
                <c:pt idx="6">
                  <c:v>79%</c:v>
                </c:pt>
                <c:pt idx="7">
                  <c:v>71%</c:v>
                </c:pt>
                <c:pt idx="8">
                  <c:v>46%</c:v>
                </c:pt>
                <c:pt idx="9">
                  <c:v>0%</c:v>
                </c:pt>
                <c:pt idx="10">
                  <c:v>67%</c:v>
                </c:pt>
                <c:pt idx="11">
                  <c:v>0%</c:v>
                </c:pt>
                <c:pt idx="12">
                  <c:v>46%</c:v>
                </c:pt>
                <c:pt idx="13">
                  <c:v>0%</c:v>
                </c:pt>
                <c:pt idx="14">
                  <c:v>46%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100%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UNDER</c:v>
                </c:pt>
                <c:pt idx="9">
                  <c:v>COVER</c:v>
                </c:pt>
                <c:pt idx="10">
                  <c:v>BASE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'29'!$AD$6:$AD$27</c:f>
              <c:numCache>
                <c:formatCode>0%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0.75</c:v>
                </c:pt>
                <c:pt idx="5">
                  <c:v>0</c:v>
                </c:pt>
                <c:pt idx="6">
                  <c:v>0.79166666666666663</c:v>
                </c:pt>
                <c:pt idx="7">
                  <c:v>0.70833333333333337</c:v>
                </c:pt>
                <c:pt idx="8">
                  <c:v>0.45833333333333331</c:v>
                </c:pt>
                <c:pt idx="9">
                  <c:v>0</c:v>
                </c:pt>
                <c:pt idx="10">
                  <c:v>0.66666666666666663</c:v>
                </c:pt>
                <c:pt idx="11">
                  <c:v>0</c:v>
                </c:pt>
                <c:pt idx="12">
                  <c:v>0.45833333333333331</c:v>
                </c:pt>
                <c:pt idx="13">
                  <c:v>0</c:v>
                </c:pt>
                <c:pt idx="14">
                  <c:v>0.45833333333333331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F2-49D7-B1BA-01EDD1F91AE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CF2-49D7-B1BA-01EDD1F91AE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UNDER</c:v>
                </c:pt>
                <c:pt idx="9">
                  <c:v>COVER</c:v>
                </c:pt>
                <c:pt idx="10">
                  <c:v>BASE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'29'!$AE$6:$AE$27</c:f>
              <c:numCache>
                <c:formatCode>0%</c:formatCode>
                <c:ptCount val="22"/>
                <c:pt idx="0">
                  <c:v>0.42234848484848481</c:v>
                </c:pt>
                <c:pt idx="1">
                  <c:v>0.42234848484848481</c:v>
                </c:pt>
                <c:pt idx="2">
                  <c:v>0.42234848484848481</c:v>
                </c:pt>
                <c:pt idx="3">
                  <c:v>0.42234848484848481</c:v>
                </c:pt>
                <c:pt idx="4">
                  <c:v>0.42234848484848481</c:v>
                </c:pt>
                <c:pt idx="5">
                  <c:v>0.42234848484848481</c:v>
                </c:pt>
                <c:pt idx="6">
                  <c:v>0.42234848484848481</c:v>
                </c:pt>
                <c:pt idx="7">
                  <c:v>0.42234848484848481</c:v>
                </c:pt>
                <c:pt idx="8">
                  <c:v>0.42234848484848481</c:v>
                </c:pt>
                <c:pt idx="9">
                  <c:v>0.42234848484848481</c:v>
                </c:pt>
                <c:pt idx="10">
                  <c:v>0.42234848484848481</c:v>
                </c:pt>
                <c:pt idx="11">
                  <c:v>0.42234848484848481</c:v>
                </c:pt>
                <c:pt idx="12">
                  <c:v>0.42234848484848481</c:v>
                </c:pt>
                <c:pt idx="13">
                  <c:v>0.42234848484848481</c:v>
                </c:pt>
                <c:pt idx="14">
                  <c:v>0.42234848484848481</c:v>
                </c:pt>
                <c:pt idx="15">
                  <c:v>0.42234848484848481</c:v>
                </c:pt>
                <c:pt idx="16">
                  <c:v>0.42234848484848481</c:v>
                </c:pt>
                <c:pt idx="17">
                  <c:v>0.42234848484848481</c:v>
                </c:pt>
                <c:pt idx="18">
                  <c:v>0.42234848484848481</c:v>
                </c:pt>
                <c:pt idx="19">
                  <c:v>0.42234848484848481</c:v>
                </c:pt>
                <c:pt idx="20">
                  <c:v>0.42234848484848481</c:v>
                </c:pt>
                <c:pt idx="21">
                  <c:v>0.42234848484848481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F2-49D7-B1BA-01EDD1F91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UNDER</c:v>
                </c:pt>
                <c:pt idx="9">
                  <c:v>COVER</c:v>
                </c:pt>
                <c:pt idx="10">
                  <c:v>BASE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'29'!$L$6:$L$27</c:f>
              <c:numCache>
                <c:formatCode>_(* #,##0_);_(* \(#,##0\);_(* "-"_);_(@_)</c:formatCode>
                <c:ptCount val="22"/>
                <c:pt idx="0">
                  <c:v>11462</c:v>
                </c:pt>
                <c:pt idx="2">
                  <c:v>6197</c:v>
                </c:pt>
                <c:pt idx="3">
                  <c:v>10430</c:v>
                </c:pt>
                <c:pt idx="4">
                  <c:v>7662</c:v>
                </c:pt>
                <c:pt idx="6">
                  <c:v>4332</c:v>
                </c:pt>
                <c:pt idx="7">
                  <c:v>3204</c:v>
                </c:pt>
                <c:pt idx="8">
                  <c:v>786</c:v>
                </c:pt>
                <c:pt idx="10">
                  <c:v>7350</c:v>
                </c:pt>
                <c:pt idx="12">
                  <c:v>2304</c:v>
                </c:pt>
                <c:pt idx="14">
                  <c:v>2521</c:v>
                </c:pt>
                <c:pt idx="15">
                  <c:v>61404</c:v>
                </c:pt>
                <c:pt idx="18">
                  <c:v>7084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0E-4C92-9EF7-3FE3F0685034}"/>
            </c:ext>
          </c:extLst>
        </c:ser>
        <c:ser>
          <c:idx val="1"/>
          <c:order val="1"/>
          <c:tx>
            <c:v>계획</c:v>
          </c:tx>
          <c:cat>
            <c:strRef>
              <c:f>'29'!$D$6:$D$27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UNDER</c:v>
                </c:pt>
                <c:pt idx="9">
                  <c:v>COVER</c:v>
                </c:pt>
                <c:pt idx="10">
                  <c:v>BASE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'29'!$J$6:$J$27</c:f>
              <c:numCache>
                <c:formatCode>_(* #,##0_);_(* \(#,##0\);_(* "-"_);_(@_)</c:formatCode>
                <c:ptCount val="22"/>
                <c:pt idx="0">
                  <c:v>11462</c:v>
                </c:pt>
                <c:pt idx="1">
                  <c:v>1252</c:v>
                </c:pt>
                <c:pt idx="2">
                  <c:v>6197</c:v>
                </c:pt>
                <c:pt idx="3">
                  <c:v>10430</c:v>
                </c:pt>
                <c:pt idx="4">
                  <c:v>7662</c:v>
                </c:pt>
                <c:pt idx="5">
                  <c:v>1460</c:v>
                </c:pt>
                <c:pt idx="6">
                  <c:v>4332</c:v>
                </c:pt>
                <c:pt idx="7">
                  <c:v>3204</c:v>
                </c:pt>
                <c:pt idx="8">
                  <c:v>786</c:v>
                </c:pt>
                <c:pt idx="9">
                  <c:v>12356</c:v>
                </c:pt>
                <c:pt idx="10">
                  <c:v>7350</c:v>
                </c:pt>
                <c:pt idx="11">
                  <c:v>1472</c:v>
                </c:pt>
                <c:pt idx="12">
                  <c:v>2304</c:v>
                </c:pt>
                <c:pt idx="13">
                  <c:v>1332</c:v>
                </c:pt>
                <c:pt idx="14">
                  <c:v>2521</c:v>
                </c:pt>
                <c:pt idx="15">
                  <c:v>61404</c:v>
                </c:pt>
                <c:pt idx="16">
                  <c:v>0</c:v>
                </c:pt>
                <c:pt idx="17">
                  <c:v>0</c:v>
                </c:pt>
                <c:pt idx="18">
                  <c:v>7084</c:v>
                </c:pt>
                <c:pt idx="19">
                  <c:v>9988</c:v>
                </c:pt>
                <c:pt idx="20">
                  <c:v>11600</c:v>
                </c:pt>
                <c:pt idx="21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0E-4C92-9EF7-3FE3F0685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'29'!$AD$6:$AD$27</c:f>
              <c:strCache>
                <c:ptCount val="22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75%</c:v>
                </c:pt>
                <c:pt idx="5">
                  <c:v>0%</c:v>
                </c:pt>
                <c:pt idx="6">
                  <c:v>79%</c:v>
                </c:pt>
                <c:pt idx="7">
                  <c:v>71%</c:v>
                </c:pt>
                <c:pt idx="8">
                  <c:v>46%</c:v>
                </c:pt>
                <c:pt idx="9">
                  <c:v>0%</c:v>
                </c:pt>
                <c:pt idx="10">
                  <c:v>67%</c:v>
                </c:pt>
                <c:pt idx="11">
                  <c:v>0%</c:v>
                </c:pt>
                <c:pt idx="12">
                  <c:v>46%</c:v>
                </c:pt>
                <c:pt idx="13">
                  <c:v>0%</c:v>
                </c:pt>
                <c:pt idx="14">
                  <c:v>46%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100%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UNDER</c:v>
                </c:pt>
                <c:pt idx="9">
                  <c:v>COVER</c:v>
                </c:pt>
                <c:pt idx="10">
                  <c:v>BASE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'29'!$AD$6:$AD$27</c:f>
              <c:numCache>
                <c:formatCode>0%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0.75</c:v>
                </c:pt>
                <c:pt idx="5">
                  <c:v>0</c:v>
                </c:pt>
                <c:pt idx="6">
                  <c:v>0.79166666666666663</c:v>
                </c:pt>
                <c:pt idx="7">
                  <c:v>0.70833333333333337</c:v>
                </c:pt>
                <c:pt idx="8">
                  <c:v>0.45833333333333331</c:v>
                </c:pt>
                <c:pt idx="9">
                  <c:v>0</c:v>
                </c:pt>
                <c:pt idx="10">
                  <c:v>0.66666666666666663</c:v>
                </c:pt>
                <c:pt idx="11">
                  <c:v>0</c:v>
                </c:pt>
                <c:pt idx="12">
                  <c:v>0.45833333333333331</c:v>
                </c:pt>
                <c:pt idx="13">
                  <c:v>0</c:v>
                </c:pt>
                <c:pt idx="14">
                  <c:v>0.45833333333333331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26-4907-BE6B-F69ECCC7299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026-4907-BE6B-F69ECCC7299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UNDER</c:v>
                </c:pt>
                <c:pt idx="9">
                  <c:v>COVER</c:v>
                </c:pt>
                <c:pt idx="10">
                  <c:v>BASE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'29'!$AE$6:$AE$27</c:f>
              <c:numCache>
                <c:formatCode>0%</c:formatCode>
                <c:ptCount val="22"/>
                <c:pt idx="0">
                  <c:v>0.42234848484848481</c:v>
                </c:pt>
                <c:pt idx="1">
                  <c:v>0.42234848484848481</c:v>
                </c:pt>
                <c:pt idx="2">
                  <c:v>0.42234848484848481</c:v>
                </c:pt>
                <c:pt idx="3">
                  <c:v>0.42234848484848481</c:v>
                </c:pt>
                <c:pt idx="4">
                  <c:v>0.42234848484848481</c:v>
                </c:pt>
                <c:pt idx="5">
                  <c:v>0.42234848484848481</c:v>
                </c:pt>
                <c:pt idx="6">
                  <c:v>0.42234848484848481</c:v>
                </c:pt>
                <c:pt idx="7">
                  <c:v>0.42234848484848481</c:v>
                </c:pt>
                <c:pt idx="8">
                  <c:v>0.42234848484848481</c:v>
                </c:pt>
                <c:pt idx="9">
                  <c:v>0.42234848484848481</c:v>
                </c:pt>
                <c:pt idx="10">
                  <c:v>0.42234848484848481</c:v>
                </c:pt>
                <c:pt idx="11">
                  <c:v>0.42234848484848481</c:v>
                </c:pt>
                <c:pt idx="12">
                  <c:v>0.42234848484848481</c:v>
                </c:pt>
                <c:pt idx="13">
                  <c:v>0.42234848484848481</c:v>
                </c:pt>
                <c:pt idx="14">
                  <c:v>0.42234848484848481</c:v>
                </c:pt>
                <c:pt idx="15">
                  <c:v>0.42234848484848481</c:v>
                </c:pt>
                <c:pt idx="16">
                  <c:v>0.42234848484848481</c:v>
                </c:pt>
                <c:pt idx="17">
                  <c:v>0.42234848484848481</c:v>
                </c:pt>
                <c:pt idx="18">
                  <c:v>0.42234848484848481</c:v>
                </c:pt>
                <c:pt idx="19">
                  <c:v>0.42234848484848481</c:v>
                </c:pt>
                <c:pt idx="20">
                  <c:v>0.42234848484848481</c:v>
                </c:pt>
                <c:pt idx="21">
                  <c:v>0.42234848484848481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26-4907-BE6B-F69ECCC72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AB9-47D2-9ECD-B5A9FEE786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0.68147728498178428</c:v>
                </c:pt>
                <c:pt idx="1">
                  <c:v>0.64962121212121204</c:v>
                </c:pt>
                <c:pt idx="2">
                  <c:v>0.37121212121212116</c:v>
                </c:pt>
                <c:pt idx="4">
                  <c:v>0.47282608695652184</c:v>
                </c:pt>
                <c:pt idx="5">
                  <c:v>0.55303030303030298</c:v>
                </c:pt>
                <c:pt idx="6">
                  <c:v>0.45833333333333331</c:v>
                </c:pt>
                <c:pt idx="7">
                  <c:v>0.47282608695652173</c:v>
                </c:pt>
                <c:pt idx="8">
                  <c:v>0.34567901234567905</c:v>
                </c:pt>
                <c:pt idx="9">
                  <c:v>0.41098484848484856</c:v>
                </c:pt>
                <c:pt idx="11">
                  <c:v>0.36742424242424243</c:v>
                </c:pt>
                <c:pt idx="12">
                  <c:v>0.48863636363636354</c:v>
                </c:pt>
                <c:pt idx="13">
                  <c:v>0.59000470952885553</c:v>
                </c:pt>
                <c:pt idx="14">
                  <c:v>0.58712121212121204</c:v>
                </c:pt>
                <c:pt idx="15">
                  <c:v>0.53462982364239564</c:v>
                </c:pt>
                <c:pt idx="16">
                  <c:v>0.45075757575757575</c:v>
                </c:pt>
                <c:pt idx="18">
                  <c:v>0.54356060606060608</c:v>
                </c:pt>
                <c:pt idx="19">
                  <c:v>0.39855072463768115</c:v>
                </c:pt>
                <c:pt idx="20">
                  <c:v>0.29347826086956524</c:v>
                </c:pt>
                <c:pt idx="21">
                  <c:v>0.45619957956867979</c:v>
                </c:pt>
                <c:pt idx="22">
                  <c:v>0.56060606060606066</c:v>
                </c:pt>
                <c:pt idx="23">
                  <c:v>0.45108695652173914</c:v>
                </c:pt>
                <c:pt idx="25">
                  <c:v>0.41493055555555552</c:v>
                </c:pt>
                <c:pt idx="26">
                  <c:v>0.53598484848484851</c:v>
                </c:pt>
                <c:pt idx="27">
                  <c:v>0.43560606060606055</c:v>
                </c:pt>
                <c:pt idx="28">
                  <c:v>0.42234848484848481</c:v>
                </c:pt>
                <c:pt idx="29">
                  <c:v>0.42529900929110415</c:v>
                </c:pt>
                <c:pt idx="31">
                  <c:v>0.41240717878611177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B9-47D2-9ECD-B5A9FEE78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AB9-47D2-9ECD-B5A9FEE7860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B9-47D2-9ECD-B5A9FEE78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'30'!$D$6:$D$27</c:f>
              <c:strCache>
                <c:ptCount val="21"/>
                <c:pt idx="0">
                  <c:v>ADAPTER</c:v>
                </c:pt>
                <c:pt idx="2">
                  <c:v>STOPPPER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PLATE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'30'!$L$6:$L$27</c:f>
              <c:numCache>
                <c:formatCode>_(* #,##0_);_(* \(#,##0\);_(* "-"_);_(@_)</c:formatCode>
                <c:ptCount val="22"/>
                <c:pt idx="0">
                  <c:v>11458</c:v>
                </c:pt>
                <c:pt idx="1">
                  <c:v>1500</c:v>
                </c:pt>
                <c:pt idx="2">
                  <c:v>4609</c:v>
                </c:pt>
                <c:pt idx="3">
                  <c:v>3625</c:v>
                </c:pt>
                <c:pt idx="4">
                  <c:v>10808</c:v>
                </c:pt>
                <c:pt idx="6">
                  <c:v>5489</c:v>
                </c:pt>
                <c:pt idx="8">
                  <c:v>0</c:v>
                </c:pt>
                <c:pt idx="10">
                  <c:v>12460</c:v>
                </c:pt>
                <c:pt idx="12">
                  <c:v>2173</c:v>
                </c:pt>
                <c:pt idx="13">
                  <c:v>2129</c:v>
                </c:pt>
                <c:pt idx="14">
                  <c:v>7242</c:v>
                </c:pt>
                <c:pt idx="15">
                  <c:v>61548</c:v>
                </c:pt>
                <c:pt idx="18">
                  <c:v>4297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BB-49AF-A9BD-BC6C35A9F7D7}"/>
            </c:ext>
          </c:extLst>
        </c:ser>
        <c:ser>
          <c:idx val="1"/>
          <c:order val="1"/>
          <c:tx>
            <c:v>계획</c:v>
          </c:tx>
          <c:cat>
            <c:strRef>
              <c:f>'30'!$D$6:$D$27</c:f>
              <c:strCache>
                <c:ptCount val="21"/>
                <c:pt idx="0">
                  <c:v>ADAPTER</c:v>
                </c:pt>
                <c:pt idx="2">
                  <c:v>STOPPPER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PLATE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'30'!$J$6:$J$27</c:f>
              <c:numCache>
                <c:formatCode>_(* #,##0_);_(* \(#,##0\);_(* "-"_);_(@_)</c:formatCode>
                <c:ptCount val="22"/>
                <c:pt idx="0">
                  <c:v>11458</c:v>
                </c:pt>
                <c:pt idx="1">
                  <c:v>1500</c:v>
                </c:pt>
                <c:pt idx="2">
                  <c:v>4609</c:v>
                </c:pt>
                <c:pt idx="3">
                  <c:v>3625</c:v>
                </c:pt>
                <c:pt idx="4">
                  <c:v>10808</c:v>
                </c:pt>
                <c:pt idx="5">
                  <c:v>1460</c:v>
                </c:pt>
                <c:pt idx="6">
                  <c:v>5489</c:v>
                </c:pt>
                <c:pt idx="7">
                  <c:v>3204</c:v>
                </c:pt>
                <c:pt idx="8">
                  <c:v>786</c:v>
                </c:pt>
                <c:pt idx="9">
                  <c:v>12356</c:v>
                </c:pt>
                <c:pt idx="10">
                  <c:v>12460</c:v>
                </c:pt>
                <c:pt idx="11">
                  <c:v>1472</c:v>
                </c:pt>
                <c:pt idx="12">
                  <c:v>2173</c:v>
                </c:pt>
                <c:pt idx="13">
                  <c:v>2129</c:v>
                </c:pt>
                <c:pt idx="14">
                  <c:v>7242</c:v>
                </c:pt>
                <c:pt idx="15">
                  <c:v>61548</c:v>
                </c:pt>
                <c:pt idx="16">
                  <c:v>0</c:v>
                </c:pt>
                <c:pt idx="17">
                  <c:v>0</c:v>
                </c:pt>
                <c:pt idx="18">
                  <c:v>7084</c:v>
                </c:pt>
                <c:pt idx="19">
                  <c:v>9988</c:v>
                </c:pt>
                <c:pt idx="20">
                  <c:v>11600</c:v>
                </c:pt>
                <c:pt idx="21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BB-49AF-A9BD-BC6C35A9F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'30'!$AD$6:$AD$27</c:f>
              <c:strCache>
                <c:ptCount val="22"/>
                <c:pt idx="0">
                  <c:v>100%</c:v>
                </c:pt>
                <c:pt idx="1">
                  <c:v>33%</c:v>
                </c:pt>
                <c:pt idx="2">
                  <c:v>79%</c:v>
                </c:pt>
                <c:pt idx="3">
                  <c:v>75%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54%</c:v>
                </c:pt>
                <c:pt idx="13">
                  <c:v>50%</c:v>
                </c:pt>
                <c:pt idx="14">
                  <c:v>83%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61%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'30'!$D$6:$D$27</c:f>
              <c:strCache>
                <c:ptCount val="21"/>
                <c:pt idx="0">
                  <c:v>ADAPTER</c:v>
                </c:pt>
                <c:pt idx="2">
                  <c:v>STOPPPER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PLATE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'30'!$AD$6:$AD$27</c:f>
              <c:numCache>
                <c:formatCode>0%</c:formatCode>
                <c:ptCount val="22"/>
                <c:pt idx="0">
                  <c:v>1</c:v>
                </c:pt>
                <c:pt idx="1">
                  <c:v>0.33333333333333331</c:v>
                </c:pt>
                <c:pt idx="2">
                  <c:v>0.79166666666666663</c:v>
                </c:pt>
                <c:pt idx="3">
                  <c:v>0.75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0.54166666666666663</c:v>
                </c:pt>
                <c:pt idx="13">
                  <c:v>0.5</c:v>
                </c:pt>
                <c:pt idx="14">
                  <c:v>0.83333333333333337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0.60657820440429133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1C-4729-968D-D11E520BB30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31C-4729-968D-D11E520BB30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'30'!$D$6:$D$27</c:f>
              <c:strCache>
                <c:ptCount val="21"/>
                <c:pt idx="0">
                  <c:v>ADAPTER</c:v>
                </c:pt>
                <c:pt idx="2">
                  <c:v>STOPPPER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PLATE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'30'!$AE$6:$AE$27</c:f>
              <c:numCache>
                <c:formatCode>0%</c:formatCode>
                <c:ptCount val="22"/>
                <c:pt idx="0">
                  <c:v>0.42529900929110415</c:v>
                </c:pt>
                <c:pt idx="1">
                  <c:v>0.42529900929110415</c:v>
                </c:pt>
                <c:pt idx="2">
                  <c:v>0.42529900929110415</c:v>
                </c:pt>
                <c:pt idx="3">
                  <c:v>0.42529900929110415</c:v>
                </c:pt>
                <c:pt idx="4">
                  <c:v>0.42529900929110415</c:v>
                </c:pt>
                <c:pt idx="5">
                  <c:v>0.42529900929110415</c:v>
                </c:pt>
                <c:pt idx="6">
                  <c:v>0.42529900929110415</c:v>
                </c:pt>
                <c:pt idx="7">
                  <c:v>0.42529900929110415</c:v>
                </c:pt>
                <c:pt idx="8">
                  <c:v>0.42529900929110415</c:v>
                </c:pt>
                <c:pt idx="9">
                  <c:v>0.42529900929110415</c:v>
                </c:pt>
                <c:pt idx="10">
                  <c:v>0.42529900929110415</c:v>
                </c:pt>
                <c:pt idx="11">
                  <c:v>0.42529900929110415</c:v>
                </c:pt>
                <c:pt idx="12">
                  <c:v>0.42529900929110415</c:v>
                </c:pt>
                <c:pt idx="13">
                  <c:v>0.42529900929110415</c:v>
                </c:pt>
                <c:pt idx="14">
                  <c:v>0.42529900929110415</c:v>
                </c:pt>
                <c:pt idx="15">
                  <c:v>0.42529900929110415</c:v>
                </c:pt>
                <c:pt idx="16">
                  <c:v>0.42529900929110415</c:v>
                </c:pt>
                <c:pt idx="17">
                  <c:v>0.42529900929110415</c:v>
                </c:pt>
                <c:pt idx="18">
                  <c:v>0.42529900929110415</c:v>
                </c:pt>
                <c:pt idx="19">
                  <c:v>0.42529900929110415</c:v>
                </c:pt>
                <c:pt idx="20">
                  <c:v>0.42529900929110415</c:v>
                </c:pt>
                <c:pt idx="21">
                  <c:v>0.42529900929110415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1C-4729-968D-D11E520BB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'30'!$D$6:$D$27</c:f>
              <c:strCache>
                <c:ptCount val="21"/>
                <c:pt idx="0">
                  <c:v>ADAPTER</c:v>
                </c:pt>
                <c:pt idx="2">
                  <c:v>STOPPPER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PLATE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'30'!$L$6:$L$27</c:f>
              <c:numCache>
                <c:formatCode>_(* #,##0_);_(* \(#,##0\);_(* "-"_);_(@_)</c:formatCode>
                <c:ptCount val="22"/>
                <c:pt idx="0">
                  <c:v>11458</c:v>
                </c:pt>
                <c:pt idx="1">
                  <c:v>1500</c:v>
                </c:pt>
                <c:pt idx="2">
                  <c:v>4609</c:v>
                </c:pt>
                <c:pt idx="3">
                  <c:v>3625</c:v>
                </c:pt>
                <c:pt idx="4">
                  <c:v>10808</c:v>
                </c:pt>
                <c:pt idx="6">
                  <c:v>5489</c:v>
                </c:pt>
                <c:pt idx="8">
                  <c:v>0</c:v>
                </c:pt>
                <c:pt idx="10">
                  <c:v>12460</c:v>
                </c:pt>
                <c:pt idx="12">
                  <c:v>2173</c:v>
                </c:pt>
                <c:pt idx="13">
                  <c:v>2129</c:v>
                </c:pt>
                <c:pt idx="14">
                  <c:v>7242</c:v>
                </c:pt>
                <c:pt idx="15">
                  <c:v>61548</c:v>
                </c:pt>
                <c:pt idx="18">
                  <c:v>4297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AC-4776-9D40-358081434EB8}"/>
            </c:ext>
          </c:extLst>
        </c:ser>
        <c:ser>
          <c:idx val="1"/>
          <c:order val="1"/>
          <c:tx>
            <c:v>계획</c:v>
          </c:tx>
          <c:cat>
            <c:strRef>
              <c:f>'30'!$D$6:$D$27</c:f>
              <c:strCache>
                <c:ptCount val="21"/>
                <c:pt idx="0">
                  <c:v>ADAPTER</c:v>
                </c:pt>
                <c:pt idx="2">
                  <c:v>STOPPPER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PLATE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'30'!$J$6:$J$27</c:f>
              <c:numCache>
                <c:formatCode>_(* #,##0_);_(* \(#,##0\);_(* "-"_);_(@_)</c:formatCode>
                <c:ptCount val="22"/>
                <c:pt idx="0">
                  <c:v>11458</c:v>
                </c:pt>
                <c:pt idx="1">
                  <c:v>1500</c:v>
                </c:pt>
                <c:pt idx="2">
                  <c:v>4609</c:v>
                </c:pt>
                <c:pt idx="3">
                  <c:v>3625</c:v>
                </c:pt>
                <c:pt idx="4">
                  <c:v>10808</c:v>
                </c:pt>
                <c:pt idx="5">
                  <c:v>1460</c:v>
                </c:pt>
                <c:pt idx="6">
                  <c:v>5489</c:v>
                </c:pt>
                <c:pt idx="7">
                  <c:v>3204</c:v>
                </c:pt>
                <c:pt idx="8">
                  <c:v>786</c:v>
                </c:pt>
                <c:pt idx="9">
                  <c:v>12356</c:v>
                </c:pt>
                <c:pt idx="10">
                  <c:v>12460</c:v>
                </c:pt>
                <c:pt idx="11">
                  <c:v>1472</c:v>
                </c:pt>
                <c:pt idx="12">
                  <c:v>2173</c:v>
                </c:pt>
                <c:pt idx="13">
                  <c:v>2129</c:v>
                </c:pt>
                <c:pt idx="14">
                  <c:v>7242</c:v>
                </c:pt>
                <c:pt idx="15">
                  <c:v>61548</c:v>
                </c:pt>
                <c:pt idx="16">
                  <c:v>0</c:v>
                </c:pt>
                <c:pt idx="17">
                  <c:v>0</c:v>
                </c:pt>
                <c:pt idx="18">
                  <c:v>7084</c:v>
                </c:pt>
                <c:pt idx="19">
                  <c:v>9988</c:v>
                </c:pt>
                <c:pt idx="20">
                  <c:v>11600</c:v>
                </c:pt>
                <c:pt idx="21">
                  <c:v>89792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AC-4776-9D40-358081434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'30'!$AD$6:$AD$27</c:f>
              <c:strCache>
                <c:ptCount val="22"/>
                <c:pt idx="0">
                  <c:v>100%</c:v>
                </c:pt>
                <c:pt idx="1">
                  <c:v>33%</c:v>
                </c:pt>
                <c:pt idx="2">
                  <c:v>79%</c:v>
                </c:pt>
                <c:pt idx="3">
                  <c:v>75%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54%</c:v>
                </c:pt>
                <c:pt idx="13">
                  <c:v>50%</c:v>
                </c:pt>
                <c:pt idx="14">
                  <c:v>83%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61%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'30'!$D$6:$D$27</c:f>
              <c:strCache>
                <c:ptCount val="21"/>
                <c:pt idx="0">
                  <c:v>ADAPTER</c:v>
                </c:pt>
                <c:pt idx="2">
                  <c:v>STOPPPER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PLATE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'30'!$AD$6:$AD$27</c:f>
              <c:numCache>
                <c:formatCode>0%</c:formatCode>
                <c:ptCount val="22"/>
                <c:pt idx="0">
                  <c:v>1</c:v>
                </c:pt>
                <c:pt idx="1">
                  <c:v>0.33333333333333331</c:v>
                </c:pt>
                <c:pt idx="2">
                  <c:v>0.79166666666666663</c:v>
                </c:pt>
                <c:pt idx="3">
                  <c:v>0.75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0.54166666666666663</c:v>
                </c:pt>
                <c:pt idx="13">
                  <c:v>0.5</c:v>
                </c:pt>
                <c:pt idx="14">
                  <c:v>0.83333333333333337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0.60657820440429133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3C-49B3-B417-751C029BB5A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83C-49B3-B417-751C029BB5A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'30'!$D$6:$D$27</c:f>
              <c:strCache>
                <c:ptCount val="21"/>
                <c:pt idx="0">
                  <c:v>ADAPTER</c:v>
                </c:pt>
                <c:pt idx="2">
                  <c:v>STOPPPER</c:v>
                </c:pt>
                <c:pt idx="3">
                  <c:v>SLIDER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PLATE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'30'!$AE$6:$AE$27</c:f>
              <c:numCache>
                <c:formatCode>0%</c:formatCode>
                <c:ptCount val="22"/>
                <c:pt idx="0">
                  <c:v>0.42529900929110415</c:v>
                </c:pt>
                <c:pt idx="1">
                  <c:v>0.42529900929110415</c:v>
                </c:pt>
                <c:pt idx="2">
                  <c:v>0.42529900929110415</c:v>
                </c:pt>
                <c:pt idx="3">
                  <c:v>0.42529900929110415</c:v>
                </c:pt>
                <c:pt idx="4">
                  <c:v>0.42529900929110415</c:v>
                </c:pt>
                <c:pt idx="5">
                  <c:v>0.42529900929110415</c:v>
                </c:pt>
                <c:pt idx="6">
                  <c:v>0.42529900929110415</c:v>
                </c:pt>
                <c:pt idx="7">
                  <c:v>0.42529900929110415</c:v>
                </c:pt>
                <c:pt idx="8">
                  <c:v>0.42529900929110415</c:v>
                </c:pt>
                <c:pt idx="9">
                  <c:v>0.42529900929110415</c:v>
                </c:pt>
                <c:pt idx="10">
                  <c:v>0.42529900929110415</c:v>
                </c:pt>
                <c:pt idx="11">
                  <c:v>0.42529900929110415</c:v>
                </c:pt>
                <c:pt idx="12">
                  <c:v>0.42529900929110415</c:v>
                </c:pt>
                <c:pt idx="13">
                  <c:v>0.42529900929110415</c:v>
                </c:pt>
                <c:pt idx="14">
                  <c:v>0.42529900929110415</c:v>
                </c:pt>
                <c:pt idx="15">
                  <c:v>0.42529900929110415</c:v>
                </c:pt>
                <c:pt idx="16">
                  <c:v>0.42529900929110415</c:v>
                </c:pt>
                <c:pt idx="17">
                  <c:v>0.42529900929110415</c:v>
                </c:pt>
                <c:pt idx="18">
                  <c:v>0.42529900929110415</c:v>
                </c:pt>
                <c:pt idx="19">
                  <c:v>0.42529900929110415</c:v>
                </c:pt>
                <c:pt idx="20">
                  <c:v>0.42529900929110415</c:v>
                </c:pt>
                <c:pt idx="21">
                  <c:v>0.42529900929110415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3C-49B3-B417-751C029BB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6D7-4229-A97B-CCA798120E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0.68147728498178428</c:v>
                </c:pt>
                <c:pt idx="1">
                  <c:v>0.64962121212121204</c:v>
                </c:pt>
                <c:pt idx="2">
                  <c:v>0.37121212121212116</c:v>
                </c:pt>
                <c:pt idx="4">
                  <c:v>0.47282608695652184</c:v>
                </c:pt>
                <c:pt idx="5">
                  <c:v>0.55303030303030298</c:v>
                </c:pt>
                <c:pt idx="6">
                  <c:v>0.45833333333333331</c:v>
                </c:pt>
                <c:pt idx="7">
                  <c:v>0.47282608695652173</c:v>
                </c:pt>
                <c:pt idx="8">
                  <c:v>0.34567901234567905</c:v>
                </c:pt>
                <c:pt idx="9">
                  <c:v>0.41098484848484856</c:v>
                </c:pt>
                <c:pt idx="11">
                  <c:v>0.36742424242424243</c:v>
                </c:pt>
                <c:pt idx="12">
                  <c:v>0.48863636363636354</c:v>
                </c:pt>
                <c:pt idx="13">
                  <c:v>0.59000470952885553</c:v>
                </c:pt>
                <c:pt idx="14">
                  <c:v>0.58712121212121204</c:v>
                </c:pt>
                <c:pt idx="15">
                  <c:v>0.53462982364239564</c:v>
                </c:pt>
                <c:pt idx="16">
                  <c:v>0.45075757575757575</c:v>
                </c:pt>
                <c:pt idx="18">
                  <c:v>0.54356060606060608</c:v>
                </c:pt>
                <c:pt idx="19">
                  <c:v>0.39855072463768115</c:v>
                </c:pt>
                <c:pt idx="20">
                  <c:v>0.29347826086956524</c:v>
                </c:pt>
                <c:pt idx="21">
                  <c:v>0.45619957956867979</c:v>
                </c:pt>
                <c:pt idx="22">
                  <c:v>0.56060606060606066</c:v>
                </c:pt>
                <c:pt idx="23">
                  <c:v>0.45108695652173914</c:v>
                </c:pt>
                <c:pt idx="25">
                  <c:v>0.41493055555555552</c:v>
                </c:pt>
                <c:pt idx="26">
                  <c:v>0.53598484848484851</c:v>
                </c:pt>
                <c:pt idx="27">
                  <c:v>0.43560606060606055</c:v>
                </c:pt>
                <c:pt idx="28">
                  <c:v>0.42234848484848481</c:v>
                </c:pt>
                <c:pt idx="29">
                  <c:v>0.42529900929110415</c:v>
                </c:pt>
                <c:pt idx="31">
                  <c:v>0.41240717878611177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D7-4229-A97B-CCA798120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6D7-4229-A97B-CCA798120E2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D7-4229-A97B-CCA798120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03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320477502295683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0.68147728498178428</c:v>
                </c:pt>
                <c:pt idx="1">
                  <c:v>0.64962121212121204</c:v>
                </c:pt>
                <c:pt idx="2">
                  <c:v>0.37121212121212116</c:v>
                </c:pt>
                <c:pt idx="4">
                  <c:v>0.47282608695652184</c:v>
                </c:pt>
                <c:pt idx="5">
                  <c:v>0.55303030303030298</c:v>
                </c:pt>
                <c:pt idx="6">
                  <c:v>0.45833333333333331</c:v>
                </c:pt>
                <c:pt idx="7">
                  <c:v>0.47282608695652173</c:v>
                </c:pt>
                <c:pt idx="8">
                  <c:v>0.34567901234567905</c:v>
                </c:pt>
                <c:pt idx="9">
                  <c:v>0.41098484848484856</c:v>
                </c:pt>
                <c:pt idx="11">
                  <c:v>0.36742424242424243</c:v>
                </c:pt>
                <c:pt idx="12">
                  <c:v>0.48863636363636354</c:v>
                </c:pt>
                <c:pt idx="13">
                  <c:v>0.59000470952885553</c:v>
                </c:pt>
                <c:pt idx="14">
                  <c:v>0.58712121212121204</c:v>
                </c:pt>
                <c:pt idx="15">
                  <c:v>0.53462982364239564</c:v>
                </c:pt>
                <c:pt idx="16">
                  <c:v>0.45075757575757575</c:v>
                </c:pt>
                <c:pt idx="18">
                  <c:v>0.54356060606060608</c:v>
                </c:pt>
                <c:pt idx="19">
                  <c:v>0.39855072463768115</c:v>
                </c:pt>
                <c:pt idx="20">
                  <c:v>0.29347826086956524</c:v>
                </c:pt>
                <c:pt idx="21">
                  <c:v>0.45619957956867979</c:v>
                </c:pt>
                <c:pt idx="22">
                  <c:v>0.56060606060606066</c:v>
                </c:pt>
                <c:pt idx="23">
                  <c:v>0.45108695652173914</c:v>
                </c:pt>
                <c:pt idx="25">
                  <c:v>0.41493055555555552</c:v>
                </c:pt>
                <c:pt idx="26">
                  <c:v>0.53598484848484851</c:v>
                </c:pt>
                <c:pt idx="27">
                  <c:v>0.43560606060606055</c:v>
                </c:pt>
                <c:pt idx="28">
                  <c:v>0.42234848484848481</c:v>
                </c:pt>
                <c:pt idx="29">
                  <c:v>0.42529900929110415</c:v>
                </c:pt>
                <c:pt idx="31">
                  <c:v>0.41240717878611177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03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총괄!$A$3:$A$24</c:f>
              <c:strCache>
                <c:ptCount val="22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  <c:pt idx="15">
                  <c:v>16호기</c:v>
                </c:pt>
                <c:pt idx="16">
                  <c:v>31호기</c:v>
                </c:pt>
                <c:pt idx="17">
                  <c:v>32호기</c:v>
                </c:pt>
                <c:pt idx="18">
                  <c:v>33호기</c:v>
                </c:pt>
                <c:pt idx="19">
                  <c:v>34호기</c:v>
                </c:pt>
                <c:pt idx="20">
                  <c:v>35호기</c:v>
                </c:pt>
                <c:pt idx="21">
                  <c:v>36호기</c:v>
                </c:pt>
              </c:strCache>
            </c:strRef>
          </c:cat>
          <c:val>
            <c:numRef>
              <c:f>총괄!$AG$3:$AG$24</c:f>
              <c:numCache>
                <c:formatCode>0%</c:formatCode>
                <c:ptCount val="22"/>
                <c:pt idx="0">
                  <c:v>0.62916666666666665</c:v>
                </c:pt>
                <c:pt idx="1">
                  <c:v>0.19444444444444448</c:v>
                </c:pt>
                <c:pt idx="2">
                  <c:v>0.45833333333333326</c:v>
                </c:pt>
                <c:pt idx="3">
                  <c:v>0.6611111111111112</c:v>
                </c:pt>
                <c:pt idx="4">
                  <c:v>0.49166666666666675</c:v>
                </c:pt>
                <c:pt idx="5">
                  <c:v>0.39861111111111108</c:v>
                </c:pt>
                <c:pt idx="6">
                  <c:v>0.85555555555555562</c:v>
                </c:pt>
                <c:pt idx="7">
                  <c:v>0.48611111111111122</c:v>
                </c:pt>
                <c:pt idx="8">
                  <c:v>0.11666666666666667</c:v>
                </c:pt>
                <c:pt idx="9">
                  <c:v>5.5555555555555549E-3</c:v>
                </c:pt>
                <c:pt idx="10">
                  <c:v>0.70138888888888895</c:v>
                </c:pt>
                <c:pt idx="11">
                  <c:v>0.39166666666666666</c:v>
                </c:pt>
                <c:pt idx="12">
                  <c:v>0.56404953145917003</c:v>
                </c:pt>
                <c:pt idx="13">
                  <c:v>0.56527777777777788</c:v>
                </c:pt>
                <c:pt idx="14">
                  <c:v>0.75094805508323348</c:v>
                </c:pt>
                <c:pt idx="15">
                  <c:v>0.51666666666666661</c:v>
                </c:pt>
                <c:pt idx="16">
                  <c:v>0</c:v>
                </c:pt>
                <c:pt idx="17">
                  <c:v>0</c:v>
                </c:pt>
                <c:pt idx="18">
                  <c:v>0.72437919725832944</c:v>
                </c:pt>
                <c:pt idx="19">
                  <c:v>0.21615472910927461</c:v>
                </c:pt>
                <c:pt idx="20">
                  <c:v>0.20883362639202882</c:v>
                </c:pt>
                <c:pt idx="21">
                  <c:v>0.36903697694640619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5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5.xml"/><Relationship Id="rId5" Type="http://schemas.openxmlformats.org/officeDocument/2006/relationships/chart" Target="../charts/chart44.xml"/><Relationship Id="rId4" Type="http://schemas.openxmlformats.org/officeDocument/2006/relationships/chart" Target="../charts/chart43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0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7.xml"/><Relationship Id="rId1" Type="http://schemas.openxmlformats.org/officeDocument/2006/relationships/chart" Target="../charts/chart56.xml"/><Relationship Id="rId6" Type="http://schemas.openxmlformats.org/officeDocument/2006/relationships/chart" Target="../charts/chart60.xml"/><Relationship Id="rId5" Type="http://schemas.openxmlformats.org/officeDocument/2006/relationships/chart" Target="../charts/chart59.xml"/><Relationship Id="rId4" Type="http://schemas.openxmlformats.org/officeDocument/2006/relationships/chart" Target="../charts/chart58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6" Type="http://schemas.openxmlformats.org/officeDocument/2006/relationships/chart" Target="../charts/chart65.xml"/><Relationship Id="rId5" Type="http://schemas.openxmlformats.org/officeDocument/2006/relationships/chart" Target="../charts/chart64.xml"/><Relationship Id="rId4" Type="http://schemas.openxmlformats.org/officeDocument/2006/relationships/chart" Target="../charts/chart63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7.xml"/><Relationship Id="rId1" Type="http://schemas.openxmlformats.org/officeDocument/2006/relationships/chart" Target="../charts/chart66.xml"/><Relationship Id="rId6" Type="http://schemas.openxmlformats.org/officeDocument/2006/relationships/chart" Target="../charts/chart70.xml"/><Relationship Id="rId5" Type="http://schemas.openxmlformats.org/officeDocument/2006/relationships/chart" Target="../charts/chart69.xml"/><Relationship Id="rId4" Type="http://schemas.openxmlformats.org/officeDocument/2006/relationships/chart" Target="../charts/chart68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6" Type="http://schemas.openxmlformats.org/officeDocument/2006/relationships/chart" Target="../charts/chart75.xml"/><Relationship Id="rId5" Type="http://schemas.openxmlformats.org/officeDocument/2006/relationships/chart" Target="../charts/chart74.xml"/><Relationship Id="rId4" Type="http://schemas.openxmlformats.org/officeDocument/2006/relationships/chart" Target="../charts/chart73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7.xml"/><Relationship Id="rId1" Type="http://schemas.openxmlformats.org/officeDocument/2006/relationships/chart" Target="../charts/chart76.xml"/><Relationship Id="rId6" Type="http://schemas.openxmlformats.org/officeDocument/2006/relationships/chart" Target="../charts/chart80.xml"/><Relationship Id="rId5" Type="http://schemas.openxmlformats.org/officeDocument/2006/relationships/chart" Target="../charts/chart79.xml"/><Relationship Id="rId4" Type="http://schemas.openxmlformats.org/officeDocument/2006/relationships/chart" Target="../charts/chart78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2.xml"/><Relationship Id="rId1" Type="http://schemas.openxmlformats.org/officeDocument/2006/relationships/chart" Target="../charts/chart81.xml"/><Relationship Id="rId6" Type="http://schemas.openxmlformats.org/officeDocument/2006/relationships/chart" Target="../charts/chart85.xml"/><Relationship Id="rId5" Type="http://schemas.openxmlformats.org/officeDocument/2006/relationships/chart" Target="../charts/chart84.xml"/><Relationship Id="rId4" Type="http://schemas.openxmlformats.org/officeDocument/2006/relationships/chart" Target="../charts/chart83.xml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7.xml"/><Relationship Id="rId1" Type="http://schemas.openxmlformats.org/officeDocument/2006/relationships/chart" Target="../charts/chart86.xml"/><Relationship Id="rId6" Type="http://schemas.openxmlformats.org/officeDocument/2006/relationships/chart" Target="../charts/chart90.xml"/><Relationship Id="rId5" Type="http://schemas.openxmlformats.org/officeDocument/2006/relationships/chart" Target="../charts/chart89.xml"/><Relationship Id="rId4" Type="http://schemas.openxmlformats.org/officeDocument/2006/relationships/chart" Target="../charts/chart88.xml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2.xml"/><Relationship Id="rId1" Type="http://schemas.openxmlformats.org/officeDocument/2006/relationships/chart" Target="../charts/chart91.xml"/><Relationship Id="rId6" Type="http://schemas.openxmlformats.org/officeDocument/2006/relationships/chart" Target="../charts/chart95.xml"/><Relationship Id="rId5" Type="http://schemas.openxmlformats.org/officeDocument/2006/relationships/chart" Target="../charts/chart94.xml"/><Relationship Id="rId4" Type="http://schemas.openxmlformats.org/officeDocument/2006/relationships/chart" Target="../charts/chart93.xml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7.xml"/><Relationship Id="rId1" Type="http://schemas.openxmlformats.org/officeDocument/2006/relationships/chart" Target="../charts/chart96.xml"/><Relationship Id="rId6" Type="http://schemas.openxmlformats.org/officeDocument/2006/relationships/chart" Target="../charts/chart100.xml"/><Relationship Id="rId5" Type="http://schemas.openxmlformats.org/officeDocument/2006/relationships/chart" Target="../charts/chart99.xml"/><Relationship Id="rId4" Type="http://schemas.openxmlformats.org/officeDocument/2006/relationships/chart" Target="../charts/chart98.xml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2.xml"/><Relationship Id="rId1" Type="http://schemas.openxmlformats.org/officeDocument/2006/relationships/chart" Target="../charts/chart101.xml"/><Relationship Id="rId6" Type="http://schemas.openxmlformats.org/officeDocument/2006/relationships/chart" Target="../charts/chart105.xml"/><Relationship Id="rId5" Type="http://schemas.openxmlformats.org/officeDocument/2006/relationships/chart" Target="../charts/chart104.xml"/><Relationship Id="rId4" Type="http://schemas.openxmlformats.org/officeDocument/2006/relationships/chart" Target="../charts/chart103.xml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7.xml"/><Relationship Id="rId1" Type="http://schemas.openxmlformats.org/officeDocument/2006/relationships/chart" Target="../charts/chart106.xml"/><Relationship Id="rId6" Type="http://schemas.openxmlformats.org/officeDocument/2006/relationships/chart" Target="../charts/chart110.xml"/><Relationship Id="rId5" Type="http://schemas.openxmlformats.org/officeDocument/2006/relationships/chart" Target="../charts/chart109.xml"/><Relationship Id="rId4" Type="http://schemas.openxmlformats.org/officeDocument/2006/relationships/chart" Target="../charts/chart108.xml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2.xml"/><Relationship Id="rId1" Type="http://schemas.openxmlformats.org/officeDocument/2006/relationships/chart" Target="../charts/chart111.xml"/><Relationship Id="rId6" Type="http://schemas.openxmlformats.org/officeDocument/2006/relationships/chart" Target="../charts/chart115.xml"/><Relationship Id="rId5" Type="http://schemas.openxmlformats.org/officeDocument/2006/relationships/chart" Target="../charts/chart114.xml"/><Relationship Id="rId4" Type="http://schemas.openxmlformats.org/officeDocument/2006/relationships/chart" Target="../charts/chart113.xml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7.xml"/><Relationship Id="rId1" Type="http://schemas.openxmlformats.org/officeDocument/2006/relationships/chart" Target="../charts/chart116.xml"/><Relationship Id="rId6" Type="http://schemas.openxmlformats.org/officeDocument/2006/relationships/chart" Target="../charts/chart120.xml"/><Relationship Id="rId5" Type="http://schemas.openxmlformats.org/officeDocument/2006/relationships/chart" Target="../charts/chart119.xml"/><Relationship Id="rId4" Type="http://schemas.openxmlformats.org/officeDocument/2006/relationships/chart" Target="../charts/chart118.xml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2.xml"/><Relationship Id="rId1" Type="http://schemas.openxmlformats.org/officeDocument/2006/relationships/chart" Target="../charts/chart121.xml"/><Relationship Id="rId6" Type="http://schemas.openxmlformats.org/officeDocument/2006/relationships/chart" Target="../charts/chart125.xml"/><Relationship Id="rId5" Type="http://schemas.openxmlformats.org/officeDocument/2006/relationships/chart" Target="../charts/chart124.xml"/><Relationship Id="rId4" Type="http://schemas.openxmlformats.org/officeDocument/2006/relationships/chart" Target="../charts/chart123.xml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7.xml"/><Relationship Id="rId1" Type="http://schemas.openxmlformats.org/officeDocument/2006/relationships/chart" Target="../charts/chart126.xml"/><Relationship Id="rId6" Type="http://schemas.openxmlformats.org/officeDocument/2006/relationships/chart" Target="../charts/chart130.xml"/><Relationship Id="rId5" Type="http://schemas.openxmlformats.org/officeDocument/2006/relationships/chart" Target="../charts/chart129.xml"/><Relationship Id="rId4" Type="http://schemas.openxmlformats.org/officeDocument/2006/relationships/chart" Target="../charts/chart128.xml"/></Relationships>
</file>

<file path=xl/drawings/_rels/drawing5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2.xml"/><Relationship Id="rId1" Type="http://schemas.openxmlformats.org/officeDocument/2006/relationships/chart" Target="../charts/chart1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A4FDF6F-4F13-4D22-9A9E-484C5BFE9A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113E190-8913-4C70-87A2-0A84534FDB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855A180-DC58-4D9D-9C15-FD9115068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6714352-EBB6-4F0A-9EB5-C7E2AE37AA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8773D13-121E-470B-9E08-BC0061E61F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6756D7F-780F-4D73-A9FF-8038BC932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E1A2ABD-36E1-4707-AAE2-A670757A9F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2F26FF0-5769-4A1F-8EEE-85B4501D5D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226E9CC-3059-4AFA-A124-0637A15C7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966BEB8-0908-4B6C-A327-7BACD1521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6D4020C-7238-4616-9043-AFA07B32E5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C6CB75E-F49E-4D83-AE0B-DB7AC018C6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86091FC-A76F-45AE-9298-097B18840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4868EF2-E1DB-4B63-90CA-6C154822F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941220C-5AAE-427D-A145-3832D7C0AB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B8738C9-D7B3-4F8F-ABB4-F32E001923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9845178-85E1-49EA-8757-9495A7767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A552635-D822-4738-816E-E55AD7B2E6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7E68378-2850-439B-AFBC-86623E8AF7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377D3AB-FF89-49F7-9FCB-4281C282B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D26EC85-B108-4E69-9E25-7D0A2DC803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1ADCB68-AA65-490A-AB17-6CF7FC11DB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2EC7473-073C-43AC-80D6-782BC4AD45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7B64858-89AE-48F2-9DDE-8CD64954A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FB84F6B-A657-4509-B6E1-807D4AA084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B37B594-3282-4684-BC0E-A2CD39148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5D026D2-9115-434B-B507-301885888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B9A07C7-6087-47B9-8140-0ECE32883F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6BF1EF3-31AD-4E50-B887-2169C6F354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773886F-5F4D-4C29-9851-81DF8E6F02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AC3419B-E7A7-4A3E-AEEF-979A79744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71C8866-698F-423E-BAD2-322D3A28D5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C56E9A1-C9C7-4874-9C49-32A933EEBF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4A50B6A-3566-472C-8999-350CB11EA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033D6D0-A262-4B79-AE11-97CC61018D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84E210C-8EB4-4BEB-BAB4-1F01E2495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A1AF562-EC86-48AD-B66B-1E6D612889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03B752B-BDE6-4080-9724-9B253577A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CB335F6-AE00-4BC1-B9EE-EAC25CE34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56FB032-2BC3-4D6B-8DBE-44A106629E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36DD36B-7829-4B37-ABA5-F6371119D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E810982-1AAE-4BCD-B8CA-39E5D86848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EB9C59D-E175-4CE3-AC96-CF60E6F868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7D7D3C0-2D53-4950-B30D-FF04A2CD9E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6928598-E79A-4F76-B56C-5E17E47BA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FE3368D-0110-490B-B33A-06A0044D8D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53B0701-9B5E-4907-B31B-18733260D0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8C6A6E1-1D9E-4B0F-BF7C-6D7217EF6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33D34CA-170C-4F26-9985-B35E5DB5B6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35</xdr:row>
      <xdr:rowOff>0</xdr:rowOff>
    </xdr:from>
    <xdr:to>
      <xdr:col>12</xdr:col>
      <xdr:colOff>1199028</xdr:colOff>
      <xdr:row>48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E6CB3B1-5FD2-488D-AB58-5B357DFBA6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35</xdr:row>
      <xdr:rowOff>0</xdr:rowOff>
    </xdr:from>
    <xdr:to>
      <xdr:col>29</xdr:col>
      <xdr:colOff>457200</xdr:colOff>
      <xdr:row>48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93CB759-AF93-4D7D-8798-5CF2DEACDE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7FECC86-6459-4A88-A59A-3389398D7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35</xdr:row>
      <xdr:rowOff>0</xdr:rowOff>
    </xdr:from>
    <xdr:to>
      <xdr:col>12</xdr:col>
      <xdr:colOff>1199028</xdr:colOff>
      <xdr:row>48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86236C9-1FB6-4811-9119-74C98AF561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35</xdr:row>
      <xdr:rowOff>0</xdr:rowOff>
    </xdr:from>
    <xdr:to>
      <xdr:col>29</xdr:col>
      <xdr:colOff>457200</xdr:colOff>
      <xdr:row>48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5728F4F-F3F2-4C9A-A887-4D18CE6121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6D4CFC8-E82B-44FE-A595-1B46EB0A7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49</xdr:row>
      <xdr:rowOff>0</xdr:rowOff>
    </xdr:from>
    <xdr:to>
      <xdr:col>29</xdr:col>
      <xdr:colOff>476250</xdr:colOff>
      <xdr:row>57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1B6F630-9384-47B6-AF81-487F4695BD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416F367-A1F4-4906-8006-D63F96DDCE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666C9C2-7BF9-4C7D-9E28-B512666508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9CA8439-D953-4BA1-8EC8-16CEC1B6D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7662864-6903-4646-9DDB-E245894B7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9D66FD1-DD6C-44C0-AAFB-199DBB2DEF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DB2DF0B-2227-4F2C-ADBD-4954475B2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53918EA-F456-4ACF-8DD7-8D5059130C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5B264CA-C53D-4376-AF61-432D88270E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90C71B1-C7A3-4972-A949-1D9CB7B606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2F558C0-D423-4595-9692-B34C3A52B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7D31EB8-91EA-4FC9-A8D1-3436BB109B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57EDF95-A58B-44A3-9070-DE37959F5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D96119D-5121-45C3-9FC6-B6CCC9F4E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3C91432-D3BE-4D28-827A-2A73203008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EAC13F6-C029-490B-A0FC-3577AE5DAE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78FECF1-66B6-4584-9B01-CAD636E41F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8FC13BF-DEA3-4CFC-A264-59F1BE178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2603790-732B-4A09-89F6-5E4F71C66A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19BCC31-08EF-45BE-AE3E-7F14F9AB38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331F610-FC6F-4FF0-8D11-B18E72BBD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E2236F2-61BA-44F1-B4E7-034310738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1DFE0B3-C14E-46B1-9989-F1A5BB69F4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4176D65-3609-4B2B-A8CD-9F0D91D478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58F5EF3-6C61-42E4-BEC5-A60D2AE0F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B6036DF-C745-4D92-8624-23B64DC757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E71DBA9-E0E6-4893-8A45-4622981F78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26F78C9-926C-460F-8F7D-97ECCBED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EC4A5A1-4FAE-413D-A793-8109F3CBEB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3C483EA-0C20-43E4-A740-576B2073C6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9091AB3-86B7-408F-8C70-8490203E74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2715640-A3E0-4FAC-8E23-DD84279C3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E1C29BE-018A-4B66-BE6C-01758ABDAB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674A865-E8BC-465B-8432-CC02B29E4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340C902-DACC-48E3-AE28-01E673087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1BACFA8-C7F7-4F40-99C0-0AC13116FD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1437BD-0542-4E95-87BA-DD5CB8CA44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9472130-F383-44C3-922A-B9F8C1E8B1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F8D0CCF-520D-4FE1-B52A-E403DCA71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14EF178-7FCC-4D65-81DD-1321E1A35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4BF3B13-E2B6-488A-A9AB-8EBF36CA52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AC445C5-46DE-466C-8ADE-CBD9EEFDE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E2D1575-CCCC-41C6-AD43-65A2DBFC78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557580A-57AE-43A6-B803-85344FDB37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98ED98B-65AA-4386-8319-22640217E0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6E9C5B8-B6BA-478B-A3CF-61A28EDAE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B6F520B-6A73-48AF-A720-8F93CE60F3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FAD94D0-4DE1-4E59-89EC-303AFEC071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8475747-FB12-4128-B425-729BA7A60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C992C08-EAE4-40CB-8337-42AEBA43F1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EF16B18-7144-4795-B0C3-C4FC2A5971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9656955-41F1-47E5-AC3B-6C55630A4C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18EC04B-4DF6-47DD-B446-43ACBD31A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76077DB-5D57-44BA-8D0F-BB5DA89D7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A0B6B59-6747-4F4A-8757-AB1E945101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A34DD16-A44A-46E3-A120-BC5D44E2C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ECF05BD-CC9E-4779-876F-944AAF2F4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4639B45-7CD5-45B8-AA10-E143AC0F6D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E8966AB-BDFC-4A6A-B587-A7B9226528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5107D6D-C0EC-4AD6-B532-A0DCD5244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D33B809-7272-4424-A857-EFFF375822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C566775-4EEA-4453-9378-94E7095161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912F411-C5F1-4540-BFB9-6D120720F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9C30D7F-60A3-44AB-9898-326CF7CC5C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D88C0B4-81C9-4821-90D8-BC4041290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FF975E0-9734-4516-85A9-AF514982F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CB09E79-271E-4B79-B6DC-397ADB55E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F049B44-BB5F-4DF3-8A05-1E96C38EAE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0462228-7DD1-44D9-81AF-5BA2E46E8E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00C2A65-F2F3-41EB-BBBB-696AFBA0B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BC2B8A0-57C2-4940-BBC5-A02D4242F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55982ED-A41F-453C-8222-C6770814C1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009E903-E13F-4EFD-AC24-5D76596D5C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89C3955-6910-494A-9A4A-604469B8D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4EE7EFA-8F29-4C58-804F-F67EC9037A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8834256-9DF3-469C-858E-1176579500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13DE239-8DDE-4911-842E-5E2ADCDE1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8FBB5C8-AD72-4EB2-BE69-8ED4C1A7D7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5EC49FF-D133-4704-88D6-C1D64BE010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121248C-7790-4855-BA59-065D160BDC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A689289-FBCB-4CDD-AFEA-AB980814E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0FDDD5A-8954-486E-BF9E-E756CCF747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52AE00A-47B5-465B-95F3-0735260A2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9121399-0004-4A12-9E57-79CC7886B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56F4D0F-1970-4067-B1BC-0C3C06E8DD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49A000B-C6D4-48AB-92D9-E8BCE6B26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777353D-94C0-4C8C-B131-75988AFAD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FE02B0A-CD0B-44F9-9AFD-7ECB6F4FD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4770EBB-0F70-44B1-A8E7-DD66DF7223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06F3268-4449-4C3D-98B8-EBC5CA643A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A479775-AF4F-4A4F-832F-B9AB2444E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B3CF8B4-E541-4751-B7DB-A91EED37C3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0A8FFBA-C898-4A9D-ABC9-B6A73311EB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1116C06-9EED-4122-A248-9E74E399F5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7B33350-A5F7-4B42-8062-7577932EB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A815217-C45C-416E-B2D2-EBA990E06D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4083C42-CA74-4A32-BF5A-698EBB978F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8EAA63D-56D3-4023-8BD0-2C19876D9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46</xdr:row>
      <xdr:rowOff>0</xdr:rowOff>
    </xdr:from>
    <xdr:to>
      <xdr:col>29</xdr:col>
      <xdr:colOff>476250</xdr:colOff>
      <xdr:row>54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8D000A4-7442-4C60-A671-A50C577A6A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284F7F3-BCE0-40CF-BE1E-78DDB60ED2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D280C6D-4289-44A5-9CC4-224A2E2632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F9E930B-9937-4934-B102-2B74A8F01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D90ADED-6B63-4164-B563-7201F29945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0943ECD-BEBA-470C-9912-96E5E4F69E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CC04D94-A284-430D-B162-D2E32354F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8CE1448-AFFA-470B-ACDA-AB38494F8D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EE595EC-37E6-4417-AC53-112410925A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3BCDC16-3F40-4917-8BD4-03FDC4407D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1AB4B2B-248E-4B4F-A2B8-C77412D43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F807824-467B-4C0C-9962-BC001A312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BE4126C-67BC-4B5F-BE49-638CFD6B08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A219E39-9BFD-4939-B90C-A9AAAD0B8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F1AF6F2-923B-447A-BFCA-553624A62C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AABE69F-98E0-4160-925F-642414A80E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8FAE77E-7037-4FB0-BD44-D8D41C259A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88F6F7F-7E1B-4781-95CF-659411CAA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59BFA42-D0B9-4994-8761-5861B4545C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F26F34C-6800-4BBB-BA32-93EE23833F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986F7C3-A57F-47DB-8BEF-D39B5188B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28E65E7-CA05-4E9F-BABD-EF836F5BA2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2681C57-FBF8-406E-81B2-40B8424C53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84371DD-2C4F-47E4-B999-8037C95CE2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EFA6446-5448-4A68-A607-A368CFD3F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53070AC-8592-406D-B266-15BCD2317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EDB1E31-A910-4FF3-96B3-EFF7AB4C91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2BD9942-AE2F-4824-BA93-76DF81772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BEB45EF-F542-41A0-88C2-A030CB42C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26</xdr:row>
      <xdr:rowOff>104775</xdr:rowOff>
    </xdr:from>
    <xdr:to>
      <xdr:col>16</xdr:col>
      <xdr:colOff>66675</xdr:colOff>
      <xdr:row>38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26</xdr:row>
      <xdr:rowOff>123825</xdr:rowOff>
    </xdr:from>
    <xdr:to>
      <xdr:col>32</xdr:col>
      <xdr:colOff>371474</xdr:colOff>
      <xdr:row>38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B9D7-1271-400D-AED3-F9348514AEF7}">
  <dimension ref="A1:AF93"/>
  <sheetViews>
    <sheetView view="pageBreakPreview" zoomScale="70" zoomScaleNormal="72" zoomScaleSheetLayoutView="70" workbookViewId="0">
      <selection activeCell="U20" sqref="U2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50" t="s">
        <v>179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1"/>
      <c r="B3" s="451"/>
      <c r="C3" s="451"/>
      <c r="D3" s="451"/>
      <c r="E3" s="451"/>
      <c r="F3" s="451"/>
      <c r="G3" s="45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52" t="s">
        <v>0</v>
      </c>
      <c r="B4" s="454" t="s">
        <v>1</v>
      </c>
      <c r="C4" s="454" t="s">
        <v>2</v>
      </c>
      <c r="D4" s="457" t="s">
        <v>3</v>
      </c>
      <c r="E4" s="459" t="s">
        <v>4</v>
      </c>
      <c r="F4" s="457" t="s">
        <v>5</v>
      </c>
      <c r="G4" s="454" t="s">
        <v>6</v>
      </c>
      <c r="H4" s="460" t="s">
        <v>7</v>
      </c>
      <c r="I4" s="480" t="s">
        <v>8</v>
      </c>
      <c r="J4" s="481"/>
      <c r="K4" s="481"/>
      <c r="L4" s="481"/>
      <c r="M4" s="481"/>
      <c r="N4" s="481"/>
      <c r="O4" s="482"/>
      <c r="P4" s="483" t="s">
        <v>9</v>
      </c>
      <c r="Q4" s="484"/>
      <c r="R4" s="485" t="s">
        <v>10</v>
      </c>
      <c r="S4" s="485"/>
      <c r="T4" s="485"/>
      <c r="U4" s="485"/>
      <c r="V4" s="485"/>
      <c r="W4" s="486" t="s">
        <v>11</v>
      </c>
      <c r="X4" s="485"/>
      <c r="Y4" s="485"/>
      <c r="Z4" s="485"/>
      <c r="AA4" s="487"/>
      <c r="AB4" s="488" t="s">
        <v>12</v>
      </c>
      <c r="AC4" s="462" t="s">
        <v>13</v>
      </c>
      <c r="AD4" s="462" t="s">
        <v>14</v>
      </c>
      <c r="AE4" s="54"/>
    </row>
    <row r="5" spans="1:32" ht="51" customHeight="1" thickBot="1">
      <c r="A5" s="453"/>
      <c r="B5" s="455"/>
      <c r="C5" s="456"/>
      <c r="D5" s="458"/>
      <c r="E5" s="458"/>
      <c r="F5" s="458"/>
      <c r="G5" s="455"/>
      <c r="H5" s="461"/>
      <c r="I5" s="55" t="s">
        <v>15</v>
      </c>
      <c r="J5" s="56" t="s">
        <v>16</v>
      </c>
      <c r="K5" s="120" t="s">
        <v>17</v>
      </c>
      <c r="L5" s="120" t="s">
        <v>18</v>
      </c>
      <c r="M5" s="120" t="s">
        <v>19</v>
      </c>
      <c r="N5" s="12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89"/>
      <c r="AC5" s="463"/>
      <c r="AD5" s="463"/>
      <c r="AE5" s="54"/>
    </row>
    <row r="6" spans="1:32" ht="27" customHeight="1">
      <c r="A6" s="112">
        <v>1</v>
      </c>
      <c r="B6" s="11" t="s">
        <v>57</v>
      </c>
      <c r="C6" s="34" t="s">
        <v>116</v>
      </c>
      <c r="D6" s="52" t="s">
        <v>130</v>
      </c>
      <c r="E6" s="53" t="s">
        <v>158</v>
      </c>
      <c r="F6" s="30" t="s">
        <v>146</v>
      </c>
      <c r="G6" s="12">
        <v>2</v>
      </c>
      <c r="H6" s="13">
        <v>24</v>
      </c>
      <c r="I6" s="31">
        <v>174000</v>
      </c>
      <c r="J6" s="14">
        <v>8821</v>
      </c>
      <c r="K6" s="15">
        <f>L6+2384+8412+9776</f>
        <v>29393</v>
      </c>
      <c r="L6" s="15">
        <f>3062*2+2697</f>
        <v>8821</v>
      </c>
      <c r="M6" s="15">
        <f t="shared" ref="M6:M27" si="0">L6-N6</f>
        <v>8821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21</v>
      </c>
      <c r="Q6" s="40">
        <f t="shared" ref="Q6:Q27" si="3">SUM(R6:AA6)</f>
        <v>3</v>
      </c>
      <c r="R6" s="7"/>
      <c r="S6" s="6">
        <v>3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0.875</v>
      </c>
      <c r="AD6" s="10">
        <f t="shared" ref="AD6:AD27" si="6">AC6*AB6*(1-O6)</f>
        <v>0.875</v>
      </c>
      <c r="AE6" s="36">
        <f t="shared" ref="AE6:AE26" si="7">$AD$28</f>
        <v>0.68147728498178428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148</v>
      </c>
      <c r="E7" s="53" t="s">
        <v>149</v>
      </c>
      <c r="F7" s="30" t="s">
        <v>147</v>
      </c>
      <c r="G7" s="12">
        <v>1</v>
      </c>
      <c r="H7" s="13">
        <v>24</v>
      </c>
      <c r="I7" s="31">
        <v>18000</v>
      </c>
      <c r="J7" s="14">
        <v>5866</v>
      </c>
      <c r="K7" s="15">
        <f>L7+3479+6290+3687</f>
        <v>19322</v>
      </c>
      <c r="L7" s="15">
        <f>1991+652+3223</f>
        <v>5866</v>
      </c>
      <c r="M7" s="15">
        <f t="shared" si="0"/>
        <v>5866</v>
      </c>
      <c r="N7" s="15">
        <v>0</v>
      </c>
      <c r="O7" s="58">
        <f t="shared" si="1"/>
        <v>0</v>
      </c>
      <c r="P7" s="39">
        <f t="shared" si="2"/>
        <v>21</v>
      </c>
      <c r="Q7" s="40">
        <f t="shared" si="3"/>
        <v>3</v>
      </c>
      <c r="R7" s="7"/>
      <c r="S7" s="6"/>
      <c r="T7" s="16"/>
      <c r="U7" s="16"/>
      <c r="V7" s="17"/>
      <c r="W7" s="5"/>
      <c r="X7" s="16"/>
      <c r="Y7" s="16"/>
      <c r="Z7" s="16"/>
      <c r="AA7" s="18">
        <v>3</v>
      </c>
      <c r="AB7" s="8">
        <f t="shared" si="4"/>
        <v>1</v>
      </c>
      <c r="AC7" s="9">
        <f t="shared" si="5"/>
        <v>0.875</v>
      </c>
      <c r="AD7" s="10">
        <f t="shared" si="6"/>
        <v>0.875</v>
      </c>
      <c r="AE7" s="36">
        <f t="shared" si="7"/>
        <v>0.68147728498178428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143</v>
      </c>
      <c r="D8" s="52" t="s">
        <v>115</v>
      </c>
      <c r="E8" s="53" t="s">
        <v>162</v>
      </c>
      <c r="F8" s="30" t="s">
        <v>144</v>
      </c>
      <c r="G8" s="12">
        <v>4</v>
      </c>
      <c r="H8" s="13">
        <v>24</v>
      </c>
      <c r="I8" s="7">
        <v>85000</v>
      </c>
      <c r="J8" s="5">
        <v>21048</v>
      </c>
      <c r="K8" s="15">
        <f>L8+21244+23732</f>
        <v>66024</v>
      </c>
      <c r="L8" s="15">
        <f>2470*4+2792*4</f>
        <v>21048</v>
      </c>
      <c r="M8" s="15">
        <f t="shared" si="0"/>
        <v>21048</v>
      </c>
      <c r="N8" s="15">
        <v>0</v>
      </c>
      <c r="O8" s="58">
        <f t="shared" si="1"/>
        <v>0</v>
      </c>
      <c r="P8" s="39">
        <f t="shared" si="2"/>
        <v>22</v>
      </c>
      <c r="Q8" s="40">
        <f t="shared" si="3"/>
        <v>2</v>
      </c>
      <c r="R8" s="7"/>
      <c r="S8" s="6">
        <v>2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0.91666666666666663</v>
      </c>
      <c r="AD8" s="10">
        <f t="shared" si="6"/>
        <v>0.91666666666666663</v>
      </c>
      <c r="AE8" s="36">
        <f t="shared" si="7"/>
        <v>0.68147728498178428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143</v>
      </c>
      <c r="D9" s="52" t="s">
        <v>124</v>
      </c>
      <c r="E9" s="53" t="s">
        <v>174</v>
      </c>
      <c r="F9" s="30" t="s">
        <v>144</v>
      </c>
      <c r="G9" s="12">
        <v>4</v>
      </c>
      <c r="H9" s="13">
        <v>24</v>
      </c>
      <c r="I9" s="7">
        <v>85000</v>
      </c>
      <c r="J9" s="14">
        <v>12500</v>
      </c>
      <c r="K9" s="15">
        <f>L9</f>
        <v>12500</v>
      </c>
      <c r="L9" s="15">
        <f>1100*4+2025*4</f>
        <v>12500</v>
      </c>
      <c r="M9" s="15">
        <f t="shared" si="0"/>
        <v>12500</v>
      </c>
      <c r="N9" s="15">
        <v>0</v>
      </c>
      <c r="O9" s="58">
        <f t="shared" si="1"/>
        <v>0</v>
      </c>
      <c r="P9" s="39">
        <f t="shared" si="2"/>
        <v>11</v>
      </c>
      <c r="Q9" s="40">
        <f t="shared" si="3"/>
        <v>13</v>
      </c>
      <c r="R9" s="7"/>
      <c r="S9" s="6">
        <v>13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0.45833333333333331</v>
      </c>
      <c r="AD9" s="10">
        <f t="shared" si="6"/>
        <v>0.45833333333333331</v>
      </c>
      <c r="AE9" s="36">
        <f t="shared" si="7"/>
        <v>0.68147728498178428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116</v>
      </c>
      <c r="D10" s="52" t="s">
        <v>124</v>
      </c>
      <c r="E10" s="53" t="s">
        <v>138</v>
      </c>
      <c r="F10" s="30" t="s">
        <v>131</v>
      </c>
      <c r="G10" s="33">
        <v>1</v>
      </c>
      <c r="H10" s="35">
        <v>24</v>
      </c>
      <c r="I10" s="7">
        <v>27000</v>
      </c>
      <c r="J10" s="14">
        <v>6752</v>
      </c>
      <c r="K10" s="15">
        <f>L10+6380+6789+6692</f>
        <v>26613</v>
      </c>
      <c r="L10" s="15">
        <f>3372+3380</f>
        <v>6752</v>
      </c>
      <c r="M10" s="15">
        <f t="shared" si="0"/>
        <v>6752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0.68147728498178428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116</v>
      </c>
      <c r="D11" s="52" t="s">
        <v>173</v>
      </c>
      <c r="E11" s="53" t="s">
        <v>172</v>
      </c>
      <c r="F11" s="30" t="s">
        <v>187</v>
      </c>
      <c r="G11" s="33">
        <v>32</v>
      </c>
      <c r="H11" s="35">
        <v>24</v>
      </c>
      <c r="I11" s="7">
        <v>300000</v>
      </c>
      <c r="J11" s="14">
        <v>133700</v>
      </c>
      <c r="K11" s="15">
        <f>L11</f>
        <v>133700</v>
      </c>
      <c r="L11" s="15">
        <f>4202*20+2483*20</f>
        <v>133700</v>
      </c>
      <c r="M11" s="15">
        <f t="shared" si="0"/>
        <v>133700</v>
      </c>
      <c r="N11" s="15">
        <v>0</v>
      </c>
      <c r="O11" s="58">
        <f t="shared" si="1"/>
        <v>0</v>
      </c>
      <c r="P11" s="39">
        <f t="shared" si="2"/>
        <v>22</v>
      </c>
      <c r="Q11" s="40">
        <f t="shared" si="3"/>
        <v>2</v>
      </c>
      <c r="R11" s="7"/>
      <c r="S11" s="6"/>
      <c r="T11" s="16">
        <v>2</v>
      </c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0.91666666666666663</v>
      </c>
      <c r="AD11" s="10">
        <f t="shared" si="6"/>
        <v>0.91666666666666663</v>
      </c>
      <c r="AE11" s="36">
        <f t="shared" si="7"/>
        <v>0.68147728498178428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126</v>
      </c>
      <c r="F12" s="30" t="s">
        <v>167</v>
      </c>
      <c r="G12" s="12">
        <v>1</v>
      </c>
      <c r="H12" s="13">
        <v>22</v>
      </c>
      <c r="I12" s="31">
        <v>100000</v>
      </c>
      <c r="J12" s="5">
        <v>5126</v>
      </c>
      <c r="K12" s="15">
        <f>L12+4676+4488</f>
        <v>14290</v>
      </c>
      <c r="L12" s="15">
        <f>2374+2752</f>
        <v>5126</v>
      </c>
      <c r="M12" s="15">
        <f t="shared" si="0"/>
        <v>5126</v>
      </c>
      <c r="N12" s="15">
        <v>0</v>
      </c>
      <c r="O12" s="58">
        <f t="shared" si="1"/>
        <v>0</v>
      </c>
      <c r="P12" s="39">
        <f t="shared" si="2"/>
        <v>23</v>
      </c>
      <c r="Q12" s="40">
        <f t="shared" si="3"/>
        <v>1</v>
      </c>
      <c r="R12" s="7">
        <v>1</v>
      </c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0.95833333333333337</v>
      </c>
      <c r="AD12" s="10">
        <f t="shared" si="6"/>
        <v>0.95833333333333337</v>
      </c>
      <c r="AE12" s="36">
        <f t="shared" si="7"/>
        <v>0.68147728498178428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124</v>
      </c>
      <c r="E13" s="53" t="s">
        <v>168</v>
      </c>
      <c r="F13" s="30" t="s">
        <v>131</v>
      </c>
      <c r="G13" s="33">
        <v>1</v>
      </c>
      <c r="H13" s="35">
        <v>24</v>
      </c>
      <c r="I13" s="7">
        <v>4000</v>
      </c>
      <c r="J13" s="14">
        <v>1346</v>
      </c>
      <c r="K13" s="15">
        <f>L13+1346</f>
        <v>1346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>
        <v>24</v>
      </c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0.68147728498178428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156</v>
      </c>
      <c r="F14" s="30" t="s">
        <v>151</v>
      </c>
      <c r="G14" s="33">
        <v>1</v>
      </c>
      <c r="H14" s="35">
        <v>50</v>
      </c>
      <c r="I14" s="7">
        <v>2500</v>
      </c>
      <c r="J14" s="5">
        <v>800</v>
      </c>
      <c r="K14" s="15">
        <f>L14+893+982+1050+800</f>
        <v>3725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0.68147728498178428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123</v>
      </c>
      <c r="E15" s="53" t="s">
        <v>141</v>
      </c>
      <c r="F15" s="30" t="s">
        <v>135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0.68147728498178428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116</v>
      </c>
      <c r="D16" s="52" t="s">
        <v>150</v>
      </c>
      <c r="E16" s="53" t="s">
        <v>163</v>
      </c>
      <c r="F16" s="30" t="s">
        <v>145</v>
      </c>
      <c r="G16" s="12">
        <v>1</v>
      </c>
      <c r="H16" s="13">
        <v>24</v>
      </c>
      <c r="I16" s="7">
        <v>90000</v>
      </c>
      <c r="J16" s="14">
        <v>5572</v>
      </c>
      <c r="K16" s="15">
        <f>L16+5223+5599+5518</f>
        <v>21912</v>
      </c>
      <c r="L16" s="15">
        <f>2789+2783</f>
        <v>5572</v>
      </c>
      <c r="M16" s="15">
        <f t="shared" si="0"/>
        <v>5572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0.68147728498178428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143</v>
      </c>
      <c r="D17" s="52" t="s">
        <v>150</v>
      </c>
      <c r="E17" s="53" t="s">
        <v>159</v>
      </c>
      <c r="F17" s="30" t="s">
        <v>154</v>
      </c>
      <c r="G17" s="12">
        <v>3</v>
      </c>
      <c r="H17" s="13">
        <v>24</v>
      </c>
      <c r="I17" s="7">
        <v>260000</v>
      </c>
      <c r="J17" s="14">
        <v>17745</v>
      </c>
      <c r="K17" s="15">
        <f>L17+16128+16857+16941+16140+15960+17466+17355</f>
        <v>134592</v>
      </c>
      <c r="L17" s="15">
        <f>2948*3+2967*3</f>
        <v>17745</v>
      </c>
      <c r="M17" s="15">
        <f t="shared" si="0"/>
        <v>17745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0.68147728498178428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153</v>
      </c>
      <c r="F18" s="30" t="s">
        <v>131</v>
      </c>
      <c r="G18" s="33">
        <v>2</v>
      </c>
      <c r="H18" s="35">
        <v>24</v>
      </c>
      <c r="I18" s="7">
        <v>27200</v>
      </c>
      <c r="J18" s="14">
        <v>5790</v>
      </c>
      <c r="K18" s="15">
        <f>L18+5049+2711+6081+2649</f>
        <v>22280</v>
      </c>
      <c r="L18" s="15">
        <f>2895+2895</f>
        <v>5790</v>
      </c>
      <c r="M18" s="15">
        <f t="shared" si="0"/>
        <v>5790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0.68147728498178428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142</v>
      </c>
      <c r="E19" s="53" t="s">
        <v>161</v>
      </c>
      <c r="F19" s="30" t="s">
        <v>134</v>
      </c>
      <c r="G19" s="33">
        <v>1</v>
      </c>
      <c r="H19" s="35">
        <v>24</v>
      </c>
      <c r="I19" s="7">
        <v>39000</v>
      </c>
      <c r="J19" s="14">
        <v>5293</v>
      </c>
      <c r="K19" s="15">
        <f>L19+2260+4771+194+2851+3863+3917+3410+3939</f>
        <v>30498</v>
      </c>
      <c r="L19" s="15">
        <f>2642+2651</f>
        <v>5293</v>
      </c>
      <c r="M19" s="15">
        <f t="shared" si="0"/>
        <v>5293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0.68147728498178428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124</v>
      </c>
      <c r="E20" s="53" t="s">
        <v>168</v>
      </c>
      <c r="F20" s="30" t="s">
        <v>131</v>
      </c>
      <c r="G20" s="12">
        <v>1</v>
      </c>
      <c r="H20" s="13">
        <v>24</v>
      </c>
      <c r="I20" s="7">
        <v>4000</v>
      </c>
      <c r="J20" s="14">
        <v>4090</v>
      </c>
      <c r="K20" s="15">
        <f>L20</f>
        <v>4090</v>
      </c>
      <c r="L20" s="15">
        <f>2625+1465</f>
        <v>4090</v>
      </c>
      <c r="M20" s="15">
        <f t="shared" si="0"/>
        <v>4090</v>
      </c>
      <c r="N20" s="15">
        <v>0</v>
      </c>
      <c r="O20" s="58">
        <f t="shared" si="1"/>
        <v>0</v>
      </c>
      <c r="P20" s="39">
        <f t="shared" si="2"/>
        <v>18</v>
      </c>
      <c r="Q20" s="40">
        <f t="shared" si="3"/>
        <v>6</v>
      </c>
      <c r="R20" s="7"/>
      <c r="S20" s="6"/>
      <c r="T20" s="16"/>
      <c r="U20" s="16"/>
      <c r="V20" s="17"/>
      <c r="W20" s="5"/>
      <c r="X20" s="16"/>
      <c r="Y20" s="16"/>
      <c r="Z20" s="16"/>
      <c r="AA20" s="18">
        <v>6</v>
      </c>
      <c r="AB20" s="8">
        <f t="shared" si="4"/>
        <v>1</v>
      </c>
      <c r="AC20" s="9">
        <f t="shared" si="5"/>
        <v>0.75</v>
      </c>
      <c r="AD20" s="10">
        <f t="shared" si="6"/>
        <v>0.75</v>
      </c>
      <c r="AE20" s="36">
        <f t="shared" si="7"/>
        <v>0.68147728498178428</v>
      </c>
      <c r="AF20" s="84">
        <f t="shared" si="8"/>
        <v>15</v>
      </c>
    </row>
    <row r="21" spans="1:32" ht="27" customHeight="1">
      <c r="A21" s="96">
        <v>16</v>
      </c>
      <c r="B21" s="11" t="s">
        <v>57</v>
      </c>
      <c r="C21" s="11" t="s">
        <v>113</v>
      </c>
      <c r="D21" s="52"/>
      <c r="E21" s="53" t="s">
        <v>139</v>
      </c>
      <c r="F21" s="12" t="s">
        <v>114</v>
      </c>
      <c r="G21" s="12">
        <v>3</v>
      </c>
      <c r="H21" s="35">
        <v>20</v>
      </c>
      <c r="I21" s="7">
        <v>1000000</v>
      </c>
      <c r="J21" s="14">
        <v>34220</v>
      </c>
      <c r="K21" s="15">
        <f t="shared" ref="K21" si="9">L21+62008+65280+66156+31132+60100+67104+64940+66996+38324+18548+31820+33244+32052+33372+27132+34220</f>
        <v>732428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0.68147728498178428</v>
      </c>
      <c r="AF21" s="84">
        <f t="shared" si="8"/>
        <v>16</v>
      </c>
    </row>
    <row r="22" spans="1:32" ht="27" customHeight="1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0.68147728498178428</v>
      </c>
      <c r="AF22" s="84">
        <f t="shared" si="8"/>
        <v>31</v>
      </c>
    </row>
    <row r="23" spans="1:32" ht="27" customHeight="1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0.68147728498178428</v>
      </c>
      <c r="AF23" s="84">
        <f t="shared" si="8"/>
        <v>32</v>
      </c>
    </row>
    <row r="24" spans="1:32" ht="27" customHeight="1">
      <c r="A24" s="96">
        <v>33</v>
      </c>
      <c r="B24" s="11" t="s">
        <v>57</v>
      </c>
      <c r="C24" s="11" t="s">
        <v>116</v>
      </c>
      <c r="D24" s="52" t="s">
        <v>152</v>
      </c>
      <c r="E24" s="53" t="s">
        <v>164</v>
      </c>
      <c r="F24" s="12" t="s">
        <v>134</v>
      </c>
      <c r="G24" s="12">
        <v>4</v>
      </c>
      <c r="H24" s="35">
        <v>20</v>
      </c>
      <c r="I24" s="7">
        <v>240000</v>
      </c>
      <c r="J24" s="14">
        <v>32324</v>
      </c>
      <c r="K24" s="15">
        <f>L24+27572+32268+32324</f>
        <v>124652</v>
      </c>
      <c r="L24" s="15">
        <f>3509*4+4613*4</f>
        <v>32488</v>
      </c>
      <c r="M24" s="15">
        <f t="shared" si="0"/>
        <v>32488</v>
      </c>
      <c r="N24" s="15">
        <v>0</v>
      </c>
      <c r="O24" s="58">
        <f t="shared" si="1"/>
        <v>0</v>
      </c>
      <c r="P24" s="39">
        <f t="shared" si="2"/>
        <v>24</v>
      </c>
      <c r="Q24" s="40">
        <f t="shared" si="3"/>
        <v>0</v>
      </c>
      <c r="R24" s="7"/>
      <c r="S24" s="6"/>
      <c r="T24" s="16"/>
      <c r="U24" s="16"/>
      <c r="V24" s="17"/>
      <c r="W24" s="5"/>
      <c r="X24" s="16"/>
      <c r="Y24" s="16"/>
      <c r="Z24" s="16"/>
      <c r="AA24" s="18"/>
      <c r="AB24" s="8">
        <f t="shared" si="4"/>
        <v>1.0050736295012994</v>
      </c>
      <c r="AC24" s="9">
        <f t="shared" si="5"/>
        <v>1</v>
      </c>
      <c r="AD24" s="10">
        <f t="shared" si="6"/>
        <v>1.0050736295012994</v>
      </c>
      <c r="AE24" s="36">
        <f t="shared" si="7"/>
        <v>0.68147728498178428</v>
      </c>
      <c r="AF24" s="84">
        <f t="shared" si="8"/>
        <v>33</v>
      </c>
    </row>
    <row r="25" spans="1:32" ht="27" customHeight="1">
      <c r="A25" s="96">
        <v>34</v>
      </c>
      <c r="B25" s="11" t="s">
        <v>57</v>
      </c>
      <c r="C25" s="11" t="s">
        <v>116</v>
      </c>
      <c r="D25" s="52" t="s">
        <v>150</v>
      </c>
      <c r="E25" s="53" t="s">
        <v>165</v>
      </c>
      <c r="F25" s="12" t="s">
        <v>135</v>
      </c>
      <c r="G25" s="12">
        <v>4</v>
      </c>
      <c r="H25" s="35">
        <v>20</v>
      </c>
      <c r="I25" s="7">
        <v>240000</v>
      </c>
      <c r="J25" s="14">
        <v>29040</v>
      </c>
      <c r="K25" s="15">
        <f>L25+24768+29084+29040</f>
        <v>112696</v>
      </c>
      <c r="L25" s="15">
        <f>3157*4+4294*4</f>
        <v>29804</v>
      </c>
      <c r="M25" s="15">
        <f t="shared" si="0"/>
        <v>29804</v>
      </c>
      <c r="N25" s="15">
        <v>0</v>
      </c>
      <c r="O25" s="58">
        <f t="shared" si="1"/>
        <v>0</v>
      </c>
      <c r="P25" s="39">
        <f t="shared" si="2"/>
        <v>24</v>
      </c>
      <c r="Q25" s="40">
        <f t="shared" si="3"/>
        <v>0</v>
      </c>
      <c r="R25" s="7"/>
      <c r="S25" s="6"/>
      <c r="T25" s="16"/>
      <c r="U25" s="16"/>
      <c r="V25" s="17"/>
      <c r="W25" s="5"/>
      <c r="X25" s="16"/>
      <c r="Y25" s="16"/>
      <c r="Z25" s="16"/>
      <c r="AA25" s="18"/>
      <c r="AB25" s="8">
        <f t="shared" si="4"/>
        <v>1.0263085399449037</v>
      </c>
      <c r="AC25" s="9">
        <f t="shared" si="5"/>
        <v>1</v>
      </c>
      <c r="AD25" s="10">
        <f t="shared" si="6"/>
        <v>1.0263085399449037</v>
      </c>
      <c r="AE25" s="36">
        <f t="shared" si="7"/>
        <v>0.68147728498178428</v>
      </c>
      <c r="AF25" s="84">
        <f t="shared" si="8"/>
        <v>34</v>
      </c>
    </row>
    <row r="26" spans="1:32" ht="27" customHeight="1">
      <c r="A26" s="96">
        <v>35</v>
      </c>
      <c r="B26" s="11" t="s">
        <v>57</v>
      </c>
      <c r="C26" s="11" t="s">
        <v>116</v>
      </c>
      <c r="D26" s="52" t="s">
        <v>123</v>
      </c>
      <c r="E26" s="53" t="s">
        <v>137</v>
      </c>
      <c r="F26" s="12" t="s">
        <v>135</v>
      </c>
      <c r="G26" s="12">
        <v>4</v>
      </c>
      <c r="H26" s="35">
        <v>20</v>
      </c>
      <c r="I26" s="7">
        <v>240000</v>
      </c>
      <c r="J26" s="14">
        <v>31848</v>
      </c>
      <c r="K26" s="15">
        <f>L26+25004+29968+31848</f>
        <v>116492</v>
      </c>
      <c r="L26" s="15">
        <f>3270*4+4148*4</f>
        <v>29672</v>
      </c>
      <c r="M26" s="15">
        <f t="shared" si="0"/>
        <v>29672</v>
      </c>
      <c r="N26" s="15">
        <v>0</v>
      </c>
      <c r="O26" s="58">
        <f t="shared" si="1"/>
        <v>0</v>
      </c>
      <c r="P26" s="39">
        <f t="shared" si="2"/>
        <v>24</v>
      </c>
      <c r="Q26" s="40">
        <f t="shared" si="3"/>
        <v>0</v>
      </c>
      <c r="R26" s="7"/>
      <c r="S26" s="6"/>
      <c r="T26" s="16"/>
      <c r="U26" s="16"/>
      <c r="V26" s="17"/>
      <c r="W26" s="5"/>
      <c r="X26" s="16"/>
      <c r="Y26" s="16"/>
      <c r="Z26" s="16"/>
      <c r="AA26" s="18"/>
      <c r="AB26" s="8">
        <f t="shared" si="4"/>
        <v>0.93167545842753074</v>
      </c>
      <c r="AC26" s="9">
        <f t="shared" si="5"/>
        <v>1</v>
      </c>
      <c r="AD26" s="10">
        <f t="shared" si="6"/>
        <v>0.93167545842753074</v>
      </c>
      <c r="AE26" s="36">
        <f t="shared" si="7"/>
        <v>0.68147728498178428</v>
      </c>
      <c r="AF26" s="84">
        <f t="shared" si="8"/>
        <v>35</v>
      </c>
    </row>
    <row r="27" spans="1:32" ht="27" customHeight="1" thickBot="1">
      <c r="A27" s="96">
        <v>36</v>
      </c>
      <c r="B27" s="11" t="s">
        <v>57</v>
      </c>
      <c r="C27" s="11" t="s">
        <v>116</v>
      </c>
      <c r="D27" s="52" t="s">
        <v>115</v>
      </c>
      <c r="E27" s="53" t="s">
        <v>166</v>
      </c>
      <c r="F27" s="12" t="s">
        <v>122</v>
      </c>
      <c r="G27" s="12">
        <v>4</v>
      </c>
      <c r="H27" s="35">
        <v>20</v>
      </c>
      <c r="I27" s="7">
        <v>240000</v>
      </c>
      <c r="J27" s="14">
        <v>20956</v>
      </c>
      <c r="K27" s="15">
        <f>L27+22152+26340+20956</f>
        <v>96260</v>
      </c>
      <c r="L27" s="15">
        <f>2907*4+3796*4</f>
        <v>26812</v>
      </c>
      <c r="M27" s="15">
        <f t="shared" si="0"/>
        <v>26812</v>
      </c>
      <c r="N27" s="15">
        <v>0</v>
      </c>
      <c r="O27" s="58">
        <f t="shared" si="1"/>
        <v>0</v>
      </c>
      <c r="P27" s="39">
        <f t="shared" si="2"/>
        <v>24</v>
      </c>
      <c r="Q27" s="40">
        <f t="shared" si="3"/>
        <v>0</v>
      </c>
      <c r="R27" s="7"/>
      <c r="S27" s="6"/>
      <c r="T27" s="16"/>
      <c r="U27" s="16"/>
      <c r="V27" s="17"/>
      <c r="W27" s="5"/>
      <c r="X27" s="16"/>
      <c r="Y27" s="16"/>
      <c r="Z27" s="16"/>
      <c r="AA27" s="18"/>
      <c r="AB27" s="8">
        <f t="shared" si="4"/>
        <v>1.2794426417255202</v>
      </c>
      <c r="AC27" s="9">
        <f t="shared" si="5"/>
        <v>1</v>
      </c>
      <c r="AD27" s="10">
        <f t="shared" si="6"/>
        <v>1.2794426417255202</v>
      </c>
      <c r="AE27" s="36">
        <f>$AD$28</f>
        <v>0.68147728498178428</v>
      </c>
      <c r="AF27" s="84">
        <f t="shared" si="8"/>
        <v>36</v>
      </c>
    </row>
    <row r="28" spans="1:32" ht="31.5" customHeight="1" thickBot="1">
      <c r="A28" s="464" t="s">
        <v>34</v>
      </c>
      <c r="B28" s="465"/>
      <c r="C28" s="465"/>
      <c r="D28" s="465"/>
      <c r="E28" s="465"/>
      <c r="F28" s="465"/>
      <c r="G28" s="465"/>
      <c r="H28" s="466"/>
      <c r="I28" s="22">
        <f t="shared" ref="I28:N28" si="10">SUM(I6:I27)</f>
        <v>3187700</v>
      </c>
      <c r="J28" s="19">
        <f t="shared" si="10"/>
        <v>395193</v>
      </c>
      <c r="K28" s="20">
        <f t="shared" si="10"/>
        <v>1715169</v>
      </c>
      <c r="L28" s="21">
        <f t="shared" si="10"/>
        <v>351079</v>
      </c>
      <c r="M28" s="20">
        <f t="shared" si="10"/>
        <v>351079</v>
      </c>
      <c r="N28" s="21">
        <f t="shared" si="10"/>
        <v>0</v>
      </c>
      <c r="O28" s="41">
        <f t="shared" si="1"/>
        <v>0</v>
      </c>
      <c r="P28" s="42">
        <f t="shared" ref="P28:AA28" si="11">SUM(P6:P27)</f>
        <v>354</v>
      </c>
      <c r="Q28" s="43">
        <f t="shared" si="11"/>
        <v>174</v>
      </c>
      <c r="R28" s="23">
        <f t="shared" si="11"/>
        <v>25</v>
      </c>
      <c r="S28" s="24">
        <f t="shared" si="11"/>
        <v>18</v>
      </c>
      <c r="T28" s="24">
        <f t="shared" si="11"/>
        <v>2</v>
      </c>
      <c r="U28" s="24">
        <f t="shared" si="11"/>
        <v>0</v>
      </c>
      <c r="V28" s="25">
        <f t="shared" si="11"/>
        <v>72</v>
      </c>
      <c r="W28" s="26">
        <f t="shared" si="11"/>
        <v>48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9</v>
      </c>
      <c r="AB28" s="28">
        <f>AVERAGE(AB6:AB27)</f>
        <v>0.81212501347996269</v>
      </c>
      <c r="AC28" s="4">
        <f>AVERAGE(AC6:AC27)</f>
        <v>0.67045454545454541</v>
      </c>
      <c r="AD28" s="4">
        <f>AVERAGE(AD6:AD27)</f>
        <v>0.68147728498178428</v>
      </c>
      <c r="AE28" s="29"/>
    </row>
    <row r="29" spans="1:32">
      <c r="T29" s="50" t="s">
        <v>157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160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67" t="s">
        <v>45</v>
      </c>
      <c r="B55" s="467"/>
      <c r="C55" s="467"/>
      <c r="D55" s="467"/>
      <c r="E55" s="467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68" t="s">
        <v>188</v>
      </c>
      <c r="B56" s="469"/>
      <c r="C56" s="469"/>
      <c r="D56" s="469"/>
      <c r="E56" s="469"/>
      <c r="F56" s="469"/>
      <c r="G56" s="469"/>
      <c r="H56" s="469"/>
      <c r="I56" s="469"/>
      <c r="J56" s="469"/>
      <c r="K56" s="469"/>
      <c r="L56" s="469"/>
      <c r="M56" s="470"/>
      <c r="N56" s="471" t="s">
        <v>200</v>
      </c>
      <c r="O56" s="472"/>
      <c r="P56" s="472"/>
      <c r="Q56" s="472"/>
      <c r="R56" s="472"/>
      <c r="S56" s="472"/>
      <c r="T56" s="472"/>
      <c r="U56" s="472"/>
      <c r="V56" s="472"/>
      <c r="W56" s="472"/>
      <c r="X56" s="472"/>
      <c r="Y56" s="472"/>
      <c r="Z56" s="472"/>
      <c r="AA56" s="472"/>
      <c r="AB56" s="472"/>
      <c r="AC56" s="472"/>
      <c r="AD56" s="473"/>
    </row>
    <row r="57" spans="1:32" ht="27" customHeight="1">
      <c r="A57" s="474" t="s">
        <v>2</v>
      </c>
      <c r="B57" s="475"/>
      <c r="C57" s="121" t="s">
        <v>46</v>
      </c>
      <c r="D57" s="121" t="s">
        <v>47</v>
      </c>
      <c r="E57" s="121" t="s">
        <v>107</v>
      </c>
      <c r="F57" s="476" t="s">
        <v>106</v>
      </c>
      <c r="G57" s="477"/>
      <c r="H57" s="477"/>
      <c r="I57" s="477"/>
      <c r="J57" s="477"/>
      <c r="K57" s="477"/>
      <c r="L57" s="477"/>
      <c r="M57" s="478"/>
      <c r="N57" s="67" t="s">
        <v>110</v>
      </c>
      <c r="O57" s="121" t="s">
        <v>46</v>
      </c>
      <c r="P57" s="476" t="s">
        <v>47</v>
      </c>
      <c r="Q57" s="479"/>
      <c r="R57" s="476" t="s">
        <v>38</v>
      </c>
      <c r="S57" s="477"/>
      <c r="T57" s="477"/>
      <c r="U57" s="479"/>
      <c r="V57" s="476" t="s">
        <v>48</v>
      </c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490" t="s">
        <v>116</v>
      </c>
      <c r="B58" s="491"/>
      <c r="C58" s="123" t="s">
        <v>132</v>
      </c>
      <c r="D58" s="123" t="s">
        <v>130</v>
      </c>
      <c r="E58" s="123" t="s">
        <v>158</v>
      </c>
      <c r="F58" s="492" t="s">
        <v>189</v>
      </c>
      <c r="G58" s="493"/>
      <c r="H58" s="493"/>
      <c r="I58" s="493"/>
      <c r="J58" s="493"/>
      <c r="K58" s="493"/>
      <c r="L58" s="493"/>
      <c r="M58" s="494"/>
      <c r="N58" s="136" t="s">
        <v>116</v>
      </c>
      <c r="O58" s="133" t="s">
        <v>132</v>
      </c>
      <c r="P58" s="495" t="s">
        <v>130</v>
      </c>
      <c r="Q58" s="496"/>
      <c r="R58" s="495" t="s">
        <v>158</v>
      </c>
      <c r="S58" s="497"/>
      <c r="T58" s="497"/>
      <c r="U58" s="496"/>
      <c r="V58" s="498" t="s">
        <v>120</v>
      </c>
      <c r="W58" s="498"/>
      <c r="X58" s="498"/>
      <c r="Y58" s="498"/>
      <c r="Z58" s="498"/>
      <c r="AA58" s="498"/>
      <c r="AB58" s="498"/>
      <c r="AC58" s="498"/>
      <c r="AD58" s="499"/>
    </row>
    <row r="59" spans="1:32" ht="27" customHeight="1">
      <c r="A59" s="500" t="s">
        <v>192</v>
      </c>
      <c r="B59" s="501"/>
      <c r="C59" s="134" t="s">
        <v>193</v>
      </c>
      <c r="D59" s="134" t="s">
        <v>115</v>
      </c>
      <c r="E59" s="135" t="s">
        <v>190</v>
      </c>
      <c r="F59" s="492" t="s">
        <v>191</v>
      </c>
      <c r="G59" s="493"/>
      <c r="H59" s="493"/>
      <c r="I59" s="493"/>
      <c r="J59" s="493"/>
      <c r="K59" s="493"/>
      <c r="L59" s="493"/>
      <c r="M59" s="494"/>
      <c r="N59" s="140" t="s">
        <v>116</v>
      </c>
      <c r="O59" s="137" t="s">
        <v>175</v>
      </c>
      <c r="P59" s="495" t="s">
        <v>140</v>
      </c>
      <c r="Q59" s="496"/>
      <c r="R59" s="495" t="s">
        <v>174</v>
      </c>
      <c r="S59" s="497"/>
      <c r="T59" s="497"/>
      <c r="U59" s="496"/>
      <c r="V59" s="498" t="s">
        <v>120</v>
      </c>
      <c r="W59" s="498"/>
      <c r="X59" s="498"/>
      <c r="Y59" s="498"/>
      <c r="Z59" s="498"/>
      <c r="AA59" s="498"/>
      <c r="AB59" s="498"/>
      <c r="AC59" s="498"/>
      <c r="AD59" s="499"/>
    </row>
    <row r="60" spans="1:32" ht="27" customHeight="1">
      <c r="A60" s="500" t="s">
        <v>192</v>
      </c>
      <c r="B60" s="501"/>
      <c r="C60" s="134" t="s">
        <v>196</v>
      </c>
      <c r="D60" s="134" t="s">
        <v>140</v>
      </c>
      <c r="E60" s="135" t="s">
        <v>194</v>
      </c>
      <c r="F60" s="492" t="s">
        <v>195</v>
      </c>
      <c r="G60" s="493"/>
      <c r="H60" s="493"/>
      <c r="I60" s="493"/>
      <c r="J60" s="493"/>
      <c r="K60" s="493"/>
      <c r="L60" s="493"/>
      <c r="M60" s="494"/>
      <c r="N60" s="122"/>
      <c r="O60" s="129"/>
      <c r="P60" s="495"/>
      <c r="Q60" s="496"/>
      <c r="R60" s="495"/>
      <c r="S60" s="497"/>
      <c r="T60" s="497"/>
      <c r="U60" s="496"/>
      <c r="V60" s="498"/>
      <c r="W60" s="498"/>
      <c r="X60" s="498"/>
      <c r="Y60" s="498"/>
      <c r="Z60" s="498"/>
      <c r="AA60" s="498"/>
      <c r="AB60" s="498"/>
      <c r="AC60" s="498"/>
      <c r="AD60" s="499"/>
    </row>
    <row r="61" spans="1:32" ht="27" customHeight="1">
      <c r="A61" s="500" t="s">
        <v>116</v>
      </c>
      <c r="B61" s="501"/>
      <c r="C61" s="134" t="s">
        <v>155</v>
      </c>
      <c r="D61" s="134" t="s">
        <v>115</v>
      </c>
      <c r="E61" s="135" t="s">
        <v>126</v>
      </c>
      <c r="F61" s="492" t="s">
        <v>120</v>
      </c>
      <c r="G61" s="493"/>
      <c r="H61" s="493"/>
      <c r="I61" s="493"/>
      <c r="J61" s="493"/>
      <c r="K61" s="493"/>
      <c r="L61" s="493"/>
      <c r="M61" s="494"/>
      <c r="N61" s="122"/>
      <c r="O61" s="129"/>
      <c r="P61" s="495"/>
      <c r="Q61" s="496"/>
      <c r="R61" s="495"/>
      <c r="S61" s="497"/>
      <c r="T61" s="497"/>
      <c r="U61" s="496"/>
      <c r="V61" s="498"/>
      <c r="W61" s="498"/>
      <c r="X61" s="498"/>
      <c r="Y61" s="498"/>
      <c r="Z61" s="498"/>
      <c r="AA61" s="498"/>
      <c r="AB61" s="498"/>
      <c r="AC61" s="498"/>
      <c r="AD61" s="499"/>
    </row>
    <row r="62" spans="1:32" ht="27" customHeight="1">
      <c r="A62" s="500" t="s">
        <v>112</v>
      </c>
      <c r="B62" s="501"/>
      <c r="C62" s="138" t="s">
        <v>129</v>
      </c>
      <c r="D62" s="138" t="s">
        <v>140</v>
      </c>
      <c r="E62" s="139" t="s">
        <v>168</v>
      </c>
      <c r="F62" s="492" t="s">
        <v>125</v>
      </c>
      <c r="G62" s="493"/>
      <c r="H62" s="493"/>
      <c r="I62" s="493"/>
      <c r="J62" s="493"/>
      <c r="K62" s="493"/>
      <c r="L62" s="493"/>
      <c r="M62" s="494"/>
      <c r="N62" s="122"/>
      <c r="O62" s="129"/>
      <c r="P62" s="495"/>
      <c r="Q62" s="496"/>
      <c r="R62" s="495"/>
      <c r="S62" s="497"/>
      <c r="T62" s="497"/>
      <c r="U62" s="496"/>
      <c r="V62" s="498"/>
      <c r="W62" s="498"/>
      <c r="X62" s="498"/>
      <c r="Y62" s="498"/>
      <c r="Z62" s="498"/>
      <c r="AA62" s="498"/>
      <c r="AB62" s="498"/>
      <c r="AC62" s="498"/>
      <c r="AD62" s="499"/>
    </row>
    <row r="63" spans="1:32" ht="27" customHeight="1">
      <c r="A63" s="500" t="s">
        <v>116</v>
      </c>
      <c r="B63" s="501"/>
      <c r="C63" s="126" t="s">
        <v>198</v>
      </c>
      <c r="D63" s="126" t="s">
        <v>199</v>
      </c>
      <c r="E63" s="123" t="s">
        <v>197</v>
      </c>
      <c r="F63" s="492" t="s">
        <v>125</v>
      </c>
      <c r="G63" s="493"/>
      <c r="H63" s="493"/>
      <c r="I63" s="493"/>
      <c r="J63" s="493"/>
      <c r="K63" s="493"/>
      <c r="L63" s="493"/>
      <c r="M63" s="494"/>
      <c r="N63" s="122"/>
      <c r="O63" s="129"/>
      <c r="P63" s="495"/>
      <c r="Q63" s="496"/>
      <c r="R63" s="495"/>
      <c r="S63" s="497"/>
      <c r="T63" s="497"/>
      <c r="U63" s="496"/>
      <c r="V63" s="498"/>
      <c r="W63" s="498"/>
      <c r="X63" s="498"/>
      <c r="Y63" s="498"/>
      <c r="Z63" s="498"/>
      <c r="AA63" s="498"/>
      <c r="AB63" s="498"/>
      <c r="AC63" s="498"/>
      <c r="AD63" s="499"/>
    </row>
    <row r="64" spans="1:32" ht="27" customHeight="1">
      <c r="A64" s="490"/>
      <c r="B64" s="491"/>
      <c r="C64" s="123"/>
      <c r="D64" s="123"/>
      <c r="E64" s="123"/>
      <c r="F64" s="492"/>
      <c r="G64" s="493"/>
      <c r="H64" s="493"/>
      <c r="I64" s="493"/>
      <c r="J64" s="493"/>
      <c r="K64" s="493"/>
      <c r="L64" s="493"/>
      <c r="M64" s="494"/>
      <c r="N64" s="122"/>
      <c r="O64" s="129"/>
      <c r="P64" s="495"/>
      <c r="Q64" s="496"/>
      <c r="R64" s="495"/>
      <c r="S64" s="497"/>
      <c r="T64" s="497"/>
      <c r="U64" s="496"/>
      <c r="V64" s="498"/>
      <c r="W64" s="498"/>
      <c r="X64" s="498"/>
      <c r="Y64" s="498"/>
      <c r="Z64" s="498"/>
      <c r="AA64" s="498"/>
      <c r="AB64" s="498"/>
      <c r="AC64" s="498"/>
      <c r="AD64" s="499"/>
    </row>
    <row r="65" spans="1:32" ht="27" customHeight="1">
      <c r="A65" s="500"/>
      <c r="B65" s="501"/>
      <c r="C65" s="126"/>
      <c r="D65" s="126"/>
      <c r="E65" s="123"/>
      <c r="F65" s="492"/>
      <c r="G65" s="493"/>
      <c r="H65" s="493"/>
      <c r="I65" s="493"/>
      <c r="J65" s="493"/>
      <c r="K65" s="493"/>
      <c r="L65" s="493"/>
      <c r="M65" s="494"/>
      <c r="N65" s="122"/>
      <c r="O65" s="129"/>
      <c r="P65" s="495"/>
      <c r="Q65" s="496"/>
      <c r="R65" s="495"/>
      <c r="S65" s="497"/>
      <c r="T65" s="497"/>
      <c r="U65" s="496"/>
      <c r="V65" s="498"/>
      <c r="W65" s="498"/>
      <c r="X65" s="498"/>
      <c r="Y65" s="498"/>
      <c r="Z65" s="498"/>
      <c r="AA65" s="498"/>
      <c r="AB65" s="498"/>
      <c r="AC65" s="498"/>
      <c r="AD65" s="499"/>
    </row>
    <row r="66" spans="1:32" ht="27" customHeight="1">
      <c r="A66" s="500"/>
      <c r="B66" s="501"/>
      <c r="C66" s="126"/>
      <c r="D66" s="126"/>
      <c r="E66" s="123"/>
      <c r="F66" s="492"/>
      <c r="G66" s="493"/>
      <c r="H66" s="493"/>
      <c r="I66" s="493"/>
      <c r="J66" s="493"/>
      <c r="K66" s="493"/>
      <c r="L66" s="493"/>
      <c r="M66" s="494"/>
      <c r="N66" s="122"/>
      <c r="O66" s="129"/>
      <c r="P66" s="491"/>
      <c r="Q66" s="491"/>
      <c r="R66" s="491"/>
      <c r="S66" s="491"/>
      <c r="T66" s="491"/>
      <c r="U66" s="491"/>
      <c r="V66" s="498"/>
      <c r="W66" s="498"/>
      <c r="X66" s="498"/>
      <c r="Y66" s="498"/>
      <c r="Z66" s="498"/>
      <c r="AA66" s="498"/>
      <c r="AB66" s="498"/>
      <c r="AC66" s="498"/>
      <c r="AD66" s="499"/>
      <c r="AF66" s="84">
        <f>8*3000</f>
        <v>24000</v>
      </c>
    </row>
    <row r="67" spans="1:32" ht="27" customHeight="1" thickBot="1">
      <c r="A67" s="502"/>
      <c r="B67" s="503"/>
      <c r="C67" s="124"/>
      <c r="D67" s="125"/>
      <c r="E67" s="124"/>
      <c r="F67" s="504"/>
      <c r="G67" s="505"/>
      <c r="H67" s="505"/>
      <c r="I67" s="505"/>
      <c r="J67" s="505"/>
      <c r="K67" s="505"/>
      <c r="L67" s="505"/>
      <c r="M67" s="506"/>
      <c r="N67" s="111"/>
      <c r="O67" s="103"/>
      <c r="P67" s="507"/>
      <c r="Q67" s="507"/>
      <c r="R67" s="507"/>
      <c r="S67" s="507"/>
      <c r="T67" s="507"/>
      <c r="U67" s="507"/>
      <c r="V67" s="508"/>
      <c r="W67" s="508"/>
      <c r="X67" s="508"/>
      <c r="Y67" s="508"/>
      <c r="Z67" s="508"/>
      <c r="AA67" s="508"/>
      <c r="AB67" s="508"/>
      <c r="AC67" s="508"/>
      <c r="AD67" s="509"/>
      <c r="AF67" s="84">
        <f>16*3000</f>
        <v>48000</v>
      </c>
    </row>
    <row r="68" spans="1:32" ht="27.75" thickBot="1">
      <c r="A68" s="510" t="s">
        <v>201</v>
      </c>
      <c r="B68" s="510"/>
      <c r="C68" s="510"/>
      <c r="D68" s="510"/>
      <c r="E68" s="51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11" t="s">
        <v>111</v>
      </c>
      <c r="B69" s="512"/>
      <c r="C69" s="127" t="s">
        <v>2</v>
      </c>
      <c r="D69" s="127" t="s">
        <v>37</v>
      </c>
      <c r="E69" s="127" t="s">
        <v>3</v>
      </c>
      <c r="F69" s="512" t="s">
        <v>109</v>
      </c>
      <c r="G69" s="512"/>
      <c r="H69" s="512"/>
      <c r="I69" s="512"/>
      <c r="J69" s="512"/>
      <c r="K69" s="512" t="s">
        <v>39</v>
      </c>
      <c r="L69" s="512"/>
      <c r="M69" s="127" t="s">
        <v>40</v>
      </c>
      <c r="N69" s="512" t="s">
        <v>41</v>
      </c>
      <c r="O69" s="512"/>
      <c r="P69" s="513" t="s">
        <v>42</v>
      </c>
      <c r="Q69" s="514"/>
      <c r="R69" s="513" t="s">
        <v>43</v>
      </c>
      <c r="S69" s="515"/>
      <c r="T69" s="515"/>
      <c r="U69" s="515"/>
      <c r="V69" s="515"/>
      <c r="W69" s="515"/>
      <c r="X69" s="515"/>
      <c r="Y69" s="515"/>
      <c r="Z69" s="515"/>
      <c r="AA69" s="514"/>
      <c r="AB69" s="512" t="s">
        <v>44</v>
      </c>
      <c r="AC69" s="512"/>
      <c r="AD69" s="516"/>
      <c r="AF69" s="84">
        <f>SUM(AF66:AF68)</f>
        <v>96000</v>
      </c>
    </row>
    <row r="70" spans="1:32" ht="25.5" customHeight="1">
      <c r="A70" s="517">
        <v>1</v>
      </c>
      <c r="B70" s="518"/>
      <c r="C70" s="104" t="s">
        <v>170</v>
      </c>
      <c r="D70" s="131"/>
      <c r="E70" s="128" t="s">
        <v>171</v>
      </c>
      <c r="F70" s="519" t="s">
        <v>176</v>
      </c>
      <c r="G70" s="520"/>
      <c r="H70" s="520"/>
      <c r="I70" s="520"/>
      <c r="J70" s="521"/>
      <c r="K70" s="522" t="s">
        <v>177</v>
      </c>
      <c r="L70" s="522"/>
      <c r="M70" s="51" t="s">
        <v>178</v>
      </c>
      <c r="N70" s="523" t="s">
        <v>169</v>
      </c>
      <c r="O70" s="523"/>
      <c r="P70" s="524">
        <v>240</v>
      </c>
      <c r="Q70" s="524"/>
      <c r="R70" s="498"/>
      <c r="S70" s="498"/>
      <c r="T70" s="498"/>
      <c r="U70" s="498"/>
      <c r="V70" s="498"/>
      <c r="W70" s="498"/>
      <c r="X70" s="498"/>
      <c r="Y70" s="498"/>
      <c r="Z70" s="498"/>
      <c r="AA70" s="498"/>
      <c r="AB70" s="522"/>
      <c r="AC70" s="522"/>
      <c r="AD70" s="525"/>
      <c r="AF70" s="50"/>
    </row>
    <row r="71" spans="1:32" ht="25.5" customHeight="1">
      <c r="A71" s="517">
        <v>2</v>
      </c>
      <c r="B71" s="518"/>
      <c r="C71" s="104" t="s">
        <v>203</v>
      </c>
      <c r="D71" s="131"/>
      <c r="E71" s="128" t="s">
        <v>204</v>
      </c>
      <c r="F71" s="519" t="s">
        <v>202</v>
      </c>
      <c r="G71" s="520"/>
      <c r="H71" s="520"/>
      <c r="I71" s="520"/>
      <c r="J71" s="521"/>
      <c r="K71" s="522">
        <v>7301</v>
      </c>
      <c r="L71" s="522"/>
      <c r="M71" s="51" t="s">
        <v>205</v>
      </c>
      <c r="N71" s="523" t="s">
        <v>206</v>
      </c>
      <c r="O71" s="523"/>
      <c r="P71" s="524">
        <v>50</v>
      </c>
      <c r="Q71" s="524"/>
      <c r="R71" s="498"/>
      <c r="S71" s="498"/>
      <c r="T71" s="498"/>
      <c r="U71" s="498"/>
      <c r="V71" s="498"/>
      <c r="W71" s="498"/>
      <c r="X71" s="498"/>
      <c r="Y71" s="498"/>
      <c r="Z71" s="498"/>
      <c r="AA71" s="498"/>
      <c r="AB71" s="522"/>
      <c r="AC71" s="522"/>
      <c r="AD71" s="525"/>
      <c r="AF71" s="50"/>
    </row>
    <row r="72" spans="1:32" ht="25.5" customHeight="1">
      <c r="A72" s="517">
        <v>3</v>
      </c>
      <c r="B72" s="518"/>
      <c r="C72" s="104" t="s">
        <v>208</v>
      </c>
      <c r="D72" s="131"/>
      <c r="E72" s="128" t="s">
        <v>209</v>
      </c>
      <c r="F72" s="519" t="s">
        <v>207</v>
      </c>
      <c r="G72" s="520"/>
      <c r="H72" s="520"/>
      <c r="I72" s="520"/>
      <c r="J72" s="521"/>
      <c r="K72" s="522" t="s">
        <v>210</v>
      </c>
      <c r="L72" s="522"/>
      <c r="M72" s="51" t="s">
        <v>211</v>
      </c>
      <c r="N72" s="523" t="s">
        <v>212</v>
      </c>
      <c r="O72" s="523"/>
      <c r="P72" s="524">
        <v>400</v>
      </c>
      <c r="Q72" s="524"/>
      <c r="R72" s="498"/>
      <c r="S72" s="498"/>
      <c r="T72" s="498"/>
      <c r="U72" s="498"/>
      <c r="V72" s="498"/>
      <c r="W72" s="498"/>
      <c r="X72" s="498"/>
      <c r="Y72" s="498"/>
      <c r="Z72" s="498"/>
      <c r="AA72" s="498"/>
      <c r="AB72" s="522"/>
      <c r="AC72" s="522"/>
      <c r="AD72" s="525"/>
      <c r="AF72" s="50"/>
    </row>
    <row r="73" spans="1:32" ht="25.5" customHeight="1">
      <c r="A73" s="517">
        <v>4</v>
      </c>
      <c r="B73" s="518"/>
      <c r="C73" s="104"/>
      <c r="D73" s="131"/>
      <c r="E73" s="128"/>
      <c r="F73" s="519"/>
      <c r="G73" s="520"/>
      <c r="H73" s="520"/>
      <c r="I73" s="520"/>
      <c r="J73" s="521"/>
      <c r="K73" s="522"/>
      <c r="L73" s="522"/>
      <c r="M73" s="51"/>
      <c r="N73" s="523"/>
      <c r="O73" s="523"/>
      <c r="P73" s="524"/>
      <c r="Q73" s="524"/>
      <c r="R73" s="498"/>
      <c r="S73" s="498"/>
      <c r="T73" s="498"/>
      <c r="U73" s="498"/>
      <c r="V73" s="498"/>
      <c r="W73" s="498"/>
      <c r="X73" s="498"/>
      <c r="Y73" s="498"/>
      <c r="Z73" s="498"/>
      <c r="AA73" s="498"/>
      <c r="AB73" s="522"/>
      <c r="AC73" s="522"/>
      <c r="AD73" s="525"/>
      <c r="AF73" s="50"/>
    </row>
    <row r="74" spans="1:32" ht="25.5" customHeight="1">
      <c r="A74" s="517">
        <v>5</v>
      </c>
      <c r="B74" s="518"/>
      <c r="C74" s="104"/>
      <c r="D74" s="131"/>
      <c r="E74" s="128"/>
      <c r="F74" s="519"/>
      <c r="G74" s="520"/>
      <c r="H74" s="520"/>
      <c r="I74" s="520"/>
      <c r="J74" s="521"/>
      <c r="K74" s="522"/>
      <c r="L74" s="522"/>
      <c r="M74" s="51"/>
      <c r="N74" s="523"/>
      <c r="O74" s="523"/>
      <c r="P74" s="524"/>
      <c r="Q74" s="524"/>
      <c r="R74" s="498"/>
      <c r="S74" s="498"/>
      <c r="T74" s="498"/>
      <c r="U74" s="498"/>
      <c r="V74" s="498"/>
      <c r="W74" s="498"/>
      <c r="X74" s="498"/>
      <c r="Y74" s="498"/>
      <c r="Z74" s="498"/>
      <c r="AA74" s="498"/>
      <c r="AB74" s="522"/>
      <c r="AC74" s="522"/>
      <c r="AD74" s="525"/>
      <c r="AF74" s="50"/>
    </row>
    <row r="75" spans="1:32" ht="25.5" customHeight="1">
      <c r="A75" s="517">
        <v>6</v>
      </c>
      <c r="B75" s="518"/>
      <c r="C75" s="104"/>
      <c r="D75" s="131"/>
      <c r="E75" s="128"/>
      <c r="F75" s="519"/>
      <c r="G75" s="520"/>
      <c r="H75" s="520"/>
      <c r="I75" s="520"/>
      <c r="J75" s="521"/>
      <c r="K75" s="522"/>
      <c r="L75" s="522"/>
      <c r="M75" s="51"/>
      <c r="N75" s="523"/>
      <c r="O75" s="523"/>
      <c r="P75" s="524"/>
      <c r="Q75" s="524"/>
      <c r="R75" s="498"/>
      <c r="S75" s="498"/>
      <c r="T75" s="498"/>
      <c r="U75" s="498"/>
      <c r="V75" s="498"/>
      <c r="W75" s="498"/>
      <c r="X75" s="498"/>
      <c r="Y75" s="498"/>
      <c r="Z75" s="498"/>
      <c r="AA75" s="498"/>
      <c r="AB75" s="522"/>
      <c r="AC75" s="522"/>
      <c r="AD75" s="525"/>
      <c r="AF75" s="50"/>
    </row>
    <row r="76" spans="1:32" ht="25.5" customHeight="1">
      <c r="A76" s="517">
        <v>7</v>
      </c>
      <c r="B76" s="518"/>
      <c r="C76" s="104"/>
      <c r="D76" s="131"/>
      <c r="E76" s="128"/>
      <c r="F76" s="519"/>
      <c r="G76" s="520"/>
      <c r="H76" s="520"/>
      <c r="I76" s="520"/>
      <c r="J76" s="521"/>
      <c r="K76" s="522"/>
      <c r="L76" s="522"/>
      <c r="M76" s="51"/>
      <c r="N76" s="523"/>
      <c r="O76" s="523"/>
      <c r="P76" s="524"/>
      <c r="Q76" s="524"/>
      <c r="R76" s="498"/>
      <c r="S76" s="498"/>
      <c r="T76" s="498"/>
      <c r="U76" s="498"/>
      <c r="V76" s="498"/>
      <c r="W76" s="498"/>
      <c r="X76" s="498"/>
      <c r="Y76" s="498"/>
      <c r="Z76" s="498"/>
      <c r="AA76" s="498"/>
      <c r="AB76" s="522"/>
      <c r="AC76" s="522"/>
      <c r="AD76" s="525"/>
      <c r="AF76" s="50"/>
    </row>
    <row r="77" spans="1:32" ht="25.5" customHeight="1">
      <c r="A77" s="517">
        <v>8</v>
      </c>
      <c r="B77" s="518"/>
      <c r="C77" s="104"/>
      <c r="D77" s="131"/>
      <c r="E77" s="128"/>
      <c r="F77" s="526"/>
      <c r="G77" s="522"/>
      <c r="H77" s="522"/>
      <c r="I77" s="522"/>
      <c r="J77" s="522"/>
      <c r="K77" s="522"/>
      <c r="L77" s="522"/>
      <c r="M77" s="51"/>
      <c r="N77" s="523"/>
      <c r="O77" s="523"/>
      <c r="P77" s="524"/>
      <c r="Q77" s="524"/>
      <c r="R77" s="498"/>
      <c r="S77" s="498"/>
      <c r="T77" s="498"/>
      <c r="U77" s="498"/>
      <c r="V77" s="498"/>
      <c r="W77" s="498"/>
      <c r="X77" s="498"/>
      <c r="Y77" s="498"/>
      <c r="Z77" s="498"/>
      <c r="AA77" s="498"/>
      <c r="AB77" s="522"/>
      <c r="AC77" s="522"/>
      <c r="AD77" s="525"/>
      <c r="AF77" s="50"/>
    </row>
    <row r="78" spans="1:32" ht="25.5" customHeight="1">
      <c r="A78" s="517">
        <v>9</v>
      </c>
      <c r="B78" s="518"/>
      <c r="C78" s="104"/>
      <c r="D78" s="131"/>
      <c r="E78" s="128"/>
      <c r="F78" s="526"/>
      <c r="G78" s="522"/>
      <c r="H78" s="522"/>
      <c r="I78" s="522"/>
      <c r="J78" s="522"/>
      <c r="K78" s="522"/>
      <c r="L78" s="522"/>
      <c r="M78" s="51"/>
      <c r="N78" s="523"/>
      <c r="O78" s="523"/>
      <c r="P78" s="524"/>
      <c r="Q78" s="524"/>
      <c r="R78" s="498"/>
      <c r="S78" s="498"/>
      <c r="T78" s="498"/>
      <c r="U78" s="498"/>
      <c r="V78" s="498"/>
      <c r="W78" s="498"/>
      <c r="X78" s="498"/>
      <c r="Y78" s="498"/>
      <c r="Z78" s="498"/>
      <c r="AA78" s="498"/>
      <c r="AB78" s="522"/>
      <c r="AC78" s="522"/>
      <c r="AD78" s="525"/>
      <c r="AF78" s="50"/>
    </row>
    <row r="79" spans="1:32" ht="25.5" customHeight="1">
      <c r="A79" s="517">
        <v>10</v>
      </c>
      <c r="B79" s="518"/>
      <c r="C79" s="104"/>
      <c r="D79" s="131"/>
      <c r="E79" s="128"/>
      <c r="F79" s="526"/>
      <c r="G79" s="522"/>
      <c r="H79" s="522"/>
      <c r="I79" s="522"/>
      <c r="J79" s="522"/>
      <c r="K79" s="522"/>
      <c r="L79" s="522"/>
      <c r="M79" s="51"/>
      <c r="N79" s="523"/>
      <c r="O79" s="523"/>
      <c r="P79" s="524"/>
      <c r="Q79" s="524"/>
      <c r="R79" s="498"/>
      <c r="S79" s="498"/>
      <c r="T79" s="498"/>
      <c r="U79" s="498"/>
      <c r="V79" s="498"/>
      <c r="W79" s="498"/>
      <c r="X79" s="498"/>
      <c r="Y79" s="498"/>
      <c r="Z79" s="498"/>
      <c r="AA79" s="498"/>
      <c r="AB79" s="522"/>
      <c r="AC79" s="522"/>
      <c r="AD79" s="525"/>
      <c r="AF79" s="50"/>
    </row>
    <row r="80" spans="1:32" ht="26.25" customHeight="1" thickBot="1">
      <c r="A80" s="527" t="s">
        <v>213</v>
      </c>
      <c r="B80" s="527"/>
      <c r="C80" s="527"/>
      <c r="D80" s="527"/>
      <c r="E80" s="527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528" t="s">
        <v>111</v>
      </c>
      <c r="B81" s="529"/>
      <c r="C81" s="130" t="s">
        <v>2</v>
      </c>
      <c r="D81" s="130" t="s">
        <v>37</v>
      </c>
      <c r="E81" s="130" t="s">
        <v>121</v>
      </c>
      <c r="F81" s="530" t="s">
        <v>38</v>
      </c>
      <c r="G81" s="530"/>
      <c r="H81" s="530"/>
      <c r="I81" s="530"/>
      <c r="J81" s="530"/>
      <c r="K81" s="531" t="s">
        <v>58</v>
      </c>
      <c r="L81" s="532"/>
      <c r="M81" s="532"/>
      <c r="N81" s="532"/>
      <c r="O81" s="532"/>
      <c r="P81" s="532"/>
      <c r="Q81" s="532"/>
      <c r="R81" s="532"/>
      <c r="S81" s="533"/>
      <c r="T81" s="530" t="s">
        <v>49</v>
      </c>
      <c r="U81" s="530"/>
      <c r="V81" s="531" t="s">
        <v>50</v>
      </c>
      <c r="W81" s="533"/>
      <c r="X81" s="532" t="s">
        <v>51</v>
      </c>
      <c r="Y81" s="532"/>
      <c r="Z81" s="532"/>
      <c r="AA81" s="532"/>
      <c r="AB81" s="532"/>
      <c r="AC81" s="532"/>
      <c r="AD81" s="534"/>
      <c r="AF81" s="50"/>
    </row>
    <row r="82" spans="1:32" ht="33.75" customHeight="1">
      <c r="A82" s="543">
        <v>1</v>
      </c>
      <c r="B82" s="544"/>
      <c r="C82" s="132"/>
      <c r="D82" s="132"/>
      <c r="E82" s="65"/>
      <c r="F82" s="545"/>
      <c r="G82" s="546"/>
      <c r="H82" s="546"/>
      <c r="I82" s="546"/>
      <c r="J82" s="547"/>
      <c r="K82" s="548"/>
      <c r="L82" s="549"/>
      <c r="M82" s="549"/>
      <c r="N82" s="549"/>
      <c r="O82" s="549"/>
      <c r="P82" s="549"/>
      <c r="Q82" s="549"/>
      <c r="R82" s="549"/>
      <c r="S82" s="550"/>
      <c r="T82" s="551"/>
      <c r="U82" s="552"/>
      <c r="V82" s="553"/>
      <c r="W82" s="553"/>
      <c r="X82" s="554"/>
      <c r="Y82" s="554"/>
      <c r="Z82" s="554"/>
      <c r="AA82" s="554"/>
      <c r="AB82" s="554"/>
      <c r="AC82" s="554"/>
      <c r="AD82" s="555"/>
      <c r="AF82" s="50"/>
    </row>
    <row r="83" spans="1:32" ht="30" customHeight="1">
      <c r="A83" s="535">
        <f>A82+1</f>
        <v>2</v>
      </c>
      <c r="B83" s="536"/>
      <c r="C83" s="131"/>
      <c r="D83" s="131"/>
      <c r="E83" s="32"/>
      <c r="F83" s="536"/>
      <c r="G83" s="536"/>
      <c r="H83" s="536"/>
      <c r="I83" s="536"/>
      <c r="J83" s="536"/>
      <c r="K83" s="537"/>
      <c r="L83" s="538"/>
      <c r="M83" s="538"/>
      <c r="N83" s="538"/>
      <c r="O83" s="538"/>
      <c r="P83" s="538"/>
      <c r="Q83" s="538"/>
      <c r="R83" s="538"/>
      <c r="S83" s="539"/>
      <c r="T83" s="540"/>
      <c r="U83" s="540"/>
      <c r="V83" s="540"/>
      <c r="W83" s="540"/>
      <c r="X83" s="541"/>
      <c r="Y83" s="541"/>
      <c r="Z83" s="541"/>
      <c r="AA83" s="541"/>
      <c r="AB83" s="541"/>
      <c r="AC83" s="541"/>
      <c r="AD83" s="542"/>
      <c r="AF83" s="50"/>
    </row>
    <row r="84" spans="1:32" ht="30" customHeight="1">
      <c r="A84" s="535">
        <f t="shared" ref="A84:A88" si="12">A83+1</f>
        <v>3</v>
      </c>
      <c r="B84" s="536"/>
      <c r="C84" s="131"/>
      <c r="D84" s="131"/>
      <c r="E84" s="32"/>
      <c r="F84" s="536"/>
      <c r="G84" s="536"/>
      <c r="H84" s="536"/>
      <c r="I84" s="536"/>
      <c r="J84" s="536"/>
      <c r="K84" s="537"/>
      <c r="L84" s="538"/>
      <c r="M84" s="538"/>
      <c r="N84" s="538"/>
      <c r="O84" s="538"/>
      <c r="P84" s="538"/>
      <c r="Q84" s="538"/>
      <c r="R84" s="538"/>
      <c r="S84" s="539"/>
      <c r="T84" s="540"/>
      <c r="U84" s="540"/>
      <c r="V84" s="540"/>
      <c r="W84" s="540"/>
      <c r="X84" s="541"/>
      <c r="Y84" s="541"/>
      <c r="Z84" s="541"/>
      <c r="AA84" s="541"/>
      <c r="AB84" s="541"/>
      <c r="AC84" s="541"/>
      <c r="AD84" s="542"/>
      <c r="AF84" s="50"/>
    </row>
    <row r="85" spans="1:32" ht="30" customHeight="1">
      <c r="A85" s="535">
        <f t="shared" si="12"/>
        <v>4</v>
      </c>
      <c r="B85" s="536"/>
      <c r="C85" s="131"/>
      <c r="D85" s="131"/>
      <c r="E85" s="32"/>
      <c r="F85" s="536"/>
      <c r="G85" s="536"/>
      <c r="H85" s="536"/>
      <c r="I85" s="536"/>
      <c r="J85" s="536"/>
      <c r="K85" s="537"/>
      <c r="L85" s="538"/>
      <c r="M85" s="538"/>
      <c r="N85" s="538"/>
      <c r="O85" s="538"/>
      <c r="P85" s="538"/>
      <c r="Q85" s="538"/>
      <c r="R85" s="538"/>
      <c r="S85" s="539"/>
      <c r="T85" s="540"/>
      <c r="U85" s="540"/>
      <c r="V85" s="540"/>
      <c r="W85" s="540"/>
      <c r="X85" s="541"/>
      <c r="Y85" s="541"/>
      <c r="Z85" s="541"/>
      <c r="AA85" s="541"/>
      <c r="AB85" s="541"/>
      <c r="AC85" s="541"/>
      <c r="AD85" s="542"/>
      <c r="AF85" s="50"/>
    </row>
    <row r="86" spans="1:32" ht="30" customHeight="1">
      <c r="A86" s="535">
        <f t="shared" si="12"/>
        <v>5</v>
      </c>
      <c r="B86" s="536"/>
      <c r="C86" s="131"/>
      <c r="D86" s="131"/>
      <c r="E86" s="32"/>
      <c r="F86" s="536"/>
      <c r="G86" s="536"/>
      <c r="H86" s="536"/>
      <c r="I86" s="536"/>
      <c r="J86" s="536"/>
      <c r="K86" s="537"/>
      <c r="L86" s="538"/>
      <c r="M86" s="538"/>
      <c r="N86" s="538"/>
      <c r="O86" s="538"/>
      <c r="P86" s="538"/>
      <c r="Q86" s="538"/>
      <c r="R86" s="538"/>
      <c r="S86" s="539"/>
      <c r="T86" s="540"/>
      <c r="U86" s="540"/>
      <c r="V86" s="540"/>
      <c r="W86" s="540"/>
      <c r="X86" s="541"/>
      <c r="Y86" s="541"/>
      <c r="Z86" s="541"/>
      <c r="AA86" s="541"/>
      <c r="AB86" s="541"/>
      <c r="AC86" s="541"/>
      <c r="AD86" s="542"/>
      <c r="AF86" s="50"/>
    </row>
    <row r="87" spans="1:32" ht="30" customHeight="1">
      <c r="A87" s="535">
        <f t="shared" si="12"/>
        <v>6</v>
      </c>
      <c r="B87" s="536"/>
      <c r="C87" s="131"/>
      <c r="D87" s="131"/>
      <c r="E87" s="32"/>
      <c r="F87" s="536"/>
      <c r="G87" s="536"/>
      <c r="H87" s="536"/>
      <c r="I87" s="536"/>
      <c r="J87" s="536"/>
      <c r="K87" s="537"/>
      <c r="L87" s="538"/>
      <c r="M87" s="538"/>
      <c r="N87" s="538"/>
      <c r="O87" s="538"/>
      <c r="P87" s="538"/>
      <c r="Q87" s="538"/>
      <c r="R87" s="538"/>
      <c r="S87" s="539"/>
      <c r="T87" s="540"/>
      <c r="U87" s="540"/>
      <c r="V87" s="540"/>
      <c r="W87" s="540"/>
      <c r="X87" s="541"/>
      <c r="Y87" s="541"/>
      <c r="Z87" s="541"/>
      <c r="AA87" s="541"/>
      <c r="AB87" s="541"/>
      <c r="AC87" s="541"/>
      <c r="AD87" s="542"/>
      <c r="AF87" s="50"/>
    </row>
    <row r="88" spans="1:32" ht="30" customHeight="1">
      <c r="A88" s="535">
        <f t="shared" si="12"/>
        <v>7</v>
      </c>
      <c r="B88" s="536"/>
      <c r="C88" s="131"/>
      <c r="D88" s="131"/>
      <c r="E88" s="32"/>
      <c r="F88" s="536"/>
      <c r="G88" s="536"/>
      <c r="H88" s="536"/>
      <c r="I88" s="536"/>
      <c r="J88" s="536"/>
      <c r="K88" s="537"/>
      <c r="L88" s="538"/>
      <c r="M88" s="538"/>
      <c r="N88" s="538"/>
      <c r="O88" s="538"/>
      <c r="P88" s="538"/>
      <c r="Q88" s="538"/>
      <c r="R88" s="538"/>
      <c r="S88" s="539"/>
      <c r="T88" s="540"/>
      <c r="U88" s="540"/>
      <c r="V88" s="540"/>
      <c r="W88" s="540"/>
      <c r="X88" s="541"/>
      <c r="Y88" s="541"/>
      <c r="Z88" s="541"/>
      <c r="AA88" s="541"/>
      <c r="AB88" s="541"/>
      <c r="AC88" s="541"/>
      <c r="AD88" s="542"/>
      <c r="AF88" s="50"/>
    </row>
    <row r="89" spans="1:32" ht="36" thickBot="1">
      <c r="A89" s="527" t="s">
        <v>214</v>
      </c>
      <c r="B89" s="527"/>
      <c r="C89" s="527"/>
      <c r="D89" s="527"/>
      <c r="E89" s="527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56" t="s">
        <v>111</v>
      </c>
      <c r="B90" s="530"/>
      <c r="C90" s="557" t="s">
        <v>52</v>
      </c>
      <c r="D90" s="557"/>
      <c r="E90" s="557" t="s">
        <v>53</v>
      </c>
      <c r="F90" s="557"/>
      <c r="G90" s="557"/>
      <c r="H90" s="557"/>
      <c r="I90" s="557"/>
      <c r="J90" s="557"/>
      <c r="K90" s="557" t="s">
        <v>54</v>
      </c>
      <c r="L90" s="557"/>
      <c r="M90" s="557"/>
      <c r="N90" s="557"/>
      <c r="O90" s="557"/>
      <c r="P90" s="557"/>
      <c r="Q90" s="557"/>
      <c r="R90" s="557"/>
      <c r="S90" s="557"/>
      <c r="T90" s="557" t="s">
        <v>55</v>
      </c>
      <c r="U90" s="557"/>
      <c r="V90" s="557" t="s">
        <v>56</v>
      </c>
      <c r="W90" s="557"/>
      <c r="X90" s="557"/>
      <c r="Y90" s="557" t="s">
        <v>51</v>
      </c>
      <c r="Z90" s="557"/>
      <c r="AA90" s="557"/>
      <c r="AB90" s="557"/>
      <c r="AC90" s="557"/>
      <c r="AD90" s="558"/>
      <c r="AF90" s="50"/>
    </row>
    <row r="91" spans="1:32" ht="30.75" customHeight="1">
      <c r="A91" s="543">
        <v>1</v>
      </c>
      <c r="B91" s="544"/>
      <c r="C91" s="559">
        <v>9</v>
      </c>
      <c r="D91" s="559"/>
      <c r="E91" s="559" t="s">
        <v>127</v>
      </c>
      <c r="F91" s="559"/>
      <c r="G91" s="559"/>
      <c r="H91" s="559"/>
      <c r="I91" s="559"/>
      <c r="J91" s="559"/>
      <c r="K91" s="559" t="s">
        <v>136</v>
      </c>
      <c r="L91" s="559"/>
      <c r="M91" s="559"/>
      <c r="N91" s="559"/>
      <c r="O91" s="559"/>
      <c r="P91" s="559"/>
      <c r="Q91" s="559"/>
      <c r="R91" s="559"/>
      <c r="S91" s="559"/>
      <c r="T91" s="559" t="s">
        <v>128</v>
      </c>
      <c r="U91" s="559"/>
      <c r="V91" s="560" t="s">
        <v>133</v>
      </c>
      <c r="W91" s="560"/>
      <c r="X91" s="560"/>
      <c r="Y91" s="561"/>
      <c r="Z91" s="561"/>
      <c r="AA91" s="561"/>
      <c r="AB91" s="561"/>
      <c r="AC91" s="561"/>
      <c r="AD91" s="562"/>
      <c r="AF91" s="50"/>
    </row>
    <row r="92" spans="1:32" ht="30.75" customHeight="1">
      <c r="A92" s="535">
        <v>2</v>
      </c>
      <c r="B92" s="536"/>
      <c r="C92" s="570"/>
      <c r="D92" s="570"/>
      <c r="E92" s="570"/>
      <c r="F92" s="570"/>
      <c r="G92" s="570"/>
      <c r="H92" s="570"/>
      <c r="I92" s="570"/>
      <c r="J92" s="570"/>
      <c r="K92" s="570"/>
      <c r="L92" s="570"/>
      <c r="M92" s="570"/>
      <c r="N92" s="570"/>
      <c r="O92" s="570"/>
      <c r="P92" s="570"/>
      <c r="Q92" s="570"/>
      <c r="R92" s="570"/>
      <c r="S92" s="570"/>
      <c r="T92" s="571"/>
      <c r="U92" s="571"/>
      <c r="V92" s="572"/>
      <c r="W92" s="572"/>
      <c r="X92" s="572"/>
      <c r="Y92" s="563"/>
      <c r="Z92" s="563"/>
      <c r="AA92" s="563"/>
      <c r="AB92" s="563"/>
      <c r="AC92" s="563"/>
      <c r="AD92" s="564"/>
      <c r="AF92" s="50"/>
    </row>
    <row r="93" spans="1:32" ht="30.75" customHeight="1" thickBot="1">
      <c r="A93" s="565">
        <v>3</v>
      </c>
      <c r="B93" s="566"/>
      <c r="C93" s="567"/>
      <c r="D93" s="567"/>
      <c r="E93" s="567"/>
      <c r="F93" s="567"/>
      <c r="G93" s="567"/>
      <c r="H93" s="567"/>
      <c r="I93" s="567"/>
      <c r="J93" s="567"/>
      <c r="K93" s="567"/>
      <c r="L93" s="567"/>
      <c r="M93" s="567"/>
      <c r="N93" s="567"/>
      <c r="O93" s="567"/>
      <c r="P93" s="567"/>
      <c r="Q93" s="567"/>
      <c r="R93" s="567"/>
      <c r="S93" s="567"/>
      <c r="T93" s="567"/>
      <c r="U93" s="567"/>
      <c r="V93" s="567"/>
      <c r="W93" s="567"/>
      <c r="X93" s="567"/>
      <c r="Y93" s="568"/>
      <c r="Z93" s="568"/>
      <c r="AA93" s="568"/>
      <c r="AB93" s="568"/>
      <c r="AC93" s="568"/>
      <c r="AD93" s="569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3" max="2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99AA-CF1E-4008-8BDE-59F756A9BAC0}">
  <dimension ref="A1:AF93"/>
  <sheetViews>
    <sheetView view="pageBreakPreview" zoomScale="70" zoomScaleNormal="72" zoomScaleSheetLayoutView="70" workbookViewId="0">
      <selection activeCell="K86" sqref="K86:S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50" t="s">
        <v>215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1"/>
      <c r="B3" s="451"/>
      <c r="C3" s="451"/>
      <c r="D3" s="451"/>
      <c r="E3" s="451"/>
      <c r="F3" s="451"/>
      <c r="G3" s="45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52" t="s">
        <v>0</v>
      </c>
      <c r="B4" s="454" t="s">
        <v>1</v>
      </c>
      <c r="C4" s="454" t="s">
        <v>2</v>
      </c>
      <c r="D4" s="457" t="s">
        <v>3</v>
      </c>
      <c r="E4" s="459" t="s">
        <v>4</v>
      </c>
      <c r="F4" s="457" t="s">
        <v>5</v>
      </c>
      <c r="G4" s="454" t="s">
        <v>6</v>
      </c>
      <c r="H4" s="460" t="s">
        <v>7</v>
      </c>
      <c r="I4" s="480" t="s">
        <v>8</v>
      </c>
      <c r="J4" s="481"/>
      <c r="K4" s="481"/>
      <c r="L4" s="481"/>
      <c r="M4" s="481"/>
      <c r="N4" s="481"/>
      <c r="O4" s="482"/>
      <c r="P4" s="483" t="s">
        <v>9</v>
      </c>
      <c r="Q4" s="484"/>
      <c r="R4" s="485" t="s">
        <v>10</v>
      </c>
      <c r="S4" s="485"/>
      <c r="T4" s="485"/>
      <c r="U4" s="485"/>
      <c r="V4" s="485"/>
      <c r="W4" s="486" t="s">
        <v>11</v>
      </c>
      <c r="X4" s="485"/>
      <c r="Y4" s="485"/>
      <c r="Z4" s="485"/>
      <c r="AA4" s="487"/>
      <c r="AB4" s="488" t="s">
        <v>12</v>
      </c>
      <c r="AC4" s="462" t="s">
        <v>13</v>
      </c>
      <c r="AD4" s="462" t="s">
        <v>14</v>
      </c>
      <c r="AE4" s="54"/>
    </row>
    <row r="5" spans="1:32" ht="51" customHeight="1" thickBot="1">
      <c r="A5" s="453"/>
      <c r="B5" s="455"/>
      <c r="C5" s="456"/>
      <c r="D5" s="458"/>
      <c r="E5" s="458"/>
      <c r="F5" s="458"/>
      <c r="G5" s="455"/>
      <c r="H5" s="461"/>
      <c r="I5" s="55" t="s">
        <v>15</v>
      </c>
      <c r="J5" s="56" t="s">
        <v>16</v>
      </c>
      <c r="K5" s="153" t="s">
        <v>17</v>
      </c>
      <c r="L5" s="153" t="s">
        <v>18</v>
      </c>
      <c r="M5" s="153" t="s">
        <v>19</v>
      </c>
      <c r="N5" s="15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89"/>
      <c r="AC5" s="463"/>
      <c r="AD5" s="463"/>
      <c r="AE5" s="54"/>
    </row>
    <row r="6" spans="1:32" ht="27" customHeight="1">
      <c r="A6" s="112">
        <v>1</v>
      </c>
      <c r="B6" s="11" t="s">
        <v>57</v>
      </c>
      <c r="C6" s="34" t="s">
        <v>116</v>
      </c>
      <c r="D6" s="52" t="s">
        <v>130</v>
      </c>
      <c r="E6" s="53" t="s">
        <v>158</v>
      </c>
      <c r="F6" s="30" t="s">
        <v>146</v>
      </c>
      <c r="G6" s="12">
        <v>2</v>
      </c>
      <c r="H6" s="13">
        <v>24</v>
      </c>
      <c r="I6" s="31">
        <v>174000</v>
      </c>
      <c r="J6" s="14">
        <v>8774</v>
      </c>
      <c r="K6" s="15">
        <f>L6+2384+8412+9776+8821</f>
        <v>38167</v>
      </c>
      <c r="L6" s="15">
        <f>2946+2914*2</f>
        <v>8774</v>
      </c>
      <c r="M6" s="15">
        <f t="shared" ref="M6:M27" si="0">L6-N6</f>
        <v>8774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22</v>
      </c>
      <c r="Q6" s="40">
        <f t="shared" ref="Q6:Q27" si="3">SUM(R6:AA6)</f>
        <v>2</v>
      </c>
      <c r="R6" s="7"/>
      <c r="S6" s="6">
        <v>2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0.91666666666666663</v>
      </c>
      <c r="AD6" s="10">
        <f t="shared" ref="AD6:AD27" si="6">AC6*AB6*(1-O6)</f>
        <v>0.91666666666666663</v>
      </c>
      <c r="AE6" s="36">
        <f t="shared" ref="AE6:AE26" si="7">$AD$28</f>
        <v>0.64962121212121204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148</v>
      </c>
      <c r="E7" s="53" t="s">
        <v>149</v>
      </c>
      <c r="F7" s="30" t="s">
        <v>147</v>
      </c>
      <c r="G7" s="12">
        <v>1</v>
      </c>
      <c r="H7" s="13">
        <v>24</v>
      </c>
      <c r="I7" s="31">
        <v>18000</v>
      </c>
      <c r="J7" s="14">
        <v>6258</v>
      </c>
      <c r="K7" s="15">
        <f>L7+3479+6290+3687+5866</f>
        <v>25580</v>
      </c>
      <c r="L7" s="15">
        <f>3029+3229</f>
        <v>6258</v>
      </c>
      <c r="M7" s="15">
        <f t="shared" si="0"/>
        <v>6258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0.64962121212121204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143</v>
      </c>
      <c r="D8" s="52" t="s">
        <v>115</v>
      </c>
      <c r="E8" s="53" t="s">
        <v>162</v>
      </c>
      <c r="F8" s="30" t="s">
        <v>144</v>
      </c>
      <c r="G8" s="12">
        <v>4</v>
      </c>
      <c r="H8" s="13">
        <v>24</v>
      </c>
      <c r="I8" s="7">
        <v>85000</v>
      </c>
      <c r="J8" s="5">
        <v>24120</v>
      </c>
      <c r="K8" s="15">
        <f>L8+21244+23732+21048</f>
        <v>90144</v>
      </c>
      <c r="L8" s="15">
        <f>3034*4+2996*4</f>
        <v>24120</v>
      </c>
      <c r="M8" s="15">
        <f t="shared" si="0"/>
        <v>24120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0.64962121212121204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143</v>
      </c>
      <c r="D9" s="52" t="s">
        <v>124</v>
      </c>
      <c r="E9" s="53" t="s">
        <v>174</v>
      </c>
      <c r="F9" s="30" t="s">
        <v>144</v>
      </c>
      <c r="G9" s="12">
        <v>4</v>
      </c>
      <c r="H9" s="13">
        <v>24</v>
      </c>
      <c r="I9" s="7">
        <v>85000</v>
      </c>
      <c r="J9" s="14">
        <v>8020</v>
      </c>
      <c r="K9" s="15">
        <f>L9+12500</f>
        <v>20520</v>
      </c>
      <c r="L9" s="15">
        <f>1208*4+797*4</f>
        <v>8020</v>
      </c>
      <c r="M9" s="15">
        <f t="shared" si="0"/>
        <v>8020</v>
      </c>
      <c r="N9" s="15">
        <v>0</v>
      </c>
      <c r="O9" s="58">
        <f t="shared" si="1"/>
        <v>0</v>
      </c>
      <c r="P9" s="39">
        <f t="shared" si="2"/>
        <v>7</v>
      </c>
      <c r="Q9" s="40">
        <f t="shared" si="3"/>
        <v>17</v>
      </c>
      <c r="R9" s="7"/>
      <c r="S9" s="6">
        <v>17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0.29166666666666669</v>
      </c>
      <c r="AD9" s="10">
        <f t="shared" si="6"/>
        <v>0.29166666666666669</v>
      </c>
      <c r="AE9" s="36">
        <f t="shared" si="7"/>
        <v>0.64962121212121204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116</v>
      </c>
      <c r="D10" s="52" t="s">
        <v>124</v>
      </c>
      <c r="E10" s="53" t="s">
        <v>138</v>
      </c>
      <c r="F10" s="30" t="s">
        <v>131</v>
      </c>
      <c r="G10" s="33">
        <v>1</v>
      </c>
      <c r="H10" s="35">
        <v>24</v>
      </c>
      <c r="I10" s="7">
        <v>27000</v>
      </c>
      <c r="J10" s="14">
        <v>6801</v>
      </c>
      <c r="K10" s="15">
        <f>L10+6380+6789+6692+6752</f>
        <v>33414</v>
      </c>
      <c r="L10" s="15">
        <f>3407+3394</f>
        <v>6801</v>
      </c>
      <c r="M10" s="15">
        <f t="shared" si="0"/>
        <v>6801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0.64962121212121204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116</v>
      </c>
      <c r="D11" s="52" t="s">
        <v>173</v>
      </c>
      <c r="E11" s="53" t="s">
        <v>172</v>
      </c>
      <c r="F11" s="30" t="s">
        <v>187</v>
      </c>
      <c r="G11" s="33">
        <v>32</v>
      </c>
      <c r="H11" s="35">
        <v>24</v>
      </c>
      <c r="I11" s="7">
        <v>300000</v>
      </c>
      <c r="J11" s="14">
        <v>100900</v>
      </c>
      <c r="K11" s="15">
        <f>L11+133700</f>
        <v>234600</v>
      </c>
      <c r="L11" s="15">
        <f>947*20+4098*20</f>
        <v>100900</v>
      </c>
      <c r="M11" s="15">
        <f t="shared" si="0"/>
        <v>100900</v>
      </c>
      <c r="N11" s="15">
        <v>0</v>
      </c>
      <c r="O11" s="58">
        <f t="shared" si="1"/>
        <v>0</v>
      </c>
      <c r="P11" s="39">
        <f t="shared" si="2"/>
        <v>17</v>
      </c>
      <c r="Q11" s="40">
        <f t="shared" si="3"/>
        <v>7</v>
      </c>
      <c r="R11" s="7">
        <v>7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0.70833333333333337</v>
      </c>
      <c r="AD11" s="10">
        <f t="shared" si="6"/>
        <v>0.70833333333333337</v>
      </c>
      <c r="AE11" s="36">
        <f t="shared" si="7"/>
        <v>0.64962121212121204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126</v>
      </c>
      <c r="F12" s="30" t="s">
        <v>167</v>
      </c>
      <c r="G12" s="12">
        <v>1</v>
      </c>
      <c r="H12" s="13">
        <v>22</v>
      </c>
      <c r="I12" s="31">
        <v>100000</v>
      </c>
      <c r="J12" s="5">
        <v>5538</v>
      </c>
      <c r="K12" s="15">
        <f>L12+4676+4488+5126</f>
        <v>19828</v>
      </c>
      <c r="L12" s="15">
        <f>2774+2764</f>
        <v>5538</v>
      </c>
      <c r="M12" s="15">
        <f t="shared" si="0"/>
        <v>5538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0.64962121212121204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124</v>
      </c>
      <c r="E13" s="53" t="s">
        <v>168</v>
      </c>
      <c r="F13" s="30" t="s">
        <v>131</v>
      </c>
      <c r="G13" s="33">
        <v>1</v>
      </c>
      <c r="H13" s="35">
        <v>24</v>
      </c>
      <c r="I13" s="7">
        <v>4000</v>
      </c>
      <c r="J13" s="14">
        <v>1346</v>
      </c>
      <c r="K13" s="15">
        <f>L13+1346</f>
        <v>1346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>
        <v>24</v>
      </c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0.64962121212121204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156</v>
      </c>
      <c r="F14" s="30" t="s">
        <v>151</v>
      </c>
      <c r="G14" s="33">
        <v>1</v>
      </c>
      <c r="H14" s="35">
        <v>50</v>
      </c>
      <c r="I14" s="7">
        <v>2500</v>
      </c>
      <c r="J14" s="5">
        <v>800</v>
      </c>
      <c r="K14" s="15">
        <f>L14+893+982+1050+800</f>
        <v>3725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0.64962121212121204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123</v>
      </c>
      <c r="E15" s="53" t="s">
        <v>141</v>
      </c>
      <c r="F15" s="30" t="s">
        <v>135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0.64962121212121204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116</v>
      </c>
      <c r="D16" s="52" t="s">
        <v>150</v>
      </c>
      <c r="E16" s="53" t="s">
        <v>163</v>
      </c>
      <c r="F16" s="30" t="s">
        <v>145</v>
      </c>
      <c r="G16" s="12">
        <v>1</v>
      </c>
      <c r="H16" s="13">
        <v>24</v>
      </c>
      <c r="I16" s="7">
        <v>90000</v>
      </c>
      <c r="J16" s="14">
        <v>5552</v>
      </c>
      <c r="K16" s="15">
        <f>L16+5223+5599+5518+5572</f>
        <v>27464</v>
      </c>
      <c r="L16" s="15">
        <f>2740+2812</f>
        <v>5552</v>
      </c>
      <c r="M16" s="15">
        <f t="shared" si="0"/>
        <v>5552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0.64962121212121204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143</v>
      </c>
      <c r="D17" s="52" t="s">
        <v>150</v>
      </c>
      <c r="E17" s="53" t="s">
        <v>159</v>
      </c>
      <c r="F17" s="30" t="s">
        <v>154</v>
      </c>
      <c r="G17" s="12">
        <v>3</v>
      </c>
      <c r="H17" s="13">
        <v>24</v>
      </c>
      <c r="I17" s="7">
        <v>260000</v>
      </c>
      <c r="J17" s="14">
        <v>17910</v>
      </c>
      <c r="K17" s="15">
        <f>L17+16128+16857+16941+16140+15960+17466+17355+17745</f>
        <v>152502</v>
      </c>
      <c r="L17" s="15">
        <f>2984*3+2986*3</f>
        <v>17910</v>
      </c>
      <c r="M17" s="15">
        <f t="shared" si="0"/>
        <v>17910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0.64962121212121204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153</v>
      </c>
      <c r="F18" s="30" t="s">
        <v>131</v>
      </c>
      <c r="G18" s="33">
        <v>2</v>
      </c>
      <c r="H18" s="35">
        <v>24</v>
      </c>
      <c r="I18" s="7">
        <v>27200</v>
      </c>
      <c r="J18" s="14">
        <v>5789</v>
      </c>
      <c r="K18" s="15">
        <f>L18+5049+2711+6081+2649+5790</f>
        <v>28069</v>
      </c>
      <c r="L18" s="15">
        <f>2916+2873</f>
        <v>5789</v>
      </c>
      <c r="M18" s="15">
        <f t="shared" si="0"/>
        <v>5789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0.64962121212121204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142</v>
      </c>
      <c r="E19" s="53" t="s">
        <v>161</v>
      </c>
      <c r="F19" s="30" t="s">
        <v>134</v>
      </c>
      <c r="G19" s="33">
        <v>1</v>
      </c>
      <c r="H19" s="35">
        <v>24</v>
      </c>
      <c r="I19" s="7">
        <v>39000</v>
      </c>
      <c r="J19" s="14">
        <v>1639</v>
      </c>
      <c r="K19" s="15">
        <f>L19+2260+4771+194+2851+3863+3917+3410+3939+5293</f>
        <v>32137</v>
      </c>
      <c r="L19" s="15">
        <f>657+982</f>
        <v>1639</v>
      </c>
      <c r="M19" s="15">
        <f t="shared" si="0"/>
        <v>1639</v>
      </c>
      <c r="N19" s="15">
        <v>0</v>
      </c>
      <c r="O19" s="58">
        <f t="shared" si="1"/>
        <v>0</v>
      </c>
      <c r="P19" s="39">
        <f t="shared" si="2"/>
        <v>9</v>
      </c>
      <c r="Q19" s="40">
        <f t="shared" si="3"/>
        <v>15</v>
      </c>
      <c r="R19" s="7"/>
      <c r="S19" s="6">
        <v>15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0.375</v>
      </c>
      <c r="AD19" s="10">
        <f t="shared" si="6"/>
        <v>0.375</v>
      </c>
      <c r="AE19" s="36">
        <f t="shared" si="7"/>
        <v>0.64962121212121204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124</v>
      </c>
      <c r="E20" s="53" t="s">
        <v>168</v>
      </c>
      <c r="F20" s="30" t="s">
        <v>131</v>
      </c>
      <c r="G20" s="12">
        <v>1</v>
      </c>
      <c r="H20" s="13">
        <v>24</v>
      </c>
      <c r="I20" s="7">
        <v>4000</v>
      </c>
      <c r="J20" s="14">
        <v>4902</v>
      </c>
      <c r="K20" s="15">
        <f>L20+4090</f>
        <v>8992</v>
      </c>
      <c r="L20" s="15">
        <f>2207+2695</f>
        <v>4902</v>
      </c>
      <c r="M20" s="15">
        <f t="shared" si="0"/>
        <v>4902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0.64962121212121204</v>
      </c>
      <c r="AF20" s="84">
        <f t="shared" si="8"/>
        <v>15</v>
      </c>
    </row>
    <row r="21" spans="1:32" ht="27" customHeight="1">
      <c r="A21" s="96">
        <v>16</v>
      </c>
      <c r="B21" s="11" t="s">
        <v>57</v>
      </c>
      <c r="C21" s="11" t="s">
        <v>113</v>
      </c>
      <c r="D21" s="52"/>
      <c r="E21" s="53" t="s">
        <v>139</v>
      </c>
      <c r="F21" s="12" t="s">
        <v>114</v>
      </c>
      <c r="G21" s="12">
        <v>3</v>
      </c>
      <c r="H21" s="35">
        <v>20</v>
      </c>
      <c r="I21" s="7">
        <v>1000000</v>
      </c>
      <c r="J21" s="14">
        <v>34220</v>
      </c>
      <c r="K21" s="15">
        <f t="shared" ref="K21" si="9">L21+62008+65280+66156+31132+60100+67104+64940+66996+38324+18548+31820+33244+32052+33372+27132+34220</f>
        <v>732428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0.64962121212121204</v>
      </c>
      <c r="AF21" s="84">
        <f t="shared" si="8"/>
        <v>16</v>
      </c>
    </row>
    <row r="22" spans="1:32" ht="27" customHeight="1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0.64962121212121204</v>
      </c>
      <c r="AF22" s="84">
        <f t="shared" si="8"/>
        <v>31</v>
      </c>
    </row>
    <row r="23" spans="1:32" ht="27" customHeight="1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0.64962121212121204</v>
      </c>
      <c r="AF23" s="84">
        <f t="shared" si="8"/>
        <v>32</v>
      </c>
    </row>
    <row r="24" spans="1:32" ht="27" customHeight="1">
      <c r="A24" s="96">
        <v>33</v>
      </c>
      <c r="B24" s="11" t="s">
        <v>57</v>
      </c>
      <c r="C24" s="11" t="s">
        <v>116</v>
      </c>
      <c r="D24" s="52" t="s">
        <v>152</v>
      </c>
      <c r="E24" s="53" t="s">
        <v>164</v>
      </c>
      <c r="F24" s="12" t="s">
        <v>134</v>
      </c>
      <c r="G24" s="12">
        <v>4</v>
      </c>
      <c r="H24" s="35">
        <v>20</v>
      </c>
      <c r="I24" s="7">
        <v>240000</v>
      </c>
      <c r="J24" s="14">
        <v>32368</v>
      </c>
      <c r="K24" s="15">
        <f>L24+27572+32268+32324+32488</f>
        <v>157020</v>
      </c>
      <c r="L24" s="15">
        <f>4160*4+3494*4+438*4</f>
        <v>32368</v>
      </c>
      <c r="M24" s="15">
        <f t="shared" si="0"/>
        <v>32368</v>
      </c>
      <c r="N24" s="15">
        <v>0</v>
      </c>
      <c r="O24" s="58">
        <f t="shared" si="1"/>
        <v>0</v>
      </c>
      <c r="P24" s="39">
        <f t="shared" si="2"/>
        <v>24</v>
      </c>
      <c r="Q24" s="40">
        <f t="shared" si="3"/>
        <v>0</v>
      </c>
      <c r="R24" s="7"/>
      <c r="S24" s="6"/>
      <c r="T24" s="16"/>
      <c r="U24" s="16"/>
      <c r="V24" s="17"/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1</v>
      </c>
      <c r="AD24" s="10">
        <f t="shared" si="6"/>
        <v>1</v>
      </c>
      <c r="AE24" s="36">
        <f t="shared" si="7"/>
        <v>0.64962121212121204</v>
      </c>
      <c r="AF24" s="84">
        <f t="shared" si="8"/>
        <v>33</v>
      </c>
    </row>
    <row r="25" spans="1:32" ht="27" customHeight="1">
      <c r="A25" s="96">
        <v>34</v>
      </c>
      <c r="B25" s="11" t="s">
        <v>57</v>
      </c>
      <c r="C25" s="11" t="s">
        <v>116</v>
      </c>
      <c r="D25" s="52" t="s">
        <v>150</v>
      </c>
      <c r="E25" s="53" t="s">
        <v>165</v>
      </c>
      <c r="F25" s="12" t="s">
        <v>135</v>
      </c>
      <c r="G25" s="12">
        <v>4</v>
      </c>
      <c r="H25" s="35">
        <v>20</v>
      </c>
      <c r="I25" s="7">
        <v>240000</v>
      </c>
      <c r="J25" s="14">
        <v>27780</v>
      </c>
      <c r="K25" s="15">
        <f>L25+24768+29084+29040+29804</f>
        <v>140476</v>
      </c>
      <c r="L25" s="15">
        <f>3138*4+3807*4</f>
        <v>27780</v>
      </c>
      <c r="M25" s="15">
        <f t="shared" si="0"/>
        <v>27780</v>
      </c>
      <c r="N25" s="15">
        <v>0</v>
      </c>
      <c r="O25" s="58">
        <f t="shared" si="1"/>
        <v>0</v>
      </c>
      <c r="P25" s="39">
        <f t="shared" si="2"/>
        <v>24</v>
      </c>
      <c r="Q25" s="40">
        <f t="shared" si="3"/>
        <v>0</v>
      </c>
      <c r="R25" s="7"/>
      <c r="S25" s="6"/>
      <c r="T25" s="16"/>
      <c r="U25" s="16"/>
      <c r="V25" s="17"/>
      <c r="W25" s="5"/>
      <c r="X25" s="16"/>
      <c r="Y25" s="16"/>
      <c r="Z25" s="16"/>
      <c r="AA25" s="18"/>
      <c r="AB25" s="8">
        <f t="shared" si="4"/>
        <v>1</v>
      </c>
      <c r="AC25" s="9">
        <f t="shared" si="5"/>
        <v>1</v>
      </c>
      <c r="AD25" s="10">
        <f t="shared" si="6"/>
        <v>1</v>
      </c>
      <c r="AE25" s="36">
        <f t="shared" si="7"/>
        <v>0.64962121212121204</v>
      </c>
      <c r="AF25" s="84">
        <f t="shared" si="8"/>
        <v>34</v>
      </c>
    </row>
    <row r="26" spans="1:32" ht="27" customHeight="1">
      <c r="A26" s="96">
        <v>35</v>
      </c>
      <c r="B26" s="11" t="s">
        <v>57</v>
      </c>
      <c r="C26" s="11" t="s">
        <v>116</v>
      </c>
      <c r="D26" s="52" t="s">
        <v>123</v>
      </c>
      <c r="E26" s="53" t="s">
        <v>137</v>
      </c>
      <c r="F26" s="12" t="s">
        <v>135</v>
      </c>
      <c r="G26" s="12">
        <v>4</v>
      </c>
      <c r="H26" s="35">
        <v>20</v>
      </c>
      <c r="I26" s="7">
        <v>240000</v>
      </c>
      <c r="J26" s="14">
        <v>31736</v>
      </c>
      <c r="K26" s="15">
        <f>L26+25004+29968+31848+29672</f>
        <v>148228</v>
      </c>
      <c r="L26" s="15">
        <f>3248*4+380*4+4306*4</f>
        <v>31736</v>
      </c>
      <c r="M26" s="15">
        <f t="shared" si="0"/>
        <v>31736</v>
      </c>
      <c r="N26" s="15">
        <v>0</v>
      </c>
      <c r="O26" s="58">
        <f t="shared" si="1"/>
        <v>0</v>
      </c>
      <c r="P26" s="39">
        <f t="shared" si="2"/>
        <v>24</v>
      </c>
      <c r="Q26" s="40">
        <f t="shared" si="3"/>
        <v>0</v>
      </c>
      <c r="R26" s="7"/>
      <c r="S26" s="6"/>
      <c r="T26" s="16"/>
      <c r="U26" s="16"/>
      <c r="V26" s="17"/>
      <c r="W26" s="5"/>
      <c r="X26" s="16"/>
      <c r="Y26" s="16"/>
      <c r="Z26" s="16"/>
      <c r="AA26" s="18"/>
      <c r="AB26" s="8">
        <f t="shared" si="4"/>
        <v>1</v>
      </c>
      <c r="AC26" s="9">
        <f t="shared" si="5"/>
        <v>1</v>
      </c>
      <c r="AD26" s="10">
        <f t="shared" si="6"/>
        <v>1</v>
      </c>
      <c r="AE26" s="36">
        <f t="shared" si="7"/>
        <v>0.64962121212121204</v>
      </c>
      <c r="AF26" s="84">
        <f t="shared" si="8"/>
        <v>35</v>
      </c>
    </row>
    <row r="27" spans="1:32" ht="27" customHeight="1" thickBot="1">
      <c r="A27" s="96">
        <v>36</v>
      </c>
      <c r="B27" s="11" t="s">
        <v>57</v>
      </c>
      <c r="C27" s="11" t="s">
        <v>116</v>
      </c>
      <c r="D27" s="52" t="s">
        <v>115</v>
      </c>
      <c r="E27" s="53" t="s">
        <v>166</v>
      </c>
      <c r="F27" s="12" t="s">
        <v>122</v>
      </c>
      <c r="G27" s="12">
        <v>4</v>
      </c>
      <c r="H27" s="35">
        <v>20</v>
      </c>
      <c r="I27" s="7">
        <v>240000</v>
      </c>
      <c r="J27" s="14">
        <v>26716</v>
      </c>
      <c r="K27" s="15">
        <f>L27+22152+26340+20956+26812</f>
        <v>122976</v>
      </c>
      <c r="L27" s="15">
        <f>2872*4+3807*4</f>
        <v>26716</v>
      </c>
      <c r="M27" s="15">
        <f t="shared" si="0"/>
        <v>26716</v>
      </c>
      <c r="N27" s="15">
        <v>0</v>
      </c>
      <c r="O27" s="58">
        <f t="shared" si="1"/>
        <v>0</v>
      </c>
      <c r="P27" s="39">
        <f t="shared" si="2"/>
        <v>24</v>
      </c>
      <c r="Q27" s="40">
        <f t="shared" si="3"/>
        <v>0</v>
      </c>
      <c r="R27" s="7"/>
      <c r="S27" s="6"/>
      <c r="T27" s="16"/>
      <c r="U27" s="16"/>
      <c r="V27" s="17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1</v>
      </c>
      <c r="AD27" s="10">
        <f t="shared" si="6"/>
        <v>1</v>
      </c>
      <c r="AE27" s="36">
        <f>$AD$28</f>
        <v>0.64962121212121204</v>
      </c>
      <c r="AF27" s="84">
        <f t="shared" si="8"/>
        <v>36</v>
      </c>
    </row>
    <row r="28" spans="1:32" ht="31.5" customHeight="1" thickBot="1">
      <c r="A28" s="464" t="s">
        <v>34</v>
      </c>
      <c r="B28" s="465"/>
      <c r="C28" s="465"/>
      <c r="D28" s="465"/>
      <c r="E28" s="465"/>
      <c r="F28" s="465"/>
      <c r="G28" s="465"/>
      <c r="H28" s="466"/>
      <c r="I28" s="22">
        <f t="shared" ref="I28:N28" si="10">SUM(I6:I27)</f>
        <v>3187700</v>
      </c>
      <c r="J28" s="19">
        <f t="shared" si="10"/>
        <v>363525</v>
      </c>
      <c r="K28" s="20">
        <f t="shared" si="10"/>
        <v>2029972</v>
      </c>
      <c r="L28" s="21">
        <f t="shared" si="10"/>
        <v>314803</v>
      </c>
      <c r="M28" s="20">
        <f t="shared" si="10"/>
        <v>314803</v>
      </c>
      <c r="N28" s="21">
        <f t="shared" si="10"/>
        <v>0</v>
      </c>
      <c r="O28" s="41">
        <f t="shared" si="1"/>
        <v>0</v>
      </c>
      <c r="P28" s="42">
        <f t="shared" ref="P28:AA28" si="11">SUM(P6:P27)</f>
        <v>343</v>
      </c>
      <c r="Q28" s="43">
        <f t="shared" si="11"/>
        <v>185</v>
      </c>
      <c r="R28" s="23">
        <f t="shared" si="11"/>
        <v>31</v>
      </c>
      <c r="S28" s="24">
        <f t="shared" si="11"/>
        <v>34</v>
      </c>
      <c r="T28" s="24">
        <f t="shared" si="11"/>
        <v>0</v>
      </c>
      <c r="U28" s="24">
        <f t="shared" si="11"/>
        <v>0</v>
      </c>
      <c r="V28" s="25">
        <f t="shared" si="11"/>
        <v>72</v>
      </c>
      <c r="W28" s="26">
        <f t="shared" si="11"/>
        <v>48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0</v>
      </c>
      <c r="AB28" s="28">
        <f>AVERAGE(AB6:AB27)</f>
        <v>0.8</v>
      </c>
      <c r="AC28" s="4">
        <f>AVERAGE(AC6:AC27)</f>
        <v>0.64962121212121204</v>
      </c>
      <c r="AD28" s="4">
        <f>AVERAGE(AD6:AD27)</f>
        <v>0.64962121212121204</v>
      </c>
      <c r="AE28" s="29"/>
    </row>
    <row r="29" spans="1:32">
      <c r="T29" s="50" t="s">
        <v>157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160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67" t="s">
        <v>45</v>
      </c>
      <c r="B55" s="467"/>
      <c r="C55" s="467"/>
      <c r="D55" s="467"/>
      <c r="E55" s="467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68" t="s">
        <v>216</v>
      </c>
      <c r="B56" s="469"/>
      <c r="C56" s="469"/>
      <c r="D56" s="469"/>
      <c r="E56" s="469"/>
      <c r="F56" s="469"/>
      <c r="G56" s="469"/>
      <c r="H56" s="469"/>
      <c r="I56" s="469"/>
      <c r="J56" s="469"/>
      <c r="K56" s="469"/>
      <c r="L56" s="469"/>
      <c r="M56" s="470"/>
      <c r="N56" s="471" t="s">
        <v>222</v>
      </c>
      <c r="O56" s="472"/>
      <c r="P56" s="472"/>
      <c r="Q56" s="472"/>
      <c r="R56" s="472"/>
      <c r="S56" s="472"/>
      <c r="T56" s="472"/>
      <c r="U56" s="472"/>
      <c r="V56" s="472"/>
      <c r="W56" s="472"/>
      <c r="X56" s="472"/>
      <c r="Y56" s="472"/>
      <c r="Z56" s="472"/>
      <c r="AA56" s="472"/>
      <c r="AB56" s="472"/>
      <c r="AC56" s="472"/>
      <c r="AD56" s="473"/>
    </row>
    <row r="57" spans="1:32" ht="27" customHeight="1">
      <c r="A57" s="474" t="s">
        <v>2</v>
      </c>
      <c r="B57" s="475"/>
      <c r="C57" s="152" t="s">
        <v>46</v>
      </c>
      <c r="D57" s="152" t="s">
        <v>47</v>
      </c>
      <c r="E57" s="152" t="s">
        <v>107</v>
      </c>
      <c r="F57" s="476" t="s">
        <v>106</v>
      </c>
      <c r="G57" s="477"/>
      <c r="H57" s="477"/>
      <c r="I57" s="477"/>
      <c r="J57" s="477"/>
      <c r="K57" s="477"/>
      <c r="L57" s="477"/>
      <c r="M57" s="478"/>
      <c r="N57" s="67" t="s">
        <v>110</v>
      </c>
      <c r="O57" s="152" t="s">
        <v>46</v>
      </c>
      <c r="P57" s="476" t="s">
        <v>47</v>
      </c>
      <c r="Q57" s="479"/>
      <c r="R57" s="476" t="s">
        <v>38</v>
      </c>
      <c r="S57" s="477"/>
      <c r="T57" s="477"/>
      <c r="U57" s="479"/>
      <c r="V57" s="476" t="s">
        <v>48</v>
      </c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490" t="s">
        <v>116</v>
      </c>
      <c r="B58" s="491"/>
      <c r="C58" s="148" t="s">
        <v>132</v>
      </c>
      <c r="D58" s="148" t="s">
        <v>130</v>
      </c>
      <c r="E58" s="148" t="s">
        <v>158</v>
      </c>
      <c r="F58" s="492" t="s">
        <v>217</v>
      </c>
      <c r="G58" s="493"/>
      <c r="H58" s="493"/>
      <c r="I58" s="493"/>
      <c r="J58" s="493"/>
      <c r="K58" s="493"/>
      <c r="L58" s="493"/>
      <c r="M58" s="494"/>
      <c r="N58" s="151" t="s">
        <v>116</v>
      </c>
      <c r="O58" s="145" t="s">
        <v>132</v>
      </c>
      <c r="P58" s="495" t="s">
        <v>130</v>
      </c>
      <c r="Q58" s="496"/>
      <c r="R58" s="495" t="s">
        <v>158</v>
      </c>
      <c r="S58" s="497"/>
      <c r="T58" s="497"/>
      <c r="U58" s="496"/>
      <c r="V58" s="498" t="s">
        <v>120</v>
      </c>
      <c r="W58" s="498"/>
      <c r="X58" s="498"/>
      <c r="Y58" s="498"/>
      <c r="Z58" s="498"/>
      <c r="AA58" s="498"/>
      <c r="AB58" s="498"/>
      <c r="AC58" s="498"/>
      <c r="AD58" s="499"/>
    </row>
    <row r="59" spans="1:32" ht="27" customHeight="1">
      <c r="A59" s="500" t="s">
        <v>143</v>
      </c>
      <c r="B59" s="501"/>
      <c r="C59" s="147" t="s">
        <v>175</v>
      </c>
      <c r="D59" s="147" t="s">
        <v>140</v>
      </c>
      <c r="E59" s="148" t="s">
        <v>174</v>
      </c>
      <c r="F59" s="492" t="s">
        <v>218</v>
      </c>
      <c r="G59" s="493"/>
      <c r="H59" s="493"/>
      <c r="I59" s="493"/>
      <c r="J59" s="493"/>
      <c r="K59" s="493"/>
      <c r="L59" s="493"/>
      <c r="M59" s="494"/>
      <c r="N59" s="151" t="s">
        <v>116</v>
      </c>
      <c r="O59" s="145" t="s">
        <v>175</v>
      </c>
      <c r="P59" s="495" t="s">
        <v>140</v>
      </c>
      <c r="Q59" s="496"/>
      <c r="R59" s="495" t="s">
        <v>174</v>
      </c>
      <c r="S59" s="497"/>
      <c r="T59" s="497"/>
      <c r="U59" s="496"/>
      <c r="V59" s="498" t="s">
        <v>120</v>
      </c>
      <c r="W59" s="498"/>
      <c r="X59" s="498"/>
      <c r="Y59" s="498"/>
      <c r="Z59" s="498"/>
      <c r="AA59" s="498"/>
      <c r="AB59" s="498"/>
      <c r="AC59" s="498"/>
      <c r="AD59" s="499"/>
    </row>
    <row r="60" spans="1:32" ht="27" customHeight="1">
      <c r="A60" s="500" t="s">
        <v>116</v>
      </c>
      <c r="B60" s="501"/>
      <c r="C60" s="147" t="s">
        <v>198</v>
      </c>
      <c r="D60" s="147" t="s">
        <v>173</v>
      </c>
      <c r="E60" s="148" t="s">
        <v>172</v>
      </c>
      <c r="F60" s="492" t="s">
        <v>219</v>
      </c>
      <c r="G60" s="493"/>
      <c r="H60" s="493"/>
      <c r="I60" s="493"/>
      <c r="J60" s="493"/>
      <c r="K60" s="493"/>
      <c r="L60" s="493"/>
      <c r="M60" s="494"/>
      <c r="N60" s="151" t="s">
        <v>116</v>
      </c>
      <c r="O60" s="145" t="s">
        <v>129</v>
      </c>
      <c r="P60" s="495" t="s">
        <v>115</v>
      </c>
      <c r="Q60" s="496"/>
      <c r="R60" s="495" t="s">
        <v>223</v>
      </c>
      <c r="S60" s="497"/>
      <c r="T60" s="497"/>
      <c r="U60" s="496"/>
      <c r="V60" s="498" t="s">
        <v>125</v>
      </c>
      <c r="W60" s="498"/>
      <c r="X60" s="498"/>
      <c r="Y60" s="498"/>
      <c r="Z60" s="498"/>
      <c r="AA60" s="498"/>
      <c r="AB60" s="498"/>
      <c r="AC60" s="498"/>
      <c r="AD60" s="499"/>
    </row>
    <row r="61" spans="1:32" ht="27" customHeight="1">
      <c r="A61" s="500" t="s">
        <v>112</v>
      </c>
      <c r="B61" s="501"/>
      <c r="C61" s="147" t="s">
        <v>221</v>
      </c>
      <c r="D61" s="147" t="s">
        <v>142</v>
      </c>
      <c r="E61" s="148" t="s">
        <v>161</v>
      </c>
      <c r="F61" s="492" t="s">
        <v>220</v>
      </c>
      <c r="G61" s="493"/>
      <c r="H61" s="493"/>
      <c r="I61" s="493"/>
      <c r="J61" s="493"/>
      <c r="K61" s="493"/>
      <c r="L61" s="493"/>
      <c r="M61" s="494"/>
      <c r="N61" s="151" t="s">
        <v>112</v>
      </c>
      <c r="O61" s="145" t="s">
        <v>221</v>
      </c>
      <c r="P61" s="495" t="s">
        <v>142</v>
      </c>
      <c r="Q61" s="496"/>
      <c r="R61" s="495" t="s">
        <v>161</v>
      </c>
      <c r="S61" s="497"/>
      <c r="T61" s="497"/>
      <c r="U61" s="496"/>
      <c r="V61" s="498" t="s">
        <v>120</v>
      </c>
      <c r="W61" s="498"/>
      <c r="X61" s="498"/>
      <c r="Y61" s="498"/>
      <c r="Z61" s="498"/>
      <c r="AA61" s="498"/>
      <c r="AB61" s="498"/>
      <c r="AC61" s="498"/>
      <c r="AD61" s="499"/>
    </row>
    <row r="62" spans="1:32" ht="27" customHeight="1">
      <c r="A62" s="500"/>
      <c r="B62" s="501"/>
      <c r="C62" s="147"/>
      <c r="D62" s="147"/>
      <c r="E62" s="148"/>
      <c r="F62" s="492"/>
      <c r="G62" s="493"/>
      <c r="H62" s="493"/>
      <c r="I62" s="493"/>
      <c r="J62" s="493"/>
      <c r="K62" s="493"/>
      <c r="L62" s="493"/>
      <c r="M62" s="494"/>
      <c r="N62" s="151"/>
      <c r="O62" s="145"/>
      <c r="P62" s="495"/>
      <c r="Q62" s="496"/>
      <c r="R62" s="495"/>
      <c r="S62" s="497"/>
      <c r="T62" s="497"/>
      <c r="U62" s="496"/>
      <c r="V62" s="498"/>
      <c r="W62" s="498"/>
      <c r="X62" s="498"/>
      <c r="Y62" s="498"/>
      <c r="Z62" s="498"/>
      <c r="AA62" s="498"/>
      <c r="AB62" s="498"/>
      <c r="AC62" s="498"/>
      <c r="AD62" s="499"/>
    </row>
    <row r="63" spans="1:32" ht="27" customHeight="1">
      <c r="A63" s="500"/>
      <c r="B63" s="501"/>
      <c r="C63" s="147"/>
      <c r="D63" s="147"/>
      <c r="E63" s="148"/>
      <c r="F63" s="492"/>
      <c r="G63" s="493"/>
      <c r="H63" s="493"/>
      <c r="I63" s="493"/>
      <c r="J63" s="493"/>
      <c r="K63" s="493"/>
      <c r="L63" s="493"/>
      <c r="M63" s="494"/>
      <c r="N63" s="151"/>
      <c r="O63" s="145"/>
      <c r="P63" s="495"/>
      <c r="Q63" s="496"/>
      <c r="R63" s="495"/>
      <c r="S63" s="497"/>
      <c r="T63" s="497"/>
      <c r="U63" s="496"/>
      <c r="V63" s="498"/>
      <c r="W63" s="498"/>
      <c r="X63" s="498"/>
      <c r="Y63" s="498"/>
      <c r="Z63" s="498"/>
      <c r="AA63" s="498"/>
      <c r="AB63" s="498"/>
      <c r="AC63" s="498"/>
      <c r="AD63" s="499"/>
    </row>
    <row r="64" spans="1:32" ht="27" customHeight="1">
      <c r="A64" s="490"/>
      <c r="B64" s="491"/>
      <c r="C64" s="148"/>
      <c r="D64" s="148"/>
      <c r="E64" s="148"/>
      <c r="F64" s="492"/>
      <c r="G64" s="493"/>
      <c r="H64" s="493"/>
      <c r="I64" s="493"/>
      <c r="J64" s="493"/>
      <c r="K64" s="493"/>
      <c r="L64" s="493"/>
      <c r="M64" s="494"/>
      <c r="N64" s="151"/>
      <c r="O64" s="145"/>
      <c r="P64" s="495"/>
      <c r="Q64" s="496"/>
      <c r="R64" s="495"/>
      <c r="S64" s="497"/>
      <c r="T64" s="497"/>
      <c r="U64" s="496"/>
      <c r="V64" s="498"/>
      <c r="W64" s="498"/>
      <c r="X64" s="498"/>
      <c r="Y64" s="498"/>
      <c r="Z64" s="498"/>
      <c r="AA64" s="498"/>
      <c r="AB64" s="498"/>
      <c r="AC64" s="498"/>
      <c r="AD64" s="499"/>
    </row>
    <row r="65" spans="1:32" ht="27" customHeight="1">
      <c r="A65" s="500"/>
      <c r="B65" s="501"/>
      <c r="C65" s="147"/>
      <c r="D65" s="147"/>
      <c r="E65" s="148"/>
      <c r="F65" s="492"/>
      <c r="G65" s="493"/>
      <c r="H65" s="493"/>
      <c r="I65" s="493"/>
      <c r="J65" s="493"/>
      <c r="K65" s="493"/>
      <c r="L65" s="493"/>
      <c r="M65" s="494"/>
      <c r="N65" s="151"/>
      <c r="O65" s="145"/>
      <c r="P65" s="495"/>
      <c r="Q65" s="496"/>
      <c r="R65" s="495"/>
      <c r="S65" s="497"/>
      <c r="T65" s="497"/>
      <c r="U65" s="496"/>
      <c r="V65" s="498"/>
      <c r="W65" s="498"/>
      <c r="X65" s="498"/>
      <c r="Y65" s="498"/>
      <c r="Z65" s="498"/>
      <c r="AA65" s="498"/>
      <c r="AB65" s="498"/>
      <c r="AC65" s="498"/>
      <c r="AD65" s="499"/>
    </row>
    <row r="66" spans="1:32" ht="27" customHeight="1">
      <c r="A66" s="500"/>
      <c r="B66" s="501"/>
      <c r="C66" s="147"/>
      <c r="D66" s="147"/>
      <c r="E66" s="148"/>
      <c r="F66" s="492"/>
      <c r="G66" s="493"/>
      <c r="H66" s="493"/>
      <c r="I66" s="493"/>
      <c r="J66" s="493"/>
      <c r="K66" s="493"/>
      <c r="L66" s="493"/>
      <c r="M66" s="494"/>
      <c r="N66" s="151"/>
      <c r="O66" s="145"/>
      <c r="P66" s="491"/>
      <c r="Q66" s="491"/>
      <c r="R66" s="491"/>
      <c r="S66" s="491"/>
      <c r="T66" s="491"/>
      <c r="U66" s="491"/>
      <c r="V66" s="498"/>
      <c r="W66" s="498"/>
      <c r="X66" s="498"/>
      <c r="Y66" s="498"/>
      <c r="Z66" s="498"/>
      <c r="AA66" s="498"/>
      <c r="AB66" s="498"/>
      <c r="AC66" s="498"/>
      <c r="AD66" s="499"/>
      <c r="AF66" s="84">
        <f>8*3000</f>
        <v>24000</v>
      </c>
    </row>
    <row r="67" spans="1:32" ht="27" customHeight="1" thickBot="1">
      <c r="A67" s="502"/>
      <c r="B67" s="503"/>
      <c r="C67" s="149"/>
      <c r="D67" s="150"/>
      <c r="E67" s="149"/>
      <c r="F67" s="504"/>
      <c r="G67" s="505"/>
      <c r="H67" s="505"/>
      <c r="I67" s="505"/>
      <c r="J67" s="505"/>
      <c r="K67" s="505"/>
      <c r="L67" s="505"/>
      <c r="M67" s="506"/>
      <c r="N67" s="111"/>
      <c r="O67" s="103"/>
      <c r="P67" s="507"/>
      <c r="Q67" s="507"/>
      <c r="R67" s="507"/>
      <c r="S67" s="507"/>
      <c r="T67" s="507"/>
      <c r="U67" s="507"/>
      <c r="V67" s="508"/>
      <c r="W67" s="508"/>
      <c r="X67" s="508"/>
      <c r="Y67" s="508"/>
      <c r="Z67" s="508"/>
      <c r="AA67" s="508"/>
      <c r="AB67" s="508"/>
      <c r="AC67" s="508"/>
      <c r="AD67" s="509"/>
      <c r="AF67" s="84">
        <f>16*3000</f>
        <v>48000</v>
      </c>
    </row>
    <row r="68" spans="1:32" ht="27.75" thickBot="1">
      <c r="A68" s="510" t="s">
        <v>224</v>
      </c>
      <c r="B68" s="510"/>
      <c r="C68" s="510"/>
      <c r="D68" s="510"/>
      <c r="E68" s="51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11" t="s">
        <v>111</v>
      </c>
      <c r="B69" s="512"/>
      <c r="C69" s="146" t="s">
        <v>2</v>
      </c>
      <c r="D69" s="146" t="s">
        <v>37</v>
      </c>
      <c r="E69" s="146" t="s">
        <v>3</v>
      </c>
      <c r="F69" s="512" t="s">
        <v>109</v>
      </c>
      <c r="G69" s="512"/>
      <c r="H69" s="512"/>
      <c r="I69" s="512"/>
      <c r="J69" s="512"/>
      <c r="K69" s="512" t="s">
        <v>39</v>
      </c>
      <c r="L69" s="512"/>
      <c r="M69" s="146" t="s">
        <v>40</v>
      </c>
      <c r="N69" s="512" t="s">
        <v>41</v>
      </c>
      <c r="O69" s="512"/>
      <c r="P69" s="513" t="s">
        <v>42</v>
      </c>
      <c r="Q69" s="514"/>
      <c r="R69" s="513" t="s">
        <v>43</v>
      </c>
      <c r="S69" s="515"/>
      <c r="T69" s="515"/>
      <c r="U69" s="515"/>
      <c r="V69" s="515"/>
      <c r="W69" s="515"/>
      <c r="X69" s="515"/>
      <c r="Y69" s="515"/>
      <c r="Z69" s="515"/>
      <c r="AA69" s="514"/>
      <c r="AB69" s="512" t="s">
        <v>44</v>
      </c>
      <c r="AC69" s="512"/>
      <c r="AD69" s="516"/>
      <c r="AF69" s="84">
        <f>SUM(AF66:AF68)</f>
        <v>96000</v>
      </c>
    </row>
    <row r="70" spans="1:32" ht="25.5" customHeight="1">
      <c r="A70" s="517">
        <v>1</v>
      </c>
      <c r="B70" s="518"/>
      <c r="C70" s="104" t="s">
        <v>203</v>
      </c>
      <c r="D70" s="141"/>
      <c r="E70" s="144" t="s">
        <v>115</v>
      </c>
      <c r="F70" s="519" t="s">
        <v>225</v>
      </c>
      <c r="G70" s="520"/>
      <c r="H70" s="520"/>
      <c r="I70" s="520"/>
      <c r="J70" s="521"/>
      <c r="K70" s="522" t="s">
        <v>227</v>
      </c>
      <c r="L70" s="522"/>
      <c r="M70" s="51" t="s">
        <v>178</v>
      </c>
      <c r="N70" s="523" t="s">
        <v>206</v>
      </c>
      <c r="O70" s="523"/>
      <c r="P70" s="524">
        <v>50</v>
      </c>
      <c r="Q70" s="524"/>
      <c r="R70" s="498"/>
      <c r="S70" s="498"/>
      <c r="T70" s="498"/>
      <c r="U70" s="498"/>
      <c r="V70" s="498"/>
      <c r="W70" s="498"/>
      <c r="X70" s="498"/>
      <c r="Y70" s="498"/>
      <c r="Z70" s="498"/>
      <c r="AA70" s="498"/>
      <c r="AB70" s="522"/>
      <c r="AC70" s="522"/>
      <c r="AD70" s="525"/>
      <c r="AF70" s="50"/>
    </row>
    <row r="71" spans="1:32" ht="25.5" customHeight="1">
      <c r="A71" s="517">
        <v>2</v>
      </c>
      <c r="B71" s="518"/>
      <c r="C71" s="104" t="s">
        <v>203</v>
      </c>
      <c r="D71" s="141"/>
      <c r="E71" s="144" t="s">
        <v>115</v>
      </c>
      <c r="F71" s="519" t="s">
        <v>226</v>
      </c>
      <c r="G71" s="520"/>
      <c r="H71" s="520"/>
      <c r="I71" s="520"/>
      <c r="J71" s="521"/>
      <c r="K71" s="522" t="s">
        <v>227</v>
      </c>
      <c r="L71" s="522"/>
      <c r="M71" s="51" t="s">
        <v>178</v>
      </c>
      <c r="N71" s="523" t="s">
        <v>206</v>
      </c>
      <c r="O71" s="523"/>
      <c r="P71" s="524">
        <v>50</v>
      </c>
      <c r="Q71" s="524"/>
      <c r="R71" s="498"/>
      <c r="S71" s="498"/>
      <c r="T71" s="498"/>
      <c r="U71" s="498"/>
      <c r="V71" s="498"/>
      <c r="W71" s="498"/>
      <c r="X71" s="498"/>
      <c r="Y71" s="498"/>
      <c r="Z71" s="498"/>
      <c r="AA71" s="498"/>
      <c r="AB71" s="522"/>
      <c r="AC71" s="522"/>
      <c r="AD71" s="525"/>
      <c r="AF71" s="50"/>
    </row>
    <row r="72" spans="1:32" ht="25.5" customHeight="1">
      <c r="A72" s="517">
        <v>3</v>
      </c>
      <c r="B72" s="518"/>
      <c r="C72" s="104"/>
      <c r="D72" s="141"/>
      <c r="E72" s="144"/>
      <c r="F72" s="519"/>
      <c r="G72" s="520"/>
      <c r="H72" s="520"/>
      <c r="I72" s="520"/>
      <c r="J72" s="521"/>
      <c r="K72" s="522"/>
      <c r="L72" s="522"/>
      <c r="M72" s="51"/>
      <c r="N72" s="523"/>
      <c r="O72" s="523"/>
      <c r="P72" s="524"/>
      <c r="Q72" s="524"/>
      <c r="R72" s="498"/>
      <c r="S72" s="498"/>
      <c r="T72" s="498"/>
      <c r="U72" s="498"/>
      <c r="V72" s="498"/>
      <c r="W72" s="498"/>
      <c r="X72" s="498"/>
      <c r="Y72" s="498"/>
      <c r="Z72" s="498"/>
      <c r="AA72" s="498"/>
      <c r="AB72" s="522"/>
      <c r="AC72" s="522"/>
      <c r="AD72" s="525"/>
      <c r="AF72" s="50"/>
    </row>
    <row r="73" spans="1:32" ht="25.5" customHeight="1">
      <c r="A73" s="517">
        <v>4</v>
      </c>
      <c r="B73" s="518"/>
      <c r="C73" s="104"/>
      <c r="D73" s="141"/>
      <c r="E73" s="144"/>
      <c r="F73" s="519"/>
      <c r="G73" s="520"/>
      <c r="H73" s="520"/>
      <c r="I73" s="520"/>
      <c r="J73" s="521"/>
      <c r="K73" s="522"/>
      <c r="L73" s="522"/>
      <c r="M73" s="51"/>
      <c r="N73" s="523"/>
      <c r="O73" s="523"/>
      <c r="P73" s="524"/>
      <c r="Q73" s="524"/>
      <c r="R73" s="498"/>
      <c r="S73" s="498"/>
      <c r="T73" s="498"/>
      <c r="U73" s="498"/>
      <c r="V73" s="498"/>
      <c r="W73" s="498"/>
      <c r="X73" s="498"/>
      <c r="Y73" s="498"/>
      <c r="Z73" s="498"/>
      <c r="AA73" s="498"/>
      <c r="AB73" s="522"/>
      <c r="AC73" s="522"/>
      <c r="AD73" s="525"/>
      <c r="AF73" s="50"/>
    </row>
    <row r="74" spans="1:32" ht="25.5" customHeight="1">
      <c r="A74" s="517">
        <v>5</v>
      </c>
      <c r="B74" s="518"/>
      <c r="C74" s="104"/>
      <c r="D74" s="141"/>
      <c r="E74" s="144"/>
      <c r="F74" s="519"/>
      <c r="G74" s="520"/>
      <c r="H74" s="520"/>
      <c r="I74" s="520"/>
      <c r="J74" s="521"/>
      <c r="K74" s="522"/>
      <c r="L74" s="522"/>
      <c r="M74" s="51"/>
      <c r="N74" s="523"/>
      <c r="O74" s="523"/>
      <c r="P74" s="524"/>
      <c r="Q74" s="524"/>
      <c r="R74" s="498"/>
      <c r="S74" s="498"/>
      <c r="T74" s="498"/>
      <c r="U74" s="498"/>
      <c r="V74" s="498"/>
      <c r="W74" s="498"/>
      <c r="X74" s="498"/>
      <c r="Y74" s="498"/>
      <c r="Z74" s="498"/>
      <c r="AA74" s="498"/>
      <c r="AB74" s="522"/>
      <c r="AC74" s="522"/>
      <c r="AD74" s="525"/>
      <c r="AF74" s="50"/>
    </row>
    <row r="75" spans="1:32" ht="25.5" customHeight="1">
      <c r="A75" s="517">
        <v>6</v>
      </c>
      <c r="B75" s="518"/>
      <c r="C75" s="104"/>
      <c r="D75" s="141"/>
      <c r="E75" s="144"/>
      <c r="F75" s="519"/>
      <c r="G75" s="520"/>
      <c r="H75" s="520"/>
      <c r="I75" s="520"/>
      <c r="J75" s="521"/>
      <c r="K75" s="522"/>
      <c r="L75" s="522"/>
      <c r="M75" s="51"/>
      <c r="N75" s="523"/>
      <c r="O75" s="523"/>
      <c r="P75" s="524"/>
      <c r="Q75" s="524"/>
      <c r="R75" s="498"/>
      <c r="S75" s="498"/>
      <c r="T75" s="498"/>
      <c r="U75" s="498"/>
      <c r="V75" s="498"/>
      <c r="W75" s="498"/>
      <c r="X75" s="498"/>
      <c r="Y75" s="498"/>
      <c r="Z75" s="498"/>
      <c r="AA75" s="498"/>
      <c r="AB75" s="522"/>
      <c r="AC75" s="522"/>
      <c r="AD75" s="525"/>
      <c r="AF75" s="50"/>
    </row>
    <row r="76" spans="1:32" ht="25.5" customHeight="1">
      <c r="A76" s="517">
        <v>7</v>
      </c>
      <c r="B76" s="518"/>
      <c r="C76" s="104"/>
      <c r="D76" s="141"/>
      <c r="E76" s="144"/>
      <c r="F76" s="519"/>
      <c r="G76" s="520"/>
      <c r="H76" s="520"/>
      <c r="I76" s="520"/>
      <c r="J76" s="521"/>
      <c r="K76" s="522"/>
      <c r="L76" s="522"/>
      <c r="M76" s="51"/>
      <c r="N76" s="523"/>
      <c r="O76" s="523"/>
      <c r="P76" s="524"/>
      <c r="Q76" s="524"/>
      <c r="R76" s="498"/>
      <c r="S76" s="498"/>
      <c r="T76" s="498"/>
      <c r="U76" s="498"/>
      <c r="V76" s="498"/>
      <c r="W76" s="498"/>
      <c r="X76" s="498"/>
      <c r="Y76" s="498"/>
      <c r="Z76" s="498"/>
      <c r="AA76" s="498"/>
      <c r="AB76" s="522"/>
      <c r="AC76" s="522"/>
      <c r="AD76" s="525"/>
      <c r="AF76" s="50"/>
    </row>
    <row r="77" spans="1:32" ht="25.5" customHeight="1">
      <c r="A77" s="517">
        <v>8</v>
      </c>
      <c r="B77" s="518"/>
      <c r="C77" s="104"/>
      <c r="D77" s="141"/>
      <c r="E77" s="144"/>
      <c r="F77" s="526"/>
      <c r="G77" s="522"/>
      <c r="H77" s="522"/>
      <c r="I77" s="522"/>
      <c r="J77" s="522"/>
      <c r="K77" s="522"/>
      <c r="L77" s="522"/>
      <c r="M77" s="51"/>
      <c r="N77" s="523"/>
      <c r="O77" s="523"/>
      <c r="P77" s="524"/>
      <c r="Q77" s="524"/>
      <c r="R77" s="498"/>
      <c r="S77" s="498"/>
      <c r="T77" s="498"/>
      <c r="U77" s="498"/>
      <c r="V77" s="498"/>
      <c r="W77" s="498"/>
      <c r="X77" s="498"/>
      <c r="Y77" s="498"/>
      <c r="Z77" s="498"/>
      <c r="AA77" s="498"/>
      <c r="AB77" s="522"/>
      <c r="AC77" s="522"/>
      <c r="AD77" s="525"/>
      <c r="AF77" s="50"/>
    </row>
    <row r="78" spans="1:32" ht="25.5" customHeight="1">
      <c r="A78" s="517">
        <v>9</v>
      </c>
      <c r="B78" s="518"/>
      <c r="C78" s="104"/>
      <c r="D78" s="141"/>
      <c r="E78" s="144"/>
      <c r="F78" s="526"/>
      <c r="G78" s="522"/>
      <c r="H78" s="522"/>
      <c r="I78" s="522"/>
      <c r="J78" s="522"/>
      <c r="K78" s="522"/>
      <c r="L78" s="522"/>
      <c r="M78" s="51"/>
      <c r="N78" s="523"/>
      <c r="O78" s="523"/>
      <c r="P78" s="524"/>
      <c r="Q78" s="524"/>
      <c r="R78" s="498"/>
      <c r="S78" s="498"/>
      <c r="T78" s="498"/>
      <c r="U78" s="498"/>
      <c r="V78" s="498"/>
      <c r="W78" s="498"/>
      <c r="X78" s="498"/>
      <c r="Y78" s="498"/>
      <c r="Z78" s="498"/>
      <c r="AA78" s="498"/>
      <c r="AB78" s="522"/>
      <c r="AC78" s="522"/>
      <c r="AD78" s="525"/>
      <c r="AF78" s="50"/>
    </row>
    <row r="79" spans="1:32" ht="25.5" customHeight="1">
      <c r="A79" s="517">
        <v>10</v>
      </c>
      <c r="B79" s="518"/>
      <c r="C79" s="104"/>
      <c r="D79" s="141"/>
      <c r="E79" s="144"/>
      <c r="F79" s="526"/>
      <c r="G79" s="522"/>
      <c r="H79" s="522"/>
      <c r="I79" s="522"/>
      <c r="J79" s="522"/>
      <c r="K79" s="522"/>
      <c r="L79" s="522"/>
      <c r="M79" s="51"/>
      <c r="N79" s="523"/>
      <c r="O79" s="523"/>
      <c r="P79" s="524"/>
      <c r="Q79" s="524"/>
      <c r="R79" s="498"/>
      <c r="S79" s="498"/>
      <c r="T79" s="498"/>
      <c r="U79" s="498"/>
      <c r="V79" s="498"/>
      <c r="W79" s="498"/>
      <c r="X79" s="498"/>
      <c r="Y79" s="498"/>
      <c r="Z79" s="498"/>
      <c r="AA79" s="498"/>
      <c r="AB79" s="522"/>
      <c r="AC79" s="522"/>
      <c r="AD79" s="525"/>
      <c r="AF79" s="50"/>
    </row>
    <row r="80" spans="1:32" ht="26.25" customHeight="1" thickBot="1">
      <c r="A80" s="527" t="s">
        <v>228</v>
      </c>
      <c r="B80" s="527"/>
      <c r="C80" s="527"/>
      <c r="D80" s="527"/>
      <c r="E80" s="527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528" t="s">
        <v>111</v>
      </c>
      <c r="B81" s="529"/>
      <c r="C81" s="143" t="s">
        <v>2</v>
      </c>
      <c r="D81" s="143" t="s">
        <v>37</v>
      </c>
      <c r="E81" s="143" t="s">
        <v>121</v>
      </c>
      <c r="F81" s="530" t="s">
        <v>38</v>
      </c>
      <c r="G81" s="530"/>
      <c r="H81" s="530"/>
      <c r="I81" s="530"/>
      <c r="J81" s="530"/>
      <c r="K81" s="531" t="s">
        <v>58</v>
      </c>
      <c r="L81" s="532"/>
      <c r="M81" s="532"/>
      <c r="N81" s="532"/>
      <c r="O81" s="532"/>
      <c r="P81" s="532"/>
      <c r="Q81" s="532"/>
      <c r="R81" s="532"/>
      <c r="S81" s="533"/>
      <c r="T81" s="530" t="s">
        <v>49</v>
      </c>
      <c r="U81" s="530"/>
      <c r="V81" s="531" t="s">
        <v>50</v>
      </c>
      <c r="W81" s="533"/>
      <c r="X81" s="532" t="s">
        <v>51</v>
      </c>
      <c r="Y81" s="532"/>
      <c r="Z81" s="532"/>
      <c r="AA81" s="532"/>
      <c r="AB81" s="532"/>
      <c r="AC81" s="532"/>
      <c r="AD81" s="534"/>
      <c r="AF81" s="50"/>
    </row>
    <row r="82" spans="1:32" ht="33.75" customHeight="1">
      <c r="A82" s="543">
        <v>1</v>
      </c>
      <c r="B82" s="544"/>
      <c r="C82" s="142"/>
      <c r="D82" s="142"/>
      <c r="E82" s="65"/>
      <c r="F82" s="545"/>
      <c r="G82" s="546"/>
      <c r="H82" s="546"/>
      <c r="I82" s="546"/>
      <c r="J82" s="547"/>
      <c r="K82" s="548"/>
      <c r="L82" s="549"/>
      <c r="M82" s="549"/>
      <c r="N82" s="549"/>
      <c r="O82" s="549"/>
      <c r="P82" s="549"/>
      <c r="Q82" s="549"/>
      <c r="R82" s="549"/>
      <c r="S82" s="550"/>
      <c r="T82" s="551"/>
      <c r="U82" s="552"/>
      <c r="V82" s="553"/>
      <c r="W82" s="553"/>
      <c r="X82" s="554"/>
      <c r="Y82" s="554"/>
      <c r="Z82" s="554"/>
      <c r="AA82" s="554"/>
      <c r="AB82" s="554"/>
      <c r="AC82" s="554"/>
      <c r="AD82" s="555"/>
      <c r="AF82" s="50"/>
    </row>
    <row r="83" spans="1:32" ht="30" customHeight="1">
      <c r="A83" s="535">
        <f>A82+1</f>
        <v>2</v>
      </c>
      <c r="B83" s="536"/>
      <c r="C83" s="141"/>
      <c r="D83" s="141"/>
      <c r="E83" s="32"/>
      <c r="F83" s="536"/>
      <c r="G83" s="536"/>
      <c r="H83" s="536"/>
      <c r="I83" s="536"/>
      <c r="J83" s="536"/>
      <c r="K83" s="537"/>
      <c r="L83" s="538"/>
      <c r="M83" s="538"/>
      <c r="N83" s="538"/>
      <c r="O83" s="538"/>
      <c r="P83" s="538"/>
      <c r="Q83" s="538"/>
      <c r="R83" s="538"/>
      <c r="S83" s="539"/>
      <c r="T83" s="540"/>
      <c r="U83" s="540"/>
      <c r="V83" s="540"/>
      <c r="W83" s="540"/>
      <c r="X83" s="541"/>
      <c r="Y83" s="541"/>
      <c r="Z83" s="541"/>
      <c r="AA83" s="541"/>
      <c r="AB83" s="541"/>
      <c r="AC83" s="541"/>
      <c r="AD83" s="542"/>
      <c r="AF83" s="50"/>
    </row>
    <row r="84" spans="1:32" ht="30" customHeight="1">
      <c r="A84" s="535">
        <f t="shared" ref="A84:A88" si="12">A83+1</f>
        <v>3</v>
      </c>
      <c r="B84" s="536"/>
      <c r="C84" s="141"/>
      <c r="D84" s="141"/>
      <c r="E84" s="32"/>
      <c r="F84" s="536"/>
      <c r="G84" s="536"/>
      <c r="H84" s="536"/>
      <c r="I84" s="536"/>
      <c r="J84" s="536"/>
      <c r="K84" s="537"/>
      <c r="L84" s="538"/>
      <c r="M84" s="538"/>
      <c r="N84" s="538"/>
      <c r="O84" s="538"/>
      <c r="P84" s="538"/>
      <c r="Q84" s="538"/>
      <c r="R84" s="538"/>
      <c r="S84" s="539"/>
      <c r="T84" s="540"/>
      <c r="U84" s="540"/>
      <c r="V84" s="540"/>
      <c r="W84" s="540"/>
      <c r="X84" s="541"/>
      <c r="Y84" s="541"/>
      <c r="Z84" s="541"/>
      <c r="AA84" s="541"/>
      <c r="AB84" s="541"/>
      <c r="AC84" s="541"/>
      <c r="AD84" s="542"/>
      <c r="AF84" s="50"/>
    </row>
    <row r="85" spans="1:32" ht="30" customHeight="1">
      <c r="A85" s="535">
        <f t="shared" si="12"/>
        <v>4</v>
      </c>
      <c r="B85" s="536"/>
      <c r="C85" s="141"/>
      <c r="D85" s="141"/>
      <c r="E85" s="32"/>
      <c r="F85" s="536"/>
      <c r="G85" s="536"/>
      <c r="H85" s="536"/>
      <c r="I85" s="536"/>
      <c r="J85" s="536"/>
      <c r="K85" s="537"/>
      <c r="L85" s="538"/>
      <c r="M85" s="538"/>
      <c r="N85" s="538"/>
      <c r="O85" s="538"/>
      <c r="P85" s="538"/>
      <c r="Q85" s="538"/>
      <c r="R85" s="538"/>
      <c r="S85" s="539"/>
      <c r="T85" s="540"/>
      <c r="U85" s="540"/>
      <c r="V85" s="540"/>
      <c r="W85" s="540"/>
      <c r="X85" s="541"/>
      <c r="Y85" s="541"/>
      <c r="Z85" s="541"/>
      <c r="AA85" s="541"/>
      <c r="AB85" s="541"/>
      <c r="AC85" s="541"/>
      <c r="AD85" s="542"/>
      <c r="AF85" s="50"/>
    </row>
    <row r="86" spans="1:32" ht="30" customHeight="1">
      <c r="A86" s="535">
        <f t="shared" si="12"/>
        <v>5</v>
      </c>
      <c r="B86" s="536"/>
      <c r="C86" s="141"/>
      <c r="D86" s="141"/>
      <c r="E86" s="32"/>
      <c r="F86" s="536"/>
      <c r="G86" s="536"/>
      <c r="H86" s="536"/>
      <c r="I86" s="536"/>
      <c r="J86" s="536"/>
      <c r="K86" s="537"/>
      <c r="L86" s="538"/>
      <c r="M86" s="538"/>
      <c r="N86" s="538"/>
      <c r="O86" s="538"/>
      <c r="P86" s="538"/>
      <c r="Q86" s="538"/>
      <c r="R86" s="538"/>
      <c r="S86" s="539"/>
      <c r="T86" s="540"/>
      <c r="U86" s="540"/>
      <c r="V86" s="540"/>
      <c r="W86" s="540"/>
      <c r="X86" s="541"/>
      <c r="Y86" s="541"/>
      <c r="Z86" s="541"/>
      <c r="AA86" s="541"/>
      <c r="AB86" s="541"/>
      <c r="AC86" s="541"/>
      <c r="AD86" s="542"/>
      <c r="AF86" s="50"/>
    </row>
    <row r="87" spans="1:32" ht="30" customHeight="1">
      <c r="A87" s="535">
        <f t="shared" si="12"/>
        <v>6</v>
      </c>
      <c r="B87" s="536"/>
      <c r="C87" s="141"/>
      <c r="D87" s="141"/>
      <c r="E87" s="32"/>
      <c r="F87" s="536"/>
      <c r="G87" s="536"/>
      <c r="H87" s="536"/>
      <c r="I87" s="536"/>
      <c r="J87" s="536"/>
      <c r="K87" s="537"/>
      <c r="L87" s="538"/>
      <c r="M87" s="538"/>
      <c r="N87" s="538"/>
      <c r="O87" s="538"/>
      <c r="P87" s="538"/>
      <c r="Q87" s="538"/>
      <c r="R87" s="538"/>
      <c r="S87" s="539"/>
      <c r="T87" s="540"/>
      <c r="U87" s="540"/>
      <c r="V87" s="540"/>
      <c r="W87" s="540"/>
      <c r="X87" s="541"/>
      <c r="Y87" s="541"/>
      <c r="Z87" s="541"/>
      <c r="AA87" s="541"/>
      <c r="AB87" s="541"/>
      <c r="AC87" s="541"/>
      <c r="AD87" s="542"/>
      <c r="AF87" s="50"/>
    </row>
    <row r="88" spans="1:32" ht="30" customHeight="1">
      <c r="A88" s="535">
        <f t="shared" si="12"/>
        <v>7</v>
      </c>
      <c r="B88" s="536"/>
      <c r="C88" s="141"/>
      <c r="D88" s="141"/>
      <c r="E88" s="32"/>
      <c r="F88" s="536"/>
      <c r="G88" s="536"/>
      <c r="H88" s="536"/>
      <c r="I88" s="536"/>
      <c r="J88" s="536"/>
      <c r="K88" s="537"/>
      <c r="L88" s="538"/>
      <c r="M88" s="538"/>
      <c r="N88" s="538"/>
      <c r="O88" s="538"/>
      <c r="P88" s="538"/>
      <c r="Q88" s="538"/>
      <c r="R88" s="538"/>
      <c r="S88" s="539"/>
      <c r="T88" s="540"/>
      <c r="U88" s="540"/>
      <c r="V88" s="540"/>
      <c r="W88" s="540"/>
      <c r="X88" s="541"/>
      <c r="Y88" s="541"/>
      <c r="Z88" s="541"/>
      <c r="AA88" s="541"/>
      <c r="AB88" s="541"/>
      <c r="AC88" s="541"/>
      <c r="AD88" s="542"/>
      <c r="AF88" s="50"/>
    </row>
    <row r="89" spans="1:32" ht="36" thickBot="1">
      <c r="A89" s="527" t="s">
        <v>229</v>
      </c>
      <c r="B89" s="527"/>
      <c r="C89" s="527"/>
      <c r="D89" s="527"/>
      <c r="E89" s="527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56" t="s">
        <v>111</v>
      </c>
      <c r="B90" s="530"/>
      <c r="C90" s="557" t="s">
        <v>52</v>
      </c>
      <c r="D90" s="557"/>
      <c r="E90" s="557" t="s">
        <v>53</v>
      </c>
      <c r="F90" s="557"/>
      <c r="G90" s="557"/>
      <c r="H90" s="557"/>
      <c r="I90" s="557"/>
      <c r="J90" s="557"/>
      <c r="K90" s="557" t="s">
        <v>54</v>
      </c>
      <c r="L90" s="557"/>
      <c r="M90" s="557"/>
      <c r="N90" s="557"/>
      <c r="O90" s="557"/>
      <c r="P90" s="557"/>
      <c r="Q90" s="557"/>
      <c r="R90" s="557"/>
      <c r="S90" s="557"/>
      <c r="T90" s="557" t="s">
        <v>55</v>
      </c>
      <c r="U90" s="557"/>
      <c r="V90" s="557" t="s">
        <v>56</v>
      </c>
      <c r="W90" s="557"/>
      <c r="X90" s="557"/>
      <c r="Y90" s="557" t="s">
        <v>51</v>
      </c>
      <c r="Z90" s="557"/>
      <c r="AA90" s="557"/>
      <c r="AB90" s="557"/>
      <c r="AC90" s="557"/>
      <c r="AD90" s="558"/>
      <c r="AF90" s="50"/>
    </row>
    <row r="91" spans="1:32" ht="30.75" customHeight="1">
      <c r="A91" s="543">
        <v>1</v>
      </c>
      <c r="B91" s="544"/>
      <c r="C91" s="559">
        <v>9</v>
      </c>
      <c r="D91" s="559"/>
      <c r="E91" s="559" t="s">
        <v>127</v>
      </c>
      <c r="F91" s="559"/>
      <c r="G91" s="559"/>
      <c r="H91" s="559"/>
      <c r="I91" s="559"/>
      <c r="J91" s="559"/>
      <c r="K91" s="559" t="s">
        <v>136</v>
      </c>
      <c r="L91" s="559"/>
      <c r="M91" s="559"/>
      <c r="N91" s="559"/>
      <c r="O91" s="559"/>
      <c r="P91" s="559"/>
      <c r="Q91" s="559"/>
      <c r="R91" s="559"/>
      <c r="S91" s="559"/>
      <c r="T91" s="559" t="s">
        <v>128</v>
      </c>
      <c r="U91" s="559"/>
      <c r="V91" s="560" t="s">
        <v>133</v>
      </c>
      <c r="W91" s="560"/>
      <c r="X91" s="560"/>
      <c r="Y91" s="561"/>
      <c r="Z91" s="561"/>
      <c r="AA91" s="561"/>
      <c r="AB91" s="561"/>
      <c r="AC91" s="561"/>
      <c r="AD91" s="562"/>
      <c r="AF91" s="50"/>
    </row>
    <row r="92" spans="1:32" ht="30.75" customHeight="1">
      <c r="A92" s="535">
        <v>2</v>
      </c>
      <c r="B92" s="536"/>
      <c r="C92" s="570">
        <v>6</v>
      </c>
      <c r="D92" s="570"/>
      <c r="E92" s="570" t="s">
        <v>230</v>
      </c>
      <c r="F92" s="570"/>
      <c r="G92" s="570"/>
      <c r="H92" s="570"/>
      <c r="I92" s="570"/>
      <c r="J92" s="570"/>
      <c r="K92" s="570"/>
      <c r="L92" s="570"/>
      <c r="M92" s="570"/>
      <c r="N92" s="570"/>
      <c r="O92" s="570"/>
      <c r="P92" s="570"/>
      <c r="Q92" s="570"/>
      <c r="R92" s="570"/>
      <c r="S92" s="570"/>
      <c r="T92" s="571" t="s">
        <v>231</v>
      </c>
      <c r="U92" s="571"/>
      <c r="V92" s="572"/>
      <c r="W92" s="572"/>
      <c r="X92" s="572"/>
      <c r="Y92" s="563"/>
      <c r="Z92" s="563"/>
      <c r="AA92" s="563"/>
      <c r="AB92" s="563"/>
      <c r="AC92" s="563"/>
      <c r="AD92" s="564"/>
      <c r="AF92" s="50"/>
    </row>
    <row r="93" spans="1:32" ht="30.75" customHeight="1" thickBot="1">
      <c r="A93" s="565">
        <v>3</v>
      </c>
      <c r="B93" s="566"/>
      <c r="C93" s="567">
        <v>8</v>
      </c>
      <c r="D93" s="567"/>
      <c r="E93" s="567" t="s">
        <v>232</v>
      </c>
      <c r="F93" s="567"/>
      <c r="G93" s="567"/>
      <c r="H93" s="567"/>
      <c r="I93" s="567"/>
      <c r="J93" s="567"/>
      <c r="K93" s="567"/>
      <c r="L93" s="567"/>
      <c r="M93" s="567"/>
      <c r="N93" s="567"/>
      <c r="O93" s="567"/>
      <c r="P93" s="567"/>
      <c r="Q93" s="567"/>
      <c r="R93" s="567"/>
      <c r="S93" s="567"/>
      <c r="T93" s="567" t="s">
        <v>233</v>
      </c>
      <c r="U93" s="567"/>
      <c r="V93" s="567"/>
      <c r="W93" s="567"/>
      <c r="X93" s="567"/>
      <c r="Y93" s="568"/>
      <c r="Z93" s="568"/>
      <c r="AA93" s="568"/>
      <c r="AB93" s="568"/>
      <c r="AC93" s="568"/>
      <c r="AD93" s="569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3" max="2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2E12-6574-40E0-B47B-867446EA206B}">
  <dimension ref="A1:AF93"/>
  <sheetViews>
    <sheetView view="pageBreakPreview" zoomScale="70" zoomScaleNormal="72" zoomScaleSheetLayoutView="70" workbookViewId="0">
      <selection activeCell="H99" sqref="H9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50" t="s">
        <v>234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1"/>
      <c r="B3" s="451"/>
      <c r="C3" s="451"/>
      <c r="D3" s="451"/>
      <c r="E3" s="451"/>
      <c r="F3" s="451"/>
      <c r="G3" s="45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52" t="s">
        <v>0</v>
      </c>
      <c r="B4" s="454" t="s">
        <v>1</v>
      </c>
      <c r="C4" s="454" t="s">
        <v>2</v>
      </c>
      <c r="D4" s="457" t="s">
        <v>3</v>
      </c>
      <c r="E4" s="459" t="s">
        <v>4</v>
      </c>
      <c r="F4" s="457" t="s">
        <v>5</v>
      </c>
      <c r="G4" s="454" t="s">
        <v>6</v>
      </c>
      <c r="H4" s="460" t="s">
        <v>7</v>
      </c>
      <c r="I4" s="480" t="s">
        <v>8</v>
      </c>
      <c r="J4" s="481"/>
      <c r="K4" s="481"/>
      <c r="L4" s="481"/>
      <c r="M4" s="481"/>
      <c r="N4" s="481"/>
      <c r="O4" s="482"/>
      <c r="P4" s="483" t="s">
        <v>9</v>
      </c>
      <c r="Q4" s="484"/>
      <c r="R4" s="485" t="s">
        <v>10</v>
      </c>
      <c r="S4" s="485"/>
      <c r="T4" s="485"/>
      <c r="U4" s="485"/>
      <c r="V4" s="485"/>
      <c r="W4" s="486" t="s">
        <v>11</v>
      </c>
      <c r="X4" s="485"/>
      <c r="Y4" s="485"/>
      <c r="Z4" s="485"/>
      <c r="AA4" s="487"/>
      <c r="AB4" s="488" t="s">
        <v>12</v>
      </c>
      <c r="AC4" s="462" t="s">
        <v>13</v>
      </c>
      <c r="AD4" s="462" t="s">
        <v>14</v>
      </c>
      <c r="AE4" s="54"/>
    </row>
    <row r="5" spans="1:32" ht="51" customHeight="1" thickBot="1">
      <c r="A5" s="453"/>
      <c r="B5" s="455"/>
      <c r="C5" s="456"/>
      <c r="D5" s="458"/>
      <c r="E5" s="458"/>
      <c r="F5" s="458"/>
      <c r="G5" s="455"/>
      <c r="H5" s="461"/>
      <c r="I5" s="55" t="s">
        <v>15</v>
      </c>
      <c r="J5" s="56" t="s">
        <v>16</v>
      </c>
      <c r="K5" s="154" t="s">
        <v>17</v>
      </c>
      <c r="L5" s="154" t="s">
        <v>18</v>
      </c>
      <c r="M5" s="154" t="s">
        <v>19</v>
      </c>
      <c r="N5" s="15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89"/>
      <c r="AC5" s="463"/>
      <c r="AD5" s="463"/>
      <c r="AE5" s="54"/>
    </row>
    <row r="6" spans="1:32" ht="27" customHeight="1">
      <c r="A6" s="112">
        <v>1</v>
      </c>
      <c r="B6" s="11" t="s">
        <v>57</v>
      </c>
      <c r="C6" s="34" t="s">
        <v>116</v>
      </c>
      <c r="D6" s="52" t="s">
        <v>130</v>
      </c>
      <c r="E6" s="53" t="s">
        <v>158</v>
      </c>
      <c r="F6" s="30" t="s">
        <v>146</v>
      </c>
      <c r="G6" s="12">
        <v>2</v>
      </c>
      <c r="H6" s="13">
        <v>24</v>
      </c>
      <c r="I6" s="31">
        <v>174000</v>
      </c>
      <c r="J6" s="14">
        <v>10138</v>
      </c>
      <c r="K6" s="15">
        <f>L6+2384+8412+9776+8821+8774</f>
        <v>48305</v>
      </c>
      <c r="L6" s="15">
        <f>2406*2+2663*2</f>
        <v>10138</v>
      </c>
      <c r="M6" s="15">
        <f t="shared" ref="M6:M27" si="0">L6-N6</f>
        <v>10138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24</v>
      </c>
      <c r="Q6" s="40">
        <f t="shared" ref="Q6:Q27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1</v>
      </c>
      <c r="AD6" s="10">
        <f t="shared" ref="AD6:AD27" si="6">AC6*AB6*(1-O6)</f>
        <v>1</v>
      </c>
      <c r="AE6" s="36">
        <f t="shared" ref="AE6:AE26" si="7">$AD$28</f>
        <v>0.37121212121212116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148</v>
      </c>
      <c r="E7" s="53" t="s">
        <v>149</v>
      </c>
      <c r="F7" s="30" t="s">
        <v>147</v>
      </c>
      <c r="G7" s="12">
        <v>1</v>
      </c>
      <c r="H7" s="13">
        <v>24</v>
      </c>
      <c r="I7" s="31">
        <v>18000</v>
      </c>
      <c r="J7" s="14">
        <v>6258</v>
      </c>
      <c r="K7" s="15">
        <f>L7+3479+6290+3687+5866+6258</f>
        <v>25580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0.37121212121212116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143</v>
      </c>
      <c r="D8" s="52" t="s">
        <v>115</v>
      </c>
      <c r="E8" s="53" t="s">
        <v>162</v>
      </c>
      <c r="F8" s="30" t="s">
        <v>144</v>
      </c>
      <c r="G8" s="12">
        <v>4</v>
      </c>
      <c r="H8" s="13">
        <v>24</v>
      </c>
      <c r="I8" s="7">
        <v>85000</v>
      </c>
      <c r="J8" s="5">
        <v>23800</v>
      </c>
      <c r="K8" s="15">
        <f>L8+21244+23732+21048+24120</f>
        <v>113944</v>
      </c>
      <c r="L8" s="15">
        <f>3078*4+2872*4</f>
        <v>23800</v>
      </c>
      <c r="M8" s="15">
        <f t="shared" si="0"/>
        <v>23800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0.37121212121212116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143</v>
      </c>
      <c r="D9" s="52" t="s">
        <v>124</v>
      </c>
      <c r="E9" s="53" t="s">
        <v>174</v>
      </c>
      <c r="F9" s="30" t="s">
        <v>144</v>
      </c>
      <c r="G9" s="12">
        <v>4</v>
      </c>
      <c r="H9" s="13">
        <v>24</v>
      </c>
      <c r="I9" s="7">
        <v>85000</v>
      </c>
      <c r="J9" s="14">
        <v>8020</v>
      </c>
      <c r="K9" s="15">
        <f>L9+12500+8020</f>
        <v>20520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>
        <v>24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0.37121212121212116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116</v>
      </c>
      <c r="D10" s="52" t="s">
        <v>124</v>
      </c>
      <c r="E10" s="53" t="s">
        <v>138</v>
      </c>
      <c r="F10" s="30" t="s">
        <v>131</v>
      </c>
      <c r="G10" s="33">
        <v>1</v>
      </c>
      <c r="H10" s="35">
        <v>24</v>
      </c>
      <c r="I10" s="7">
        <v>27000</v>
      </c>
      <c r="J10" s="14">
        <v>6746</v>
      </c>
      <c r="K10" s="15">
        <f>L10+6380+6789+6692+6752+6801</f>
        <v>40160</v>
      </c>
      <c r="L10" s="15">
        <f>3502+3244</f>
        <v>6746</v>
      </c>
      <c r="M10" s="15">
        <f t="shared" si="0"/>
        <v>6746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0.37121212121212116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116</v>
      </c>
      <c r="D11" s="52" t="s">
        <v>173</v>
      </c>
      <c r="E11" s="53" t="s">
        <v>172</v>
      </c>
      <c r="F11" s="30" t="s">
        <v>187</v>
      </c>
      <c r="G11" s="33">
        <v>32</v>
      </c>
      <c r="H11" s="35">
        <v>24</v>
      </c>
      <c r="I11" s="7">
        <v>300000</v>
      </c>
      <c r="J11" s="14">
        <v>100900</v>
      </c>
      <c r="K11" s="15">
        <f>L11+133700+100900</f>
        <v>234600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>
        <v>24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0.37121212121212116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126</v>
      </c>
      <c r="F12" s="30" t="s">
        <v>167</v>
      </c>
      <c r="G12" s="12">
        <v>1</v>
      </c>
      <c r="H12" s="13">
        <v>22</v>
      </c>
      <c r="I12" s="31">
        <v>100000</v>
      </c>
      <c r="J12" s="5">
        <v>5283</v>
      </c>
      <c r="K12" s="15">
        <f>L12+4676+4488+5126+5538</f>
        <v>25111</v>
      </c>
      <c r="L12" s="15">
        <f>2655+2628</f>
        <v>5283</v>
      </c>
      <c r="M12" s="15">
        <f t="shared" si="0"/>
        <v>5283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0.37121212121212116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124</v>
      </c>
      <c r="E13" s="53" t="s">
        <v>168</v>
      </c>
      <c r="F13" s="30" t="s">
        <v>131</v>
      </c>
      <c r="G13" s="33">
        <v>1</v>
      </c>
      <c r="H13" s="35">
        <v>24</v>
      </c>
      <c r="I13" s="7">
        <v>4000</v>
      </c>
      <c r="J13" s="14">
        <v>1346</v>
      </c>
      <c r="K13" s="15">
        <f>L13+1346</f>
        <v>1346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>
        <v>24</v>
      </c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0.37121212121212116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156</v>
      </c>
      <c r="F14" s="30" t="s">
        <v>151</v>
      </c>
      <c r="G14" s="33">
        <v>1</v>
      </c>
      <c r="H14" s="35">
        <v>50</v>
      </c>
      <c r="I14" s="7">
        <v>2500</v>
      </c>
      <c r="J14" s="5">
        <v>800</v>
      </c>
      <c r="K14" s="15">
        <f>L14+893+982+1050+800</f>
        <v>3725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0.37121212121212116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123</v>
      </c>
      <c r="E15" s="53" t="s">
        <v>141</v>
      </c>
      <c r="F15" s="30" t="s">
        <v>135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116</v>
      </c>
      <c r="D16" s="52" t="s">
        <v>150</v>
      </c>
      <c r="E16" s="53" t="s">
        <v>163</v>
      </c>
      <c r="F16" s="30" t="s">
        <v>145</v>
      </c>
      <c r="G16" s="12">
        <v>1</v>
      </c>
      <c r="H16" s="13">
        <v>24</v>
      </c>
      <c r="I16" s="7">
        <v>90000</v>
      </c>
      <c r="J16" s="14">
        <v>5552</v>
      </c>
      <c r="K16" s="15">
        <f>L16+5223+5599+5518+5572+5552</f>
        <v>27464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>
        <v>24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0.37121212121212116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143</v>
      </c>
      <c r="D17" s="52" t="s">
        <v>150</v>
      </c>
      <c r="E17" s="53" t="s">
        <v>159</v>
      </c>
      <c r="F17" s="30" t="s">
        <v>154</v>
      </c>
      <c r="G17" s="12">
        <v>3</v>
      </c>
      <c r="H17" s="13">
        <v>24</v>
      </c>
      <c r="I17" s="7">
        <v>260000</v>
      </c>
      <c r="J17" s="14">
        <v>17925</v>
      </c>
      <c r="K17" s="15">
        <f>L17+16128+16857+16941+16140+15960+17466+17355+17745+17910</f>
        <v>170427</v>
      </c>
      <c r="L17" s="15">
        <f>3120*3+2855*3</f>
        <v>17925</v>
      </c>
      <c r="M17" s="15">
        <f t="shared" si="0"/>
        <v>17925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0.37121212121212116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153</v>
      </c>
      <c r="F18" s="30" t="s">
        <v>131</v>
      </c>
      <c r="G18" s="33">
        <v>2</v>
      </c>
      <c r="H18" s="35">
        <v>24</v>
      </c>
      <c r="I18" s="7">
        <v>27200</v>
      </c>
      <c r="J18" s="14">
        <v>5593</v>
      </c>
      <c r="K18" s="15">
        <f>L18+5049+2711+6081+2649+5790+5789</f>
        <v>33662</v>
      </c>
      <c r="L18" s="15">
        <f>2820+2773</f>
        <v>5593</v>
      </c>
      <c r="M18" s="15">
        <f t="shared" si="0"/>
        <v>5593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0.37121212121212116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142</v>
      </c>
      <c r="E19" s="53" t="s">
        <v>161</v>
      </c>
      <c r="F19" s="30" t="s">
        <v>134</v>
      </c>
      <c r="G19" s="33">
        <v>1</v>
      </c>
      <c r="H19" s="35">
        <v>24</v>
      </c>
      <c r="I19" s="7">
        <v>39000</v>
      </c>
      <c r="J19" s="14">
        <v>3698</v>
      </c>
      <c r="K19" s="15">
        <f>L19+2260+4771+194+2851+3863+3917+3410+3939+5293+1639</f>
        <v>35835</v>
      </c>
      <c r="L19" s="15">
        <f>2426+1272</f>
        <v>3698</v>
      </c>
      <c r="M19" s="15">
        <f t="shared" si="0"/>
        <v>3698</v>
      </c>
      <c r="N19" s="15">
        <v>0</v>
      </c>
      <c r="O19" s="58">
        <f t="shared" si="1"/>
        <v>0</v>
      </c>
      <c r="P19" s="39">
        <f t="shared" si="2"/>
        <v>17</v>
      </c>
      <c r="Q19" s="40">
        <f t="shared" si="3"/>
        <v>7</v>
      </c>
      <c r="R19" s="7"/>
      <c r="S19" s="6">
        <v>7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0.70833333333333337</v>
      </c>
      <c r="AD19" s="10">
        <f t="shared" si="6"/>
        <v>0.70833333333333337</v>
      </c>
      <c r="AE19" s="36">
        <f t="shared" si="7"/>
        <v>0.37121212121212116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116</v>
      </c>
      <c r="D20" s="52" t="s">
        <v>115</v>
      </c>
      <c r="E20" s="53" t="s">
        <v>223</v>
      </c>
      <c r="F20" s="30" t="s">
        <v>134</v>
      </c>
      <c r="G20" s="12">
        <v>1</v>
      </c>
      <c r="H20" s="13">
        <v>24</v>
      </c>
      <c r="I20" s="7">
        <v>3000</v>
      </c>
      <c r="J20" s="14">
        <v>4208</v>
      </c>
      <c r="K20" s="15">
        <f>L20</f>
        <v>4208</v>
      </c>
      <c r="L20" s="15">
        <f>2159+2049</f>
        <v>4208</v>
      </c>
      <c r="M20" s="15">
        <f t="shared" si="0"/>
        <v>4208</v>
      </c>
      <c r="N20" s="15">
        <v>0</v>
      </c>
      <c r="O20" s="58">
        <f t="shared" si="1"/>
        <v>0</v>
      </c>
      <c r="P20" s="39">
        <f t="shared" si="2"/>
        <v>23</v>
      </c>
      <c r="Q20" s="40">
        <f t="shared" si="3"/>
        <v>1</v>
      </c>
      <c r="R20" s="7"/>
      <c r="S20" s="6"/>
      <c r="T20" s="16">
        <v>1</v>
      </c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0.95833333333333337</v>
      </c>
      <c r="AD20" s="10">
        <f t="shared" si="6"/>
        <v>0.95833333333333337</v>
      </c>
      <c r="AE20" s="36">
        <f t="shared" si="7"/>
        <v>0.37121212121212116</v>
      </c>
      <c r="AF20" s="84">
        <f t="shared" si="8"/>
        <v>15</v>
      </c>
    </row>
    <row r="21" spans="1:32" ht="27" customHeight="1">
      <c r="A21" s="96">
        <v>16</v>
      </c>
      <c r="B21" s="11" t="s">
        <v>57</v>
      </c>
      <c r="C21" s="11" t="s">
        <v>113</v>
      </c>
      <c r="D21" s="52"/>
      <c r="E21" s="53" t="s">
        <v>139</v>
      </c>
      <c r="F21" s="12" t="s">
        <v>114</v>
      </c>
      <c r="G21" s="12">
        <v>3</v>
      </c>
      <c r="H21" s="35">
        <v>20</v>
      </c>
      <c r="I21" s="7">
        <v>1000000</v>
      </c>
      <c r="J21" s="14">
        <v>34220</v>
      </c>
      <c r="K21" s="15">
        <f t="shared" ref="K21" si="9">L21+62008+65280+66156+31132+60100+67104+64940+66996+38324+18548+31820+33244+32052+33372+27132+34220</f>
        <v>732428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0.37121212121212116</v>
      </c>
      <c r="AF21" s="84">
        <f t="shared" si="8"/>
        <v>16</v>
      </c>
    </row>
    <row r="22" spans="1:32" ht="27" customHeight="1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0.37121212121212116</v>
      </c>
      <c r="AF22" s="84">
        <f t="shared" si="8"/>
        <v>31</v>
      </c>
    </row>
    <row r="23" spans="1:32" ht="27" customHeight="1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0.37121212121212116</v>
      </c>
      <c r="AF23" s="84">
        <f t="shared" si="8"/>
        <v>32</v>
      </c>
    </row>
    <row r="24" spans="1:32" ht="27" customHeight="1">
      <c r="A24" s="96">
        <v>33</v>
      </c>
      <c r="B24" s="11" t="s">
        <v>57</v>
      </c>
      <c r="C24" s="11" t="s">
        <v>116</v>
      </c>
      <c r="D24" s="52" t="s">
        <v>152</v>
      </c>
      <c r="E24" s="53" t="s">
        <v>164</v>
      </c>
      <c r="F24" s="12" t="s">
        <v>134</v>
      </c>
      <c r="G24" s="12">
        <v>4</v>
      </c>
      <c r="H24" s="35">
        <v>20</v>
      </c>
      <c r="I24" s="7">
        <v>240000</v>
      </c>
      <c r="J24" s="14">
        <v>32368</v>
      </c>
      <c r="K24" s="15">
        <f>L24+27572+32268+32324+32488+32368</f>
        <v>157020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>
        <v>24</v>
      </c>
      <c r="T24" s="16"/>
      <c r="U24" s="16"/>
      <c r="V24" s="17"/>
      <c r="W24" s="5"/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0.37121212121212116</v>
      </c>
      <c r="AF24" s="84">
        <f t="shared" si="8"/>
        <v>33</v>
      </c>
    </row>
    <row r="25" spans="1:32" ht="27" customHeight="1">
      <c r="A25" s="96">
        <v>34</v>
      </c>
      <c r="B25" s="11" t="s">
        <v>57</v>
      </c>
      <c r="C25" s="11" t="s">
        <v>116</v>
      </c>
      <c r="D25" s="52" t="s">
        <v>150</v>
      </c>
      <c r="E25" s="53" t="s">
        <v>165</v>
      </c>
      <c r="F25" s="12" t="s">
        <v>135</v>
      </c>
      <c r="G25" s="12">
        <v>4</v>
      </c>
      <c r="H25" s="35">
        <v>20</v>
      </c>
      <c r="I25" s="7">
        <v>240000</v>
      </c>
      <c r="J25" s="14">
        <v>4064</v>
      </c>
      <c r="K25" s="15">
        <f>L25+24768+29084+29040+29804+27780</f>
        <v>144540</v>
      </c>
      <c r="L25" s="15">
        <f>1016*4</f>
        <v>4064</v>
      </c>
      <c r="M25" s="15">
        <f t="shared" si="0"/>
        <v>4064</v>
      </c>
      <c r="N25" s="15">
        <v>0</v>
      </c>
      <c r="O25" s="58">
        <f t="shared" si="1"/>
        <v>0</v>
      </c>
      <c r="P25" s="39">
        <f t="shared" si="2"/>
        <v>5</v>
      </c>
      <c r="Q25" s="40">
        <f t="shared" si="3"/>
        <v>19</v>
      </c>
      <c r="R25" s="7"/>
      <c r="S25" s="6">
        <v>19</v>
      </c>
      <c r="T25" s="16"/>
      <c r="U25" s="16"/>
      <c r="V25" s="17"/>
      <c r="W25" s="5"/>
      <c r="X25" s="16"/>
      <c r="Y25" s="16"/>
      <c r="Z25" s="16"/>
      <c r="AA25" s="18"/>
      <c r="AB25" s="8">
        <f t="shared" si="4"/>
        <v>1</v>
      </c>
      <c r="AC25" s="9">
        <f t="shared" si="5"/>
        <v>0.20833333333333334</v>
      </c>
      <c r="AD25" s="10">
        <f t="shared" si="6"/>
        <v>0.20833333333333334</v>
      </c>
      <c r="AE25" s="36">
        <f t="shared" si="7"/>
        <v>0.37121212121212116</v>
      </c>
      <c r="AF25" s="84">
        <f t="shared" si="8"/>
        <v>34</v>
      </c>
    </row>
    <row r="26" spans="1:32" ht="27" customHeight="1">
      <c r="A26" s="96">
        <v>35</v>
      </c>
      <c r="B26" s="11" t="s">
        <v>57</v>
      </c>
      <c r="C26" s="11" t="s">
        <v>116</v>
      </c>
      <c r="D26" s="52" t="s">
        <v>123</v>
      </c>
      <c r="E26" s="53" t="s">
        <v>137</v>
      </c>
      <c r="F26" s="12" t="s">
        <v>135</v>
      </c>
      <c r="G26" s="12">
        <v>4</v>
      </c>
      <c r="H26" s="35">
        <v>20</v>
      </c>
      <c r="I26" s="7">
        <v>240000</v>
      </c>
      <c r="J26" s="14">
        <v>31736</v>
      </c>
      <c r="K26" s="15">
        <f>L26+25004+29968+31848+29672+31736</f>
        <v>148228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>
        <v>24</v>
      </c>
      <c r="T26" s="16"/>
      <c r="U26" s="16"/>
      <c r="V26" s="17"/>
      <c r="W26" s="5"/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0.37121212121212116</v>
      </c>
      <c r="AF26" s="84">
        <f t="shared" si="8"/>
        <v>35</v>
      </c>
    </row>
    <row r="27" spans="1:32" ht="27" customHeight="1" thickBot="1">
      <c r="A27" s="96">
        <v>36</v>
      </c>
      <c r="B27" s="11" t="s">
        <v>57</v>
      </c>
      <c r="C27" s="11" t="s">
        <v>116</v>
      </c>
      <c r="D27" s="52" t="s">
        <v>115</v>
      </c>
      <c r="E27" s="53" t="s">
        <v>166</v>
      </c>
      <c r="F27" s="12" t="s">
        <v>122</v>
      </c>
      <c r="G27" s="12">
        <v>4</v>
      </c>
      <c r="H27" s="35">
        <v>20</v>
      </c>
      <c r="I27" s="7">
        <v>240000</v>
      </c>
      <c r="J27" s="14">
        <v>8020</v>
      </c>
      <c r="K27" s="15">
        <f>L27+22152+26340+20956+26812+26716</f>
        <v>130996</v>
      </c>
      <c r="L27" s="15">
        <f>2005*4</f>
        <v>8020</v>
      </c>
      <c r="M27" s="15">
        <f t="shared" si="0"/>
        <v>8020</v>
      </c>
      <c r="N27" s="15">
        <v>0</v>
      </c>
      <c r="O27" s="58">
        <f t="shared" si="1"/>
        <v>0</v>
      </c>
      <c r="P27" s="39">
        <f t="shared" si="2"/>
        <v>7</v>
      </c>
      <c r="Q27" s="40">
        <f t="shared" si="3"/>
        <v>17</v>
      </c>
      <c r="R27" s="7"/>
      <c r="S27" s="6">
        <v>17</v>
      </c>
      <c r="T27" s="16"/>
      <c r="U27" s="16"/>
      <c r="V27" s="17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0.29166666666666669</v>
      </c>
      <c r="AD27" s="10">
        <f t="shared" si="6"/>
        <v>0.29166666666666669</v>
      </c>
      <c r="AE27" s="36">
        <f>$AD$28</f>
        <v>0.37121212121212116</v>
      </c>
      <c r="AF27" s="84">
        <f t="shared" si="8"/>
        <v>36</v>
      </c>
    </row>
    <row r="28" spans="1:32" ht="31.5" customHeight="1" thickBot="1">
      <c r="A28" s="464" t="s">
        <v>34</v>
      </c>
      <c r="B28" s="465"/>
      <c r="C28" s="465"/>
      <c r="D28" s="465"/>
      <c r="E28" s="465"/>
      <c r="F28" s="465"/>
      <c r="G28" s="465"/>
      <c r="H28" s="466"/>
      <c r="I28" s="22">
        <f t="shared" ref="I28:N28" si="10">SUM(I6:I27)</f>
        <v>3186700</v>
      </c>
      <c r="J28" s="19">
        <f t="shared" si="10"/>
        <v>323031</v>
      </c>
      <c r="K28" s="20">
        <f t="shared" si="10"/>
        <v>2110455</v>
      </c>
      <c r="L28" s="21">
        <f t="shared" si="10"/>
        <v>89475</v>
      </c>
      <c r="M28" s="20">
        <f t="shared" si="10"/>
        <v>89475</v>
      </c>
      <c r="N28" s="21">
        <f t="shared" si="10"/>
        <v>0</v>
      </c>
      <c r="O28" s="41">
        <f t="shared" si="1"/>
        <v>0</v>
      </c>
      <c r="P28" s="42">
        <f t="shared" ref="P28:AA28" si="11">SUM(P6:P27)</f>
        <v>196</v>
      </c>
      <c r="Q28" s="43">
        <f t="shared" si="11"/>
        <v>332</v>
      </c>
      <c r="R28" s="23">
        <f t="shared" si="11"/>
        <v>48</v>
      </c>
      <c r="S28" s="24">
        <f t="shared" si="11"/>
        <v>139</v>
      </c>
      <c r="T28" s="24">
        <f t="shared" si="11"/>
        <v>1</v>
      </c>
      <c r="U28" s="24">
        <f t="shared" si="11"/>
        <v>0</v>
      </c>
      <c r="V28" s="25">
        <f t="shared" si="11"/>
        <v>72</v>
      </c>
      <c r="W28" s="26">
        <f t="shared" si="11"/>
        <v>72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0</v>
      </c>
      <c r="AB28" s="28">
        <f>AVERAGE(AB6:AB27)</f>
        <v>0.5</v>
      </c>
      <c r="AC28" s="4">
        <f>AVERAGE(AC6:AC27)</f>
        <v>0.37121212121212116</v>
      </c>
      <c r="AD28" s="4">
        <f>AVERAGE(AD6:AD27)</f>
        <v>0.37121212121212116</v>
      </c>
      <c r="AE28" s="29"/>
    </row>
    <row r="29" spans="1:32">
      <c r="T29" s="50" t="s">
        <v>157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160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67" t="s">
        <v>45</v>
      </c>
      <c r="B55" s="467"/>
      <c r="C55" s="467"/>
      <c r="D55" s="467"/>
      <c r="E55" s="467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68" t="s">
        <v>235</v>
      </c>
      <c r="B56" s="469"/>
      <c r="C56" s="469"/>
      <c r="D56" s="469"/>
      <c r="E56" s="469"/>
      <c r="F56" s="469"/>
      <c r="G56" s="469"/>
      <c r="H56" s="469"/>
      <c r="I56" s="469"/>
      <c r="J56" s="469"/>
      <c r="K56" s="469"/>
      <c r="L56" s="469"/>
      <c r="M56" s="470"/>
      <c r="N56" s="471" t="s">
        <v>237</v>
      </c>
      <c r="O56" s="472"/>
      <c r="P56" s="472"/>
      <c r="Q56" s="472"/>
      <c r="R56" s="472"/>
      <c r="S56" s="472"/>
      <c r="T56" s="472"/>
      <c r="U56" s="472"/>
      <c r="V56" s="472"/>
      <c r="W56" s="472"/>
      <c r="X56" s="472"/>
      <c r="Y56" s="472"/>
      <c r="Z56" s="472"/>
      <c r="AA56" s="472"/>
      <c r="AB56" s="472"/>
      <c r="AC56" s="472"/>
      <c r="AD56" s="473"/>
    </row>
    <row r="57" spans="1:32" ht="27" customHeight="1">
      <c r="A57" s="474" t="s">
        <v>2</v>
      </c>
      <c r="B57" s="475"/>
      <c r="C57" s="155" t="s">
        <v>46</v>
      </c>
      <c r="D57" s="155" t="s">
        <v>47</v>
      </c>
      <c r="E57" s="155" t="s">
        <v>107</v>
      </c>
      <c r="F57" s="476" t="s">
        <v>106</v>
      </c>
      <c r="G57" s="477"/>
      <c r="H57" s="477"/>
      <c r="I57" s="477"/>
      <c r="J57" s="477"/>
      <c r="K57" s="477"/>
      <c r="L57" s="477"/>
      <c r="M57" s="478"/>
      <c r="N57" s="67" t="s">
        <v>110</v>
      </c>
      <c r="O57" s="155" t="s">
        <v>46</v>
      </c>
      <c r="P57" s="476" t="s">
        <v>47</v>
      </c>
      <c r="Q57" s="479"/>
      <c r="R57" s="476" t="s">
        <v>38</v>
      </c>
      <c r="S57" s="477"/>
      <c r="T57" s="477"/>
      <c r="U57" s="479"/>
      <c r="V57" s="476" t="s">
        <v>48</v>
      </c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490" t="s">
        <v>116</v>
      </c>
      <c r="B58" s="491"/>
      <c r="C58" s="157" t="s">
        <v>132</v>
      </c>
      <c r="D58" s="157" t="s">
        <v>130</v>
      </c>
      <c r="E58" s="157" t="s">
        <v>158</v>
      </c>
      <c r="F58" s="492" t="s">
        <v>120</v>
      </c>
      <c r="G58" s="493"/>
      <c r="H58" s="493"/>
      <c r="I58" s="493"/>
      <c r="J58" s="493"/>
      <c r="K58" s="493"/>
      <c r="L58" s="493"/>
      <c r="M58" s="494"/>
      <c r="N58" s="156" t="s">
        <v>116</v>
      </c>
      <c r="O58" s="163" t="s">
        <v>132</v>
      </c>
      <c r="P58" s="495" t="s">
        <v>130</v>
      </c>
      <c r="Q58" s="496"/>
      <c r="R58" s="495" t="s">
        <v>158</v>
      </c>
      <c r="S58" s="497"/>
      <c r="T58" s="497"/>
      <c r="U58" s="496"/>
      <c r="V58" s="498" t="s">
        <v>238</v>
      </c>
      <c r="W58" s="498"/>
      <c r="X58" s="498"/>
      <c r="Y58" s="498"/>
      <c r="Z58" s="498"/>
      <c r="AA58" s="498"/>
      <c r="AB58" s="498"/>
      <c r="AC58" s="498"/>
      <c r="AD58" s="499"/>
    </row>
    <row r="59" spans="1:32" ht="27" customHeight="1">
      <c r="A59" s="500" t="s">
        <v>112</v>
      </c>
      <c r="B59" s="501"/>
      <c r="C59" s="158" t="s">
        <v>221</v>
      </c>
      <c r="D59" s="158" t="s">
        <v>142</v>
      </c>
      <c r="E59" s="157" t="s">
        <v>161</v>
      </c>
      <c r="F59" s="492" t="s">
        <v>236</v>
      </c>
      <c r="G59" s="493"/>
      <c r="H59" s="493"/>
      <c r="I59" s="493"/>
      <c r="J59" s="493"/>
      <c r="K59" s="493"/>
      <c r="L59" s="493"/>
      <c r="M59" s="494"/>
      <c r="N59" s="156" t="s">
        <v>116</v>
      </c>
      <c r="O59" s="163" t="s">
        <v>239</v>
      </c>
      <c r="P59" s="495" t="s">
        <v>140</v>
      </c>
      <c r="Q59" s="496"/>
      <c r="R59" s="495" t="s">
        <v>174</v>
      </c>
      <c r="S59" s="497"/>
      <c r="T59" s="497"/>
      <c r="U59" s="496"/>
      <c r="V59" s="498" t="s">
        <v>120</v>
      </c>
      <c r="W59" s="498"/>
      <c r="X59" s="498"/>
      <c r="Y59" s="498"/>
      <c r="Z59" s="498"/>
      <c r="AA59" s="498"/>
      <c r="AB59" s="498"/>
      <c r="AC59" s="498"/>
      <c r="AD59" s="499"/>
    </row>
    <row r="60" spans="1:32" ht="27" customHeight="1">
      <c r="A60" s="500" t="s">
        <v>116</v>
      </c>
      <c r="B60" s="501"/>
      <c r="C60" s="158" t="s">
        <v>129</v>
      </c>
      <c r="D60" s="158" t="s">
        <v>115</v>
      </c>
      <c r="E60" s="157" t="s">
        <v>223</v>
      </c>
      <c r="F60" s="492" t="s">
        <v>125</v>
      </c>
      <c r="G60" s="493"/>
      <c r="H60" s="493"/>
      <c r="I60" s="493"/>
      <c r="J60" s="493"/>
      <c r="K60" s="493"/>
      <c r="L60" s="493"/>
      <c r="M60" s="494"/>
      <c r="N60" s="156" t="s">
        <v>112</v>
      </c>
      <c r="O60" s="163" t="s">
        <v>221</v>
      </c>
      <c r="P60" s="495" t="s">
        <v>142</v>
      </c>
      <c r="Q60" s="496"/>
      <c r="R60" s="495" t="s">
        <v>161</v>
      </c>
      <c r="S60" s="497"/>
      <c r="T60" s="497"/>
      <c r="U60" s="496"/>
      <c r="V60" s="498" t="s">
        <v>120</v>
      </c>
      <c r="W60" s="498"/>
      <c r="X60" s="498"/>
      <c r="Y60" s="498"/>
      <c r="Z60" s="498"/>
      <c r="AA60" s="498"/>
      <c r="AB60" s="498"/>
      <c r="AC60" s="498"/>
      <c r="AD60" s="499"/>
    </row>
    <row r="61" spans="1:32" ht="27" customHeight="1">
      <c r="A61" s="500"/>
      <c r="B61" s="501"/>
      <c r="C61" s="158"/>
      <c r="D61" s="158"/>
      <c r="E61" s="157"/>
      <c r="F61" s="492"/>
      <c r="G61" s="493"/>
      <c r="H61" s="493"/>
      <c r="I61" s="493"/>
      <c r="J61" s="493"/>
      <c r="K61" s="493"/>
      <c r="L61" s="493"/>
      <c r="M61" s="494"/>
      <c r="N61" s="156" t="s">
        <v>241</v>
      </c>
      <c r="O61" s="163" t="s">
        <v>169</v>
      </c>
      <c r="P61" s="495"/>
      <c r="Q61" s="496"/>
      <c r="R61" s="495" t="s">
        <v>240</v>
      </c>
      <c r="S61" s="497"/>
      <c r="T61" s="497"/>
      <c r="U61" s="496"/>
      <c r="V61" s="498" t="s">
        <v>125</v>
      </c>
      <c r="W61" s="498"/>
      <c r="X61" s="498"/>
      <c r="Y61" s="498"/>
      <c r="Z61" s="498"/>
      <c r="AA61" s="498"/>
      <c r="AB61" s="498"/>
      <c r="AC61" s="498"/>
      <c r="AD61" s="499"/>
    </row>
    <row r="62" spans="1:32" ht="27" customHeight="1">
      <c r="A62" s="500"/>
      <c r="B62" s="501"/>
      <c r="C62" s="158"/>
      <c r="D62" s="158"/>
      <c r="E62" s="157"/>
      <c r="F62" s="492"/>
      <c r="G62" s="493"/>
      <c r="H62" s="493"/>
      <c r="I62" s="493"/>
      <c r="J62" s="493"/>
      <c r="K62" s="493"/>
      <c r="L62" s="493"/>
      <c r="M62" s="494"/>
      <c r="N62" s="156" t="s">
        <v>143</v>
      </c>
      <c r="O62" s="163" t="s">
        <v>175</v>
      </c>
      <c r="P62" s="495" t="s">
        <v>140</v>
      </c>
      <c r="Q62" s="496"/>
      <c r="R62" s="495" t="s">
        <v>242</v>
      </c>
      <c r="S62" s="497"/>
      <c r="T62" s="497"/>
      <c r="U62" s="496"/>
      <c r="V62" s="498" t="s">
        <v>125</v>
      </c>
      <c r="W62" s="498"/>
      <c r="X62" s="498"/>
      <c r="Y62" s="498"/>
      <c r="Z62" s="498"/>
      <c r="AA62" s="498"/>
      <c r="AB62" s="498"/>
      <c r="AC62" s="498"/>
      <c r="AD62" s="499"/>
    </row>
    <row r="63" spans="1:32" ht="27" customHeight="1">
      <c r="A63" s="500"/>
      <c r="B63" s="501"/>
      <c r="C63" s="158"/>
      <c r="D63" s="158"/>
      <c r="E63" s="157"/>
      <c r="F63" s="492"/>
      <c r="G63" s="493"/>
      <c r="H63" s="493"/>
      <c r="I63" s="493"/>
      <c r="J63" s="493"/>
      <c r="K63" s="493"/>
      <c r="L63" s="493"/>
      <c r="M63" s="494"/>
      <c r="N63" s="156"/>
      <c r="O63" s="163"/>
      <c r="P63" s="495"/>
      <c r="Q63" s="496"/>
      <c r="R63" s="495"/>
      <c r="S63" s="497"/>
      <c r="T63" s="497"/>
      <c r="U63" s="496"/>
      <c r="V63" s="498"/>
      <c r="W63" s="498"/>
      <c r="X63" s="498"/>
      <c r="Y63" s="498"/>
      <c r="Z63" s="498"/>
      <c r="AA63" s="498"/>
      <c r="AB63" s="498"/>
      <c r="AC63" s="498"/>
      <c r="AD63" s="499"/>
    </row>
    <row r="64" spans="1:32" ht="27" customHeight="1">
      <c r="A64" s="490"/>
      <c r="B64" s="491"/>
      <c r="C64" s="157"/>
      <c r="D64" s="157"/>
      <c r="E64" s="157"/>
      <c r="F64" s="492"/>
      <c r="G64" s="493"/>
      <c r="H64" s="493"/>
      <c r="I64" s="493"/>
      <c r="J64" s="493"/>
      <c r="K64" s="493"/>
      <c r="L64" s="493"/>
      <c r="M64" s="494"/>
      <c r="N64" s="156"/>
      <c r="O64" s="163"/>
      <c r="P64" s="495"/>
      <c r="Q64" s="496"/>
      <c r="R64" s="495"/>
      <c r="S64" s="497"/>
      <c r="T64" s="497"/>
      <c r="U64" s="496"/>
      <c r="V64" s="498"/>
      <c r="W64" s="498"/>
      <c r="X64" s="498"/>
      <c r="Y64" s="498"/>
      <c r="Z64" s="498"/>
      <c r="AA64" s="498"/>
      <c r="AB64" s="498"/>
      <c r="AC64" s="498"/>
      <c r="AD64" s="499"/>
    </row>
    <row r="65" spans="1:32" ht="27" customHeight="1">
      <c r="A65" s="500"/>
      <c r="B65" s="501"/>
      <c r="C65" s="158"/>
      <c r="D65" s="158"/>
      <c r="E65" s="157"/>
      <c r="F65" s="492"/>
      <c r="G65" s="493"/>
      <c r="H65" s="493"/>
      <c r="I65" s="493"/>
      <c r="J65" s="493"/>
      <c r="K65" s="493"/>
      <c r="L65" s="493"/>
      <c r="M65" s="494"/>
      <c r="N65" s="156"/>
      <c r="O65" s="163"/>
      <c r="P65" s="495"/>
      <c r="Q65" s="496"/>
      <c r="R65" s="495"/>
      <c r="S65" s="497"/>
      <c r="T65" s="497"/>
      <c r="U65" s="496"/>
      <c r="V65" s="498"/>
      <c r="W65" s="498"/>
      <c r="X65" s="498"/>
      <c r="Y65" s="498"/>
      <c r="Z65" s="498"/>
      <c r="AA65" s="498"/>
      <c r="AB65" s="498"/>
      <c r="AC65" s="498"/>
      <c r="AD65" s="499"/>
    </row>
    <row r="66" spans="1:32" ht="27" customHeight="1">
      <c r="A66" s="500"/>
      <c r="B66" s="501"/>
      <c r="C66" s="158"/>
      <c r="D66" s="158"/>
      <c r="E66" s="157"/>
      <c r="F66" s="492"/>
      <c r="G66" s="493"/>
      <c r="H66" s="493"/>
      <c r="I66" s="493"/>
      <c r="J66" s="493"/>
      <c r="K66" s="493"/>
      <c r="L66" s="493"/>
      <c r="M66" s="494"/>
      <c r="N66" s="156"/>
      <c r="O66" s="163"/>
      <c r="P66" s="491"/>
      <c r="Q66" s="491"/>
      <c r="R66" s="491"/>
      <c r="S66" s="491"/>
      <c r="T66" s="491"/>
      <c r="U66" s="491"/>
      <c r="V66" s="498"/>
      <c r="W66" s="498"/>
      <c r="X66" s="498"/>
      <c r="Y66" s="498"/>
      <c r="Z66" s="498"/>
      <c r="AA66" s="498"/>
      <c r="AB66" s="498"/>
      <c r="AC66" s="498"/>
      <c r="AD66" s="499"/>
      <c r="AF66" s="84">
        <f>8*3000</f>
        <v>24000</v>
      </c>
    </row>
    <row r="67" spans="1:32" ht="27" customHeight="1" thickBot="1">
      <c r="A67" s="502"/>
      <c r="B67" s="503"/>
      <c r="C67" s="159"/>
      <c r="D67" s="160"/>
      <c r="E67" s="159"/>
      <c r="F67" s="504"/>
      <c r="G67" s="505"/>
      <c r="H67" s="505"/>
      <c r="I67" s="505"/>
      <c r="J67" s="505"/>
      <c r="K67" s="505"/>
      <c r="L67" s="505"/>
      <c r="M67" s="506"/>
      <c r="N67" s="111"/>
      <c r="O67" s="103"/>
      <c r="P67" s="507"/>
      <c r="Q67" s="507"/>
      <c r="R67" s="507"/>
      <c r="S67" s="507"/>
      <c r="T67" s="507"/>
      <c r="U67" s="507"/>
      <c r="V67" s="508"/>
      <c r="W67" s="508"/>
      <c r="X67" s="508"/>
      <c r="Y67" s="508"/>
      <c r="Z67" s="508"/>
      <c r="AA67" s="508"/>
      <c r="AB67" s="508"/>
      <c r="AC67" s="508"/>
      <c r="AD67" s="509"/>
      <c r="AF67" s="84">
        <f>16*3000</f>
        <v>48000</v>
      </c>
    </row>
    <row r="68" spans="1:32" ht="27.75" thickBot="1">
      <c r="A68" s="510" t="s">
        <v>243</v>
      </c>
      <c r="B68" s="510"/>
      <c r="C68" s="510"/>
      <c r="D68" s="510"/>
      <c r="E68" s="51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11" t="s">
        <v>111</v>
      </c>
      <c r="B69" s="512"/>
      <c r="C69" s="161" t="s">
        <v>2</v>
      </c>
      <c r="D69" s="161" t="s">
        <v>37</v>
      </c>
      <c r="E69" s="161" t="s">
        <v>3</v>
      </c>
      <c r="F69" s="512" t="s">
        <v>109</v>
      </c>
      <c r="G69" s="512"/>
      <c r="H69" s="512"/>
      <c r="I69" s="512"/>
      <c r="J69" s="512"/>
      <c r="K69" s="512" t="s">
        <v>39</v>
      </c>
      <c r="L69" s="512"/>
      <c r="M69" s="161" t="s">
        <v>40</v>
      </c>
      <c r="N69" s="512" t="s">
        <v>41</v>
      </c>
      <c r="O69" s="512"/>
      <c r="P69" s="513" t="s">
        <v>42</v>
      </c>
      <c r="Q69" s="514"/>
      <c r="R69" s="513" t="s">
        <v>43</v>
      </c>
      <c r="S69" s="515"/>
      <c r="T69" s="515"/>
      <c r="U69" s="515"/>
      <c r="V69" s="515"/>
      <c r="W69" s="515"/>
      <c r="X69" s="515"/>
      <c r="Y69" s="515"/>
      <c r="Z69" s="515"/>
      <c r="AA69" s="514"/>
      <c r="AB69" s="512" t="s">
        <v>44</v>
      </c>
      <c r="AC69" s="512"/>
      <c r="AD69" s="516"/>
      <c r="AF69" s="84">
        <f>SUM(AF66:AF68)</f>
        <v>96000</v>
      </c>
    </row>
    <row r="70" spans="1:32" ht="25.5" customHeight="1">
      <c r="A70" s="517">
        <v>1</v>
      </c>
      <c r="B70" s="518"/>
      <c r="C70" s="104" t="s">
        <v>203</v>
      </c>
      <c r="D70" s="165"/>
      <c r="E70" s="162" t="s">
        <v>115</v>
      </c>
      <c r="F70" s="519" t="s">
        <v>244</v>
      </c>
      <c r="G70" s="520"/>
      <c r="H70" s="520"/>
      <c r="I70" s="520"/>
      <c r="J70" s="521"/>
      <c r="K70" s="522">
        <v>7301</v>
      </c>
      <c r="L70" s="522"/>
      <c r="M70" s="51" t="s">
        <v>205</v>
      </c>
      <c r="N70" s="523" t="s">
        <v>206</v>
      </c>
      <c r="O70" s="523"/>
      <c r="P70" s="524"/>
      <c r="Q70" s="524"/>
      <c r="R70" s="498" t="s">
        <v>245</v>
      </c>
      <c r="S70" s="498"/>
      <c r="T70" s="498"/>
      <c r="U70" s="498"/>
      <c r="V70" s="498"/>
      <c r="W70" s="498"/>
      <c r="X70" s="498"/>
      <c r="Y70" s="498"/>
      <c r="Z70" s="498"/>
      <c r="AA70" s="498"/>
      <c r="AB70" s="522"/>
      <c r="AC70" s="522"/>
      <c r="AD70" s="525"/>
      <c r="AF70" s="50"/>
    </row>
    <row r="71" spans="1:32" ht="25.5" customHeight="1">
      <c r="A71" s="517">
        <v>2</v>
      </c>
      <c r="B71" s="518"/>
      <c r="C71" s="104"/>
      <c r="D71" s="165"/>
      <c r="E71" s="162"/>
      <c r="F71" s="519"/>
      <c r="G71" s="520"/>
      <c r="H71" s="520"/>
      <c r="I71" s="520"/>
      <c r="J71" s="521"/>
      <c r="K71" s="522"/>
      <c r="L71" s="522"/>
      <c r="M71" s="51"/>
      <c r="N71" s="523"/>
      <c r="O71" s="523"/>
      <c r="P71" s="524"/>
      <c r="Q71" s="524"/>
      <c r="R71" s="498"/>
      <c r="S71" s="498"/>
      <c r="T71" s="498"/>
      <c r="U71" s="498"/>
      <c r="V71" s="498"/>
      <c r="W71" s="498"/>
      <c r="X71" s="498"/>
      <c r="Y71" s="498"/>
      <c r="Z71" s="498"/>
      <c r="AA71" s="498"/>
      <c r="AB71" s="522"/>
      <c r="AC71" s="522"/>
      <c r="AD71" s="525"/>
      <c r="AF71" s="50"/>
    </row>
    <row r="72" spans="1:32" ht="25.5" customHeight="1">
      <c r="A72" s="517">
        <v>3</v>
      </c>
      <c r="B72" s="518"/>
      <c r="C72" s="104"/>
      <c r="D72" s="165"/>
      <c r="E72" s="162"/>
      <c r="F72" s="519"/>
      <c r="G72" s="520"/>
      <c r="H72" s="520"/>
      <c r="I72" s="520"/>
      <c r="J72" s="521"/>
      <c r="K72" s="522"/>
      <c r="L72" s="522"/>
      <c r="M72" s="51"/>
      <c r="N72" s="523"/>
      <c r="O72" s="523"/>
      <c r="P72" s="524"/>
      <c r="Q72" s="524"/>
      <c r="R72" s="498"/>
      <c r="S72" s="498"/>
      <c r="T72" s="498"/>
      <c r="U72" s="498"/>
      <c r="V72" s="498"/>
      <c r="W72" s="498"/>
      <c r="X72" s="498"/>
      <c r="Y72" s="498"/>
      <c r="Z72" s="498"/>
      <c r="AA72" s="498"/>
      <c r="AB72" s="522"/>
      <c r="AC72" s="522"/>
      <c r="AD72" s="525"/>
      <c r="AF72" s="50"/>
    </row>
    <row r="73" spans="1:32" ht="25.5" customHeight="1">
      <c r="A73" s="517">
        <v>4</v>
      </c>
      <c r="B73" s="518"/>
      <c r="C73" s="104"/>
      <c r="D73" s="165"/>
      <c r="E73" s="162"/>
      <c r="F73" s="519"/>
      <c r="G73" s="520"/>
      <c r="H73" s="520"/>
      <c r="I73" s="520"/>
      <c r="J73" s="521"/>
      <c r="K73" s="522"/>
      <c r="L73" s="522"/>
      <c r="M73" s="51"/>
      <c r="N73" s="523"/>
      <c r="O73" s="523"/>
      <c r="P73" s="524"/>
      <c r="Q73" s="524"/>
      <c r="R73" s="498"/>
      <c r="S73" s="498"/>
      <c r="T73" s="498"/>
      <c r="U73" s="498"/>
      <c r="V73" s="498"/>
      <c r="W73" s="498"/>
      <c r="X73" s="498"/>
      <c r="Y73" s="498"/>
      <c r="Z73" s="498"/>
      <c r="AA73" s="498"/>
      <c r="AB73" s="522"/>
      <c r="AC73" s="522"/>
      <c r="AD73" s="525"/>
      <c r="AF73" s="50"/>
    </row>
    <row r="74" spans="1:32" ht="25.5" customHeight="1">
      <c r="A74" s="517">
        <v>5</v>
      </c>
      <c r="B74" s="518"/>
      <c r="C74" s="104"/>
      <c r="D74" s="165"/>
      <c r="E74" s="162"/>
      <c r="F74" s="519"/>
      <c r="G74" s="520"/>
      <c r="H74" s="520"/>
      <c r="I74" s="520"/>
      <c r="J74" s="521"/>
      <c r="K74" s="522"/>
      <c r="L74" s="522"/>
      <c r="M74" s="51"/>
      <c r="N74" s="523"/>
      <c r="O74" s="523"/>
      <c r="P74" s="524"/>
      <c r="Q74" s="524"/>
      <c r="R74" s="498"/>
      <c r="S74" s="498"/>
      <c r="T74" s="498"/>
      <c r="U74" s="498"/>
      <c r="V74" s="498"/>
      <c r="W74" s="498"/>
      <c r="X74" s="498"/>
      <c r="Y74" s="498"/>
      <c r="Z74" s="498"/>
      <c r="AA74" s="498"/>
      <c r="AB74" s="522"/>
      <c r="AC74" s="522"/>
      <c r="AD74" s="525"/>
      <c r="AF74" s="50"/>
    </row>
    <row r="75" spans="1:32" ht="25.5" customHeight="1">
      <c r="A75" s="517">
        <v>6</v>
      </c>
      <c r="B75" s="518"/>
      <c r="C75" s="104"/>
      <c r="D75" s="165"/>
      <c r="E75" s="162"/>
      <c r="F75" s="519"/>
      <c r="G75" s="520"/>
      <c r="H75" s="520"/>
      <c r="I75" s="520"/>
      <c r="J75" s="521"/>
      <c r="K75" s="522"/>
      <c r="L75" s="522"/>
      <c r="M75" s="51"/>
      <c r="N75" s="523"/>
      <c r="O75" s="523"/>
      <c r="P75" s="524"/>
      <c r="Q75" s="524"/>
      <c r="R75" s="498"/>
      <c r="S75" s="498"/>
      <c r="T75" s="498"/>
      <c r="U75" s="498"/>
      <c r="V75" s="498"/>
      <c r="W75" s="498"/>
      <c r="X75" s="498"/>
      <c r="Y75" s="498"/>
      <c r="Z75" s="498"/>
      <c r="AA75" s="498"/>
      <c r="AB75" s="522"/>
      <c r="AC75" s="522"/>
      <c r="AD75" s="525"/>
      <c r="AF75" s="50"/>
    </row>
    <row r="76" spans="1:32" ht="25.5" customHeight="1">
      <c r="A76" s="517">
        <v>7</v>
      </c>
      <c r="B76" s="518"/>
      <c r="C76" s="104"/>
      <c r="D76" s="165"/>
      <c r="E76" s="162"/>
      <c r="F76" s="519"/>
      <c r="G76" s="520"/>
      <c r="H76" s="520"/>
      <c r="I76" s="520"/>
      <c r="J76" s="521"/>
      <c r="K76" s="522"/>
      <c r="L76" s="522"/>
      <c r="M76" s="51"/>
      <c r="N76" s="523"/>
      <c r="O76" s="523"/>
      <c r="P76" s="524"/>
      <c r="Q76" s="524"/>
      <c r="R76" s="498"/>
      <c r="S76" s="498"/>
      <c r="T76" s="498"/>
      <c r="U76" s="498"/>
      <c r="V76" s="498"/>
      <c r="W76" s="498"/>
      <c r="X76" s="498"/>
      <c r="Y76" s="498"/>
      <c r="Z76" s="498"/>
      <c r="AA76" s="498"/>
      <c r="AB76" s="522"/>
      <c r="AC76" s="522"/>
      <c r="AD76" s="525"/>
      <c r="AF76" s="50"/>
    </row>
    <row r="77" spans="1:32" ht="25.5" customHeight="1">
      <c r="A77" s="517">
        <v>8</v>
      </c>
      <c r="B77" s="518"/>
      <c r="C77" s="104"/>
      <c r="D77" s="165"/>
      <c r="E77" s="162"/>
      <c r="F77" s="526"/>
      <c r="G77" s="522"/>
      <c r="H77" s="522"/>
      <c r="I77" s="522"/>
      <c r="J77" s="522"/>
      <c r="K77" s="522"/>
      <c r="L77" s="522"/>
      <c r="M77" s="51"/>
      <c r="N77" s="523"/>
      <c r="O77" s="523"/>
      <c r="P77" s="524"/>
      <c r="Q77" s="524"/>
      <c r="R77" s="498"/>
      <c r="S77" s="498"/>
      <c r="T77" s="498"/>
      <c r="U77" s="498"/>
      <c r="V77" s="498"/>
      <c r="W77" s="498"/>
      <c r="X77" s="498"/>
      <c r="Y77" s="498"/>
      <c r="Z77" s="498"/>
      <c r="AA77" s="498"/>
      <c r="AB77" s="522"/>
      <c r="AC77" s="522"/>
      <c r="AD77" s="525"/>
      <c r="AF77" s="50"/>
    </row>
    <row r="78" spans="1:32" ht="25.5" customHeight="1">
      <c r="A78" s="517">
        <v>9</v>
      </c>
      <c r="B78" s="518"/>
      <c r="C78" s="104"/>
      <c r="D78" s="165"/>
      <c r="E78" s="162"/>
      <c r="F78" s="526"/>
      <c r="G78" s="522"/>
      <c r="H78" s="522"/>
      <c r="I78" s="522"/>
      <c r="J78" s="522"/>
      <c r="K78" s="522"/>
      <c r="L78" s="522"/>
      <c r="M78" s="51"/>
      <c r="N78" s="523"/>
      <c r="O78" s="523"/>
      <c r="P78" s="524"/>
      <c r="Q78" s="524"/>
      <c r="R78" s="498"/>
      <c r="S78" s="498"/>
      <c r="T78" s="498"/>
      <c r="U78" s="498"/>
      <c r="V78" s="498"/>
      <c r="W78" s="498"/>
      <c r="X78" s="498"/>
      <c r="Y78" s="498"/>
      <c r="Z78" s="498"/>
      <c r="AA78" s="498"/>
      <c r="AB78" s="522"/>
      <c r="AC78" s="522"/>
      <c r="AD78" s="525"/>
      <c r="AF78" s="50"/>
    </row>
    <row r="79" spans="1:32" ht="25.5" customHeight="1">
      <c r="A79" s="517">
        <v>10</v>
      </c>
      <c r="B79" s="518"/>
      <c r="C79" s="104"/>
      <c r="D79" s="165"/>
      <c r="E79" s="162"/>
      <c r="F79" s="526"/>
      <c r="G79" s="522"/>
      <c r="H79" s="522"/>
      <c r="I79" s="522"/>
      <c r="J79" s="522"/>
      <c r="K79" s="522"/>
      <c r="L79" s="522"/>
      <c r="M79" s="51"/>
      <c r="N79" s="523"/>
      <c r="O79" s="523"/>
      <c r="P79" s="524"/>
      <c r="Q79" s="524"/>
      <c r="R79" s="498"/>
      <c r="S79" s="498"/>
      <c r="T79" s="498"/>
      <c r="U79" s="498"/>
      <c r="V79" s="498"/>
      <c r="W79" s="498"/>
      <c r="X79" s="498"/>
      <c r="Y79" s="498"/>
      <c r="Z79" s="498"/>
      <c r="AA79" s="498"/>
      <c r="AB79" s="522"/>
      <c r="AC79" s="522"/>
      <c r="AD79" s="525"/>
      <c r="AF79" s="50"/>
    </row>
    <row r="80" spans="1:32" ht="26.25" customHeight="1" thickBot="1">
      <c r="A80" s="527" t="s">
        <v>246</v>
      </c>
      <c r="B80" s="527"/>
      <c r="C80" s="527"/>
      <c r="D80" s="527"/>
      <c r="E80" s="527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528" t="s">
        <v>111</v>
      </c>
      <c r="B81" s="529"/>
      <c r="C81" s="164" t="s">
        <v>2</v>
      </c>
      <c r="D81" s="164" t="s">
        <v>37</v>
      </c>
      <c r="E81" s="164" t="s">
        <v>121</v>
      </c>
      <c r="F81" s="530" t="s">
        <v>38</v>
      </c>
      <c r="G81" s="530"/>
      <c r="H81" s="530"/>
      <c r="I81" s="530"/>
      <c r="J81" s="530"/>
      <c r="K81" s="531" t="s">
        <v>58</v>
      </c>
      <c r="L81" s="532"/>
      <c r="M81" s="532"/>
      <c r="N81" s="532"/>
      <c r="O81" s="532"/>
      <c r="P81" s="532"/>
      <c r="Q81" s="532"/>
      <c r="R81" s="532"/>
      <c r="S81" s="533"/>
      <c r="T81" s="530" t="s">
        <v>49</v>
      </c>
      <c r="U81" s="530"/>
      <c r="V81" s="531" t="s">
        <v>50</v>
      </c>
      <c r="W81" s="533"/>
      <c r="X81" s="532" t="s">
        <v>51</v>
      </c>
      <c r="Y81" s="532"/>
      <c r="Z81" s="532"/>
      <c r="AA81" s="532"/>
      <c r="AB81" s="532"/>
      <c r="AC81" s="532"/>
      <c r="AD81" s="534"/>
      <c r="AF81" s="50"/>
    </row>
    <row r="82" spans="1:32" ht="33.75" customHeight="1">
      <c r="A82" s="543">
        <v>1</v>
      </c>
      <c r="B82" s="544"/>
      <c r="C82" s="166"/>
      <c r="D82" s="166"/>
      <c r="E82" s="65"/>
      <c r="F82" s="545"/>
      <c r="G82" s="546"/>
      <c r="H82" s="546"/>
      <c r="I82" s="546"/>
      <c r="J82" s="547"/>
      <c r="K82" s="548"/>
      <c r="L82" s="549"/>
      <c r="M82" s="549"/>
      <c r="N82" s="549"/>
      <c r="O82" s="549"/>
      <c r="P82" s="549"/>
      <c r="Q82" s="549"/>
      <c r="R82" s="549"/>
      <c r="S82" s="550"/>
      <c r="T82" s="551"/>
      <c r="U82" s="552"/>
      <c r="V82" s="553"/>
      <c r="W82" s="553"/>
      <c r="X82" s="554"/>
      <c r="Y82" s="554"/>
      <c r="Z82" s="554"/>
      <c r="AA82" s="554"/>
      <c r="AB82" s="554"/>
      <c r="AC82" s="554"/>
      <c r="AD82" s="555"/>
      <c r="AF82" s="50"/>
    </row>
    <row r="83" spans="1:32" ht="30" customHeight="1">
      <c r="A83" s="535">
        <f>A82+1</f>
        <v>2</v>
      </c>
      <c r="B83" s="536"/>
      <c r="C83" s="165"/>
      <c r="D83" s="165"/>
      <c r="E83" s="32"/>
      <c r="F83" s="536"/>
      <c r="G83" s="536"/>
      <c r="H83" s="536"/>
      <c r="I83" s="536"/>
      <c r="J83" s="536"/>
      <c r="K83" s="537"/>
      <c r="L83" s="538"/>
      <c r="M83" s="538"/>
      <c r="N83" s="538"/>
      <c r="O83" s="538"/>
      <c r="P83" s="538"/>
      <c r="Q83" s="538"/>
      <c r="R83" s="538"/>
      <c r="S83" s="539"/>
      <c r="T83" s="540"/>
      <c r="U83" s="540"/>
      <c r="V83" s="540"/>
      <c r="W83" s="540"/>
      <c r="X83" s="541"/>
      <c r="Y83" s="541"/>
      <c r="Z83" s="541"/>
      <c r="AA83" s="541"/>
      <c r="AB83" s="541"/>
      <c r="AC83" s="541"/>
      <c r="AD83" s="542"/>
      <c r="AF83" s="50"/>
    </row>
    <row r="84" spans="1:32" ht="30" customHeight="1">
      <c r="A84" s="535">
        <f t="shared" ref="A84:A88" si="12">A83+1</f>
        <v>3</v>
      </c>
      <c r="B84" s="536"/>
      <c r="C84" s="165"/>
      <c r="D84" s="165"/>
      <c r="E84" s="32"/>
      <c r="F84" s="536"/>
      <c r="G84" s="536"/>
      <c r="H84" s="536"/>
      <c r="I84" s="536"/>
      <c r="J84" s="536"/>
      <c r="K84" s="537"/>
      <c r="L84" s="538"/>
      <c r="M84" s="538"/>
      <c r="N84" s="538"/>
      <c r="O84" s="538"/>
      <c r="P84" s="538"/>
      <c r="Q84" s="538"/>
      <c r="R84" s="538"/>
      <c r="S84" s="539"/>
      <c r="T84" s="540"/>
      <c r="U84" s="540"/>
      <c r="V84" s="540"/>
      <c r="W84" s="540"/>
      <c r="X84" s="541"/>
      <c r="Y84" s="541"/>
      <c r="Z84" s="541"/>
      <c r="AA84" s="541"/>
      <c r="AB84" s="541"/>
      <c r="AC84" s="541"/>
      <c r="AD84" s="542"/>
      <c r="AF84" s="50"/>
    </row>
    <row r="85" spans="1:32" ht="30" customHeight="1">
      <c r="A85" s="535">
        <f t="shared" si="12"/>
        <v>4</v>
      </c>
      <c r="B85" s="536"/>
      <c r="C85" s="165"/>
      <c r="D85" s="165"/>
      <c r="E85" s="32"/>
      <c r="F85" s="536"/>
      <c r="G85" s="536"/>
      <c r="H85" s="536"/>
      <c r="I85" s="536"/>
      <c r="J85" s="536"/>
      <c r="K85" s="537"/>
      <c r="L85" s="538"/>
      <c r="M85" s="538"/>
      <c r="N85" s="538"/>
      <c r="O85" s="538"/>
      <c r="P85" s="538"/>
      <c r="Q85" s="538"/>
      <c r="R85" s="538"/>
      <c r="S85" s="539"/>
      <c r="T85" s="540"/>
      <c r="U85" s="540"/>
      <c r="V85" s="540"/>
      <c r="W85" s="540"/>
      <c r="X85" s="541"/>
      <c r="Y85" s="541"/>
      <c r="Z85" s="541"/>
      <c r="AA85" s="541"/>
      <c r="AB85" s="541"/>
      <c r="AC85" s="541"/>
      <c r="AD85" s="542"/>
      <c r="AF85" s="50"/>
    </row>
    <row r="86" spans="1:32" ht="30" customHeight="1">
      <c r="A86" s="535">
        <f t="shared" si="12"/>
        <v>5</v>
      </c>
      <c r="B86" s="536"/>
      <c r="C86" s="165"/>
      <c r="D86" s="165"/>
      <c r="E86" s="32"/>
      <c r="F86" s="536"/>
      <c r="G86" s="536"/>
      <c r="H86" s="536"/>
      <c r="I86" s="536"/>
      <c r="J86" s="536"/>
      <c r="K86" s="537"/>
      <c r="L86" s="538"/>
      <c r="M86" s="538"/>
      <c r="N86" s="538"/>
      <c r="O86" s="538"/>
      <c r="P86" s="538"/>
      <c r="Q86" s="538"/>
      <c r="R86" s="538"/>
      <c r="S86" s="539"/>
      <c r="T86" s="540"/>
      <c r="U86" s="540"/>
      <c r="V86" s="540"/>
      <c r="W86" s="540"/>
      <c r="X86" s="541"/>
      <c r="Y86" s="541"/>
      <c r="Z86" s="541"/>
      <c r="AA86" s="541"/>
      <c r="AB86" s="541"/>
      <c r="AC86" s="541"/>
      <c r="AD86" s="542"/>
      <c r="AF86" s="50"/>
    </row>
    <row r="87" spans="1:32" ht="30" customHeight="1">
      <c r="A87" s="535">
        <f t="shared" si="12"/>
        <v>6</v>
      </c>
      <c r="B87" s="536"/>
      <c r="C87" s="165"/>
      <c r="D87" s="165"/>
      <c r="E87" s="32"/>
      <c r="F87" s="536"/>
      <c r="G87" s="536"/>
      <c r="H87" s="536"/>
      <c r="I87" s="536"/>
      <c r="J87" s="536"/>
      <c r="K87" s="537"/>
      <c r="L87" s="538"/>
      <c r="M87" s="538"/>
      <c r="N87" s="538"/>
      <c r="O87" s="538"/>
      <c r="P87" s="538"/>
      <c r="Q87" s="538"/>
      <c r="R87" s="538"/>
      <c r="S87" s="539"/>
      <c r="T87" s="540"/>
      <c r="U87" s="540"/>
      <c r="V87" s="540"/>
      <c r="W87" s="540"/>
      <c r="X87" s="541"/>
      <c r="Y87" s="541"/>
      <c r="Z87" s="541"/>
      <c r="AA87" s="541"/>
      <c r="AB87" s="541"/>
      <c r="AC87" s="541"/>
      <c r="AD87" s="542"/>
      <c r="AF87" s="50"/>
    </row>
    <row r="88" spans="1:32" ht="30" customHeight="1">
      <c r="A88" s="535">
        <f t="shared" si="12"/>
        <v>7</v>
      </c>
      <c r="B88" s="536"/>
      <c r="C88" s="165"/>
      <c r="D88" s="165"/>
      <c r="E88" s="32"/>
      <c r="F88" s="536"/>
      <c r="G88" s="536"/>
      <c r="H88" s="536"/>
      <c r="I88" s="536"/>
      <c r="J88" s="536"/>
      <c r="K88" s="537"/>
      <c r="L88" s="538"/>
      <c r="M88" s="538"/>
      <c r="N88" s="538"/>
      <c r="O88" s="538"/>
      <c r="P88" s="538"/>
      <c r="Q88" s="538"/>
      <c r="R88" s="538"/>
      <c r="S88" s="539"/>
      <c r="T88" s="540"/>
      <c r="U88" s="540"/>
      <c r="V88" s="540"/>
      <c r="W88" s="540"/>
      <c r="X88" s="541"/>
      <c r="Y88" s="541"/>
      <c r="Z88" s="541"/>
      <c r="AA88" s="541"/>
      <c r="AB88" s="541"/>
      <c r="AC88" s="541"/>
      <c r="AD88" s="542"/>
      <c r="AF88" s="50"/>
    </row>
    <row r="89" spans="1:32" ht="36" thickBot="1">
      <c r="A89" s="527" t="s">
        <v>247</v>
      </c>
      <c r="B89" s="527"/>
      <c r="C89" s="527"/>
      <c r="D89" s="527"/>
      <c r="E89" s="527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56" t="s">
        <v>111</v>
      </c>
      <c r="B90" s="530"/>
      <c r="C90" s="557" t="s">
        <v>52</v>
      </c>
      <c r="D90" s="557"/>
      <c r="E90" s="557" t="s">
        <v>53</v>
      </c>
      <c r="F90" s="557"/>
      <c r="G90" s="557"/>
      <c r="H90" s="557"/>
      <c r="I90" s="557"/>
      <c r="J90" s="557"/>
      <c r="K90" s="557" t="s">
        <v>54</v>
      </c>
      <c r="L90" s="557"/>
      <c r="M90" s="557"/>
      <c r="N90" s="557"/>
      <c r="O90" s="557"/>
      <c r="P90" s="557"/>
      <c r="Q90" s="557"/>
      <c r="R90" s="557"/>
      <c r="S90" s="557"/>
      <c r="T90" s="557" t="s">
        <v>55</v>
      </c>
      <c r="U90" s="557"/>
      <c r="V90" s="557" t="s">
        <v>56</v>
      </c>
      <c r="W90" s="557"/>
      <c r="X90" s="557"/>
      <c r="Y90" s="557" t="s">
        <v>51</v>
      </c>
      <c r="Z90" s="557"/>
      <c r="AA90" s="557"/>
      <c r="AB90" s="557"/>
      <c r="AC90" s="557"/>
      <c r="AD90" s="558"/>
      <c r="AF90" s="50"/>
    </row>
    <row r="91" spans="1:32" ht="30.75" customHeight="1">
      <c r="A91" s="543">
        <v>1</v>
      </c>
      <c r="B91" s="544"/>
      <c r="C91" s="559">
        <v>9</v>
      </c>
      <c r="D91" s="559"/>
      <c r="E91" s="559" t="s">
        <v>127</v>
      </c>
      <c r="F91" s="559"/>
      <c r="G91" s="559"/>
      <c r="H91" s="559"/>
      <c r="I91" s="559"/>
      <c r="J91" s="559"/>
      <c r="K91" s="559" t="s">
        <v>136</v>
      </c>
      <c r="L91" s="559"/>
      <c r="M91" s="559"/>
      <c r="N91" s="559"/>
      <c r="O91" s="559"/>
      <c r="P91" s="559"/>
      <c r="Q91" s="559"/>
      <c r="R91" s="559"/>
      <c r="S91" s="559"/>
      <c r="T91" s="559" t="s">
        <v>128</v>
      </c>
      <c r="U91" s="559"/>
      <c r="V91" s="560" t="s">
        <v>133</v>
      </c>
      <c r="W91" s="560"/>
      <c r="X91" s="560"/>
      <c r="Y91" s="561"/>
      <c r="Z91" s="561"/>
      <c r="AA91" s="561"/>
      <c r="AB91" s="561"/>
      <c r="AC91" s="561"/>
      <c r="AD91" s="562"/>
      <c r="AF91" s="50"/>
    </row>
    <row r="92" spans="1:32" ht="30.75" customHeight="1">
      <c r="A92" s="535">
        <v>2</v>
      </c>
      <c r="B92" s="536"/>
      <c r="C92" s="570">
        <v>6</v>
      </c>
      <c r="D92" s="570"/>
      <c r="E92" s="570" t="s">
        <v>230</v>
      </c>
      <c r="F92" s="570"/>
      <c r="G92" s="570"/>
      <c r="H92" s="570"/>
      <c r="I92" s="570"/>
      <c r="J92" s="570"/>
      <c r="K92" s="570"/>
      <c r="L92" s="570"/>
      <c r="M92" s="570"/>
      <c r="N92" s="570"/>
      <c r="O92" s="570"/>
      <c r="P92" s="570"/>
      <c r="Q92" s="570"/>
      <c r="R92" s="570"/>
      <c r="S92" s="570"/>
      <c r="T92" s="571" t="s">
        <v>231</v>
      </c>
      <c r="U92" s="571"/>
      <c r="V92" s="572"/>
      <c r="W92" s="572"/>
      <c r="X92" s="572"/>
      <c r="Y92" s="563"/>
      <c r="Z92" s="563"/>
      <c r="AA92" s="563"/>
      <c r="AB92" s="563"/>
      <c r="AC92" s="563"/>
      <c r="AD92" s="564"/>
      <c r="AF92" s="50"/>
    </row>
    <row r="93" spans="1:32" ht="30.75" customHeight="1" thickBot="1">
      <c r="A93" s="565">
        <v>3</v>
      </c>
      <c r="B93" s="566"/>
      <c r="C93" s="567">
        <v>8</v>
      </c>
      <c r="D93" s="567"/>
      <c r="E93" s="567" t="s">
        <v>232</v>
      </c>
      <c r="F93" s="567"/>
      <c r="G93" s="567"/>
      <c r="H93" s="567"/>
      <c r="I93" s="567"/>
      <c r="J93" s="567"/>
      <c r="K93" s="567"/>
      <c r="L93" s="567"/>
      <c r="M93" s="567"/>
      <c r="N93" s="567"/>
      <c r="O93" s="567"/>
      <c r="P93" s="567"/>
      <c r="Q93" s="567"/>
      <c r="R93" s="567"/>
      <c r="S93" s="567"/>
      <c r="T93" s="567" t="s">
        <v>233</v>
      </c>
      <c r="U93" s="567"/>
      <c r="V93" s="567"/>
      <c r="W93" s="567"/>
      <c r="X93" s="567"/>
      <c r="Y93" s="568"/>
      <c r="Z93" s="568"/>
      <c r="AA93" s="568"/>
      <c r="AB93" s="568"/>
      <c r="AC93" s="568"/>
      <c r="AD93" s="569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3" max="2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2C36-227C-44A2-ABEE-DABB0A20D3C5}">
  <dimension ref="A1:AF94"/>
  <sheetViews>
    <sheetView view="pageBreakPreview" topLeftCell="A14" zoomScale="70" zoomScaleNormal="72" zoomScaleSheetLayoutView="70" workbookViewId="0">
      <selection activeCell="A18" sqref="A18:XFD1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50" t="s">
        <v>250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1"/>
      <c r="B3" s="451"/>
      <c r="C3" s="451"/>
      <c r="D3" s="451"/>
      <c r="E3" s="451"/>
      <c r="F3" s="451"/>
      <c r="G3" s="45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52" t="s">
        <v>0</v>
      </c>
      <c r="B4" s="454" t="s">
        <v>1</v>
      </c>
      <c r="C4" s="454" t="s">
        <v>2</v>
      </c>
      <c r="D4" s="457" t="s">
        <v>3</v>
      </c>
      <c r="E4" s="459" t="s">
        <v>4</v>
      </c>
      <c r="F4" s="457" t="s">
        <v>5</v>
      </c>
      <c r="G4" s="454" t="s">
        <v>6</v>
      </c>
      <c r="H4" s="460" t="s">
        <v>7</v>
      </c>
      <c r="I4" s="480" t="s">
        <v>8</v>
      </c>
      <c r="J4" s="481"/>
      <c r="K4" s="481"/>
      <c r="L4" s="481"/>
      <c r="M4" s="481"/>
      <c r="N4" s="481"/>
      <c r="O4" s="482"/>
      <c r="P4" s="483" t="s">
        <v>9</v>
      </c>
      <c r="Q4" s="484"/>
      <c r="R4" s="485" t="s">
        <v>10</v>
      </c>
      <c r="S4" s="485"/>
      <c r="T4" s="485"/>
      <c r="U4" s="485"/>
      <c r="V4" s="485"/>
      <c r="W4" s="486" t="s">
        <v>11</v>
      </c>
      <c r="X4" s="485"/>
      <c r="Y4" s="485"/>
      <c r="Z4" s="485"/>
      <c r="AA4" s="487"/>
      <c r="AB4" s="488" t="s">
        <v>12</v>
      </c>
      <c r="AC4" s="462" t="s">
        <v>13</v>
      </c>
      <c r="AD4" s="462" t="s">
        <v>14</v>
      </c>
      <c r="AE4" s="54"/>
    </row>
    <row r="5" spans="1:32" ht="51" customHeight="1" thickBot="1">
      <c r="A5" s="453"/>
      <c r="B5" s="455"/>
      <c r="C5" s="456"/>
      <c r="D5" s="458"/>
      <c r="E5" s="458"/>
      <c r="F5" s="458"/>
      <c r="G5" s="455"/>
      <c r="H5" s="461"/>
      <c r="I5" s="55" t="s">
        <v>15</v>
      </c>
      <c r="J5" s="56" t="s">
        <v>16</v>
      </c>
      <c r="K5" s="179" t="s">
        <v>17</v>
      </c>
      <c r="L5" s="179" t="s">
        <v>18</v>
      </c>
      <c r="M5" s="179" t="s">
        <v>19</v>
      </c>
      <c r="N5" s="17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89"/>
      <c r="AC5" s="463"/>
      <c r="AD5" s="463"/>
      <c r="AE5" s="54"/>
    </row>
    <row r="6" spans="1:32" ht="27" customHeight="1">
      <c r="A6" s="112">
        <v>1</v>
      </c>
      <c r="B6" s="11" t="s">
        <v>57</v>
      </c>
      <c r="C6" s="34" t="s">
        <v>116</v>
      </c>
      <c r="D6" s="52" t="s">
        <v>130</v>
      </c>
      <c r="E6" s="53" t="s">
        <v>158</v>
      </c>
      <c r="F6" s="30" t="s">
        <v>146</v>
      </c>
      <c r="G6" s="12">
        <v>2</v>
      </c>
      <c r="H6" s="13">
        <v>24</v>
      </c>
      <c r="I6" s="31">
        <v>174000</v>
      </c>
      <c r="J6" s="14">
        <v>6972</v>
      </c>
      <c r="K6" s="15">
        <f>L6+2384+8412+9776+8821+8774+10138</f>
        <v>55277</v>
      </c>
      <c r="L6" s="15">
        <f>3260*2+226*2</f>
        <v>6972</v>
      </c>
      <c r="M6" s="15">
        <f t="shared" ref="M6:M28" si="0">L6-N6</f>
        <v>6972</v>
      </c>
      <c r="N6" s="15">
        <v>0</v>
      </c>
      <c r="O6" s="58">
        <f t="shared" ref="O6:O29" si="1">IF(L6=0,"0",N6/L6)</f>
        <v>0</v>
      </c>
      <c r="P6" s="39">
        <f t="shared" ref="P6:P28" si="2">IF(L6=0,"0",(24-Q6))</f>
        <v>16</v>
      </c>
      <c r="Q6" s="40">
        <f t="shared" ref="Q6:Q28" si="3">SUM(R6:AA6)</f>
        <v>8</v>
      </c>
      <c r="R6" s="7"/>
      <c r="S6" s="6">
        <v>8</v>
      </c>
      <c r="T6" s="16"/>
      <c r="U6" s="16"/>
      <c r="V6" s="17"/>
      <c r="W6" s="5"/>
      <c r="X6" s="16"/>
      <c r="Y6" s="16"/>
      <c r="Z6" s="16"/>
      <c r="AA6" s="18"/>
      <c r="AB6" s="8">
        <f t="shared" ref="AB6:AB28" si="4">IF(J6=0,"0",(L6/J6))</f>
        <v>1</v>
      </c>
      <c r="AC6" s="9">
        <f t="shared" ref="AC6:AC28" si="5">IF(P6=0,"0",(P6/24))</f>
        <v>0.66666666666666663</v>
      </c>
      <c r="AD6" s="10">
        <f t="shared" ref="AD6:AD28" si="6">AC6*AB6*(1-O6)</f>
        <v>0.66666666666666663</v>
      </c>
      <c r="AE6" s="36">
        <f t="shared" ref="AE6:AE28" si="7">$AD$29</f>
        <v>0.47282608695652184</v>
      </c>
      <c r="AF6" s="84">
        <f t="shared" ref="AF6:AF28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148</v>
      </c>
      <c r="E7" s="53" t="s">
        <v>149</v>
      </c>
      <c r="F7" s="30" t="s">
        <v>147</v>
      </c>
      <c r="G7" s="12">
        <v>1</v>
      </c>
      <c r="H7" s="13">
        <v>24</v>
      </c>
      <c r="I7" s="31">
        <v>18000</v>
      </c>
      <c r="J7" s="14">
        <v>6258</v>
      </c>
      <c r="K7" s="15">
        <f>L7+3479+6290+3687+5866+6258</f>
        <v>25580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0.47282608695652184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143</v>
      </c>
      <c r="D8" s="52" t="s">
        <v>124</v>
      </c>
      <c r="E8" s="53" t="s">
        <v>174</v>
      </c>
      <c r="F8" s="30" t="s">
        <v>144</v>
      </c>
      <c r="G8" s="12">
        <v>4</v>
      </c>
      <c r="H8" s="13">
        <v>24</v>
      </c>
      <c r="I8" s="7">
        <v>85000</v>
      </c>
      <c r="J8" s="14">
        <v>23392</v>
      </c>
      <c r="K8" s="15">
        <f>L8+12500+8020</f>
        <v>43912</v>
      </c>
      <c r="L8" s="15">
        <f>2048*4+3800*4</f>
        <v>23392</v>
      </c>
      <c r="M8" s="15">
        <f t="shared" ref="M8" si="9">L8-N8</f>
        <v>23392</v>
      </c>
      <c r="N8" s="15">
        <v>0</v>
      </c>
      <c r="O8" s="58">
        <f t="shared" ref="O8" si="10">IF(L8=0,"0",N8/L8)</f>
        <v>0</v>
      </c>
      <c r="P8" s="39">
        <f t="shared" ref="P8" si="11">IF(L8=0,"0",(24-Q8))</f>
        <v>21</v>
      </c>
      <c r="Q8" s="40">
        <f t="shared" ref="Q8" si="12">SUM(R8:AA8)</f>
        <v>3</v>
      </c>
      <c r="R8" s="7"/>
      <c r="S8" s="6">
        <v>3</v>
      </c>
      <c r="T8" s="16"/>
      <c r="U8" s="16"/>
      <c r="V8" s="17"/>
      <c r="W8" s="5"/>
      <c r="X8" s="16"/>
      <c r="Y8" s="16"/>
      <c r="Z8" s="16"/>
      <c r="AA8" s="18"/>
      <c r="AB8" s="8">
        <f t="shared" ref="AB8" si="13">IF(J8=0,"0",(L8/J8))</f>
        <v>1</v>
      </c>
      <c r="AC8" s="9">
        <f t="shared" ref="AC8" si="14">IF(P8=0,"0",(P8/24))</f>
        <v>0.875</v>
      </c>
      <c r="AD8" s="10">
        <f t="shared" ref="AD8" si="15">AC8*AB8*(1-O8)</f>
        <v>0.875</v>
      </c>
      <c r="AE8" s="36">
        <f t="shared" si="7"/>
        <v>0.47282608695652184</v>
      </c>
      <c r="AF8" s="84">
        <f t="shared" ref="AF8" si="16">A8</f>
        <v>3</v>
      </c>
    </row>
    <row r="9" spans="1:32" ht="27" customHeight="1">
      <c r="A9" s="96">
        <v>4</v>
      </c>
      <c r="B9" s="11" t="s">
        <v>57</v>
      </c>
      <c r="C9" s="34" t="s">
        <v>143</v>
      </c>
      <c r="D9" s="52" t="s">
        <v>124</v>
      </c>
      <c r="E9" s="53" t="s">
        <v>242</v>
      </c>
      <c r="F9" s="30" t="s">
        <v>144</v>
      </c>
      <c r="G9" s="12">
        <v>2</v>
      </c>
      <c r="H9" s="13">
        <v>24</v>
      </c>
      <c r="I9" s="7">
        <v>30000</v>
      </c>
      <c r="J9" s="14">
        <v>6468</v>
      </c>
      <c r="K9" s="15">
        <f>L9</f>
        <v>6468</v>
      </c>
      <c r="L9" s="15">
        <f>556*2+2678*2</f>
        <v>6468</v>
      </c>
      <c r="M9" s="15">
        <f t="shared" si="0"/>
        <v>6468</v>
      </c>
      <c r="N9" s="15">
        <v>0</v>
      </c>
      <c r="O9" s="58">
        <f t="shared" si="1"/>
        <v>0</v>
      </c>
      <c r="P9" s="39">
        <f t="shared" si="2"/>
        <v>17</v>
      </c>
      <c r="Q9" s="40">
        <f t="shared" si="3"/>
        <v>7</v>
      </c>
      <c r="R9" s="7"/>
      <c r="S9" s="6">
        <v>7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0.70833333333333337</v>
      </c>
      <c r="AD9" s="10">
        <f t="shared" si="6"/>
        <v>0.70833333333333337</v>
      </c>
      <c r="AE9" s="36">
        <f t="shared" si="7"/>
        <v>0.47282608695652184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116</v>
      </c>
      <c r="D10" s="52" t="s">
        <v>124</v>
      </c>
      <c r="E10" s="53" t="s">
        <v>138</v>
      </c>
      <c r="F10" s="30" t="s">
        <v>131</v>
      </c>
      <c r="G10" s="33">
        <v>1</v>
      </c>
      <c r="H10" s="35">
        <v>24</v>
      </c>
      <c r="I10" s="7">
        <v>27000</v>
      </c>
      <c r="J10" s="14">
        <v>6746</v>
      </c>
      <c r="K10" s="15">
        <f>L10+6380+6789+6692+6752+6801+6746</f>
        <v>40160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0.47282608695652184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116</v>
      </c>
      <c r="D11" s="52" t="s">
        <v>173</v>
      </c>
      <c r="E11" s="53" t="s">
        <v>172</v>
      </c>
      <c r="F11" s="30" t="s">
        <v>187</v>
      </c>
      <c r="G11" s="33">
        <v>32</v>
      </c>
      <c r="H11" s="35">
        <v>24</v>
      </c>
      <c r="I11" s="7">
        <v>300000</v>
      </c>
      <c r="J11" s="14">
        <v>100900</v>
      </c>
      <c r="K11" s="15">
        <f>L11+133700+100900</f>
        <v>234600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>
        <v>24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0.47282608695652184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126</v>
      </c>
      <c r="F12" s="30" t="s">
        <v>167</v>
      </c>
      <c r="G12" s="12">
        <v>1</v>
      </c>
      <c r="H12" s="13">
        <v>22</v>
      </c>
      <c r="I12" s="31">
        <v>100000</v>
      </c>
      <c r="J12" s="5">
        <v>5334</v>
      </c>
      <c r="K12" s="15">
        <f>L12+4676+4488+5126+5538+5283</f>
        <v>30445</v>
      </c>
      <c r="L12" s="15">
        <f>2738+2596</f>
        <v>5334</v>
      </c>
      <c r="M12" s="15">
        <f t="shared" si="0"/>
        <v>5334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0.47282608695652184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124</v>
      </c>
      <c r="E13" s="53" t="s">
        <v>168</v>
      </c>
      <c r="F13" s="30" t="s">
        <v>131</v>
      </c>
      <c r="G13" s="33">
        <v>1</v>
      </c>
      <c r="H13" s="35">
        <v>24</v>
      </c>
      <c r="I13" s="7">
        <v>4000</v>
      </c>
      <c r="J13" s="14">
        <v>1346</v>
      </c>
      <c r="K13" s="15">
        <f>L13+1346</f>
        <v>1346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>
        <v>24</v>
      </c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0.47282608695652184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156</v>
      </c>
      <c r="F14" s="30" t="s">
        <v>151</v>
      </c>
      <c r="G14" s="33">
        <v>1</v>
      </c>
      <c r="H14" s="35">
        <v>50</v>
      </c>
      <c r="I14" s="7">
        <v>2500</v>
      </c>
      <c r="J14" s="5">
        <v>800</v>
      </c>
      <c r="K14" s="15">
        <f>L14+893+982+1050+800</f>
        <v>3725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0.47282608695652184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123</v>
      </c>
      <c r="E15" s="53" t="s">
        <v>141</v>
      </c>
      <c r="F15" s="30" t="s">
        <v>135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0.47282608695652184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143</v>
      </c>
      <c r="D16" s="52" t="s">
        <v>123</v>
      </c>
      <c r="E16" s="53" t="s">
        <v>248</v>
      </c>
      <c r="F16" s="30" t="s">
        <v>145</v>
      </c>
      <c r="G16" s="12">
        <v>1</v>
      </c>
      <c r="H16" s="13">
        <v>24</v>
      </c>
      <c r="I16" s="7">
        <v>1000</v>
      </c>
      <c r="J16" s="14">
        <v>1101</v>
      </c>
      <c r="K16" s="15">
        <f>L16</f>
        <v>1101</v>
      </c>
      <c r="L16" s="15">
        <v>1101</v>
      </c>
      <c r="M16" s="15">
        <f t="shared" si="0"/>
        <v>1101</v>
      </c>
      <c r="N16" s="15">
        <v>0</v>
      </c>
      <c r="O16" s="58">
        <f t="shared" si="1"/>
        <v>0</v>
      </c>
      <c r="P16" s="39">
        <f t="shared" si="2"/>
        <v>6</v>
      </c>
      <c r="Q16" s="40">
        <f t="shared" si="3"/>
        <v>18</v>
      </c>
      <c r="R16" s="7"/>
      <c r="S16" s="6"/>
      <c r="T16" s="16"/>
      <c r="U16" s="16"/>
      <c r="V16" s="17"/>
      <c r="W16" s="5">
        <v>18</v>
      </c>
      <c r="X16" s="16"/>
      <c r="Y16" s="16"/>
      <c r="Z16" s="16"/>
      <c r="AA16" s="18"/>
      <c r="AB16" s="8">
        <f t="shared" si="4"/>
        <v>1</v>
      </c>
      <c r="AC16" s="9">
        <f t="shared" si="5"/>
        <v>0.25</v>
      </c>
      <c r="AD16" s="10">
        <f t="shared" si="6"/>
        <v>0.25</v>
      </c>
      <c r="AE16" s="36">
        <f t="shared" si="7"/>
        <v>0.47282608695652184</v>
      </c>
      <c r="AF16" s="84">
        <f t="shared" si="8"/>
        <v>11</v>
      </c>
    </row>
    <row r="17" spans="1:32" ht="30" customHeight="1">
      <c r="A17" s="112">
        <v>11</v>
      </c>
      <c r="B17" s="11" t="s">
        <v>57</v>
      </c>
      <c r="C17" s="34" t="s">
        <v>143</v>
      </c>
      <c r="D17" s="52" t="s">
        <v>115</v>
      </c>
      <c r="E17" s="53" t="s">
        <v>249</v>
      </c>
      <c r="F17" s="30" t="s">
        <v>144</v>
      </c>
      <c r="G17" s="12">
        <v>2</v>
      </c>
      <c r="H17" s="13">
        <v>24</v>
      </c>
      <c r="I17" s="7">
        <v>30000</v>
      </c>
      <c r="J17" s="14">
        <v>5366</v>
      </c>
      <c r="K17" s="15">
        <f>L17</f>
        <v>5366</v>
      </c>
      <c r="L17" s="15">
        <f>2683*2</f>
        <v>5366</v>
      </c>
      <c r="M17" s="15">
        <f t="shared" ref="M17" si="17">L17-N17</f>
        <v>5366</v>
      </c>
      <c r="N17" s="15">
        <v>0</v>
      </c>
      <c r="O17" s="58">
        <f t="shared" ref="O17" si="18">IF(L17=0,"0",N17/L17)</f>
        <v>0</v>
      </c>
      <c r="P17" s="39">
        <f t="shared" ref="P17" si="19">IF(L17=0,"0",(24-Q17))</f>
        <v>16</v>
      </c>
      <c r="Q17" s="40">
        <f t="shared" ref="Q17" si="20">SUM(R17:AA17)</f>
        <v>8</v>
      </c>
      <c r="R17" s="7"/>
      <c r="S17" s="6"/>
      <c r="T17" s="16">
        <v>8</v>
      </c>
      <c r="U17" s="16"/>
      <c r="V17" s="17"/>
      <c r="W17" s="5"/>
      <c r="X17" s="16"/>
      <c r="Y17" s="16"/>
      <c r="Z17" s="16"/>
      <c r="AA17" s="18"/>
      <c r="AB17" s="8">
        <f t="shared" ref="AB17" si="21">IF(J17=0,"0",(L17/J17))</f>
        <v>1</v>
      </c>
      <c r="AC17" s="9">
        <f t="shared" ref="AC17" si="22">IF(P17=0,"0",(P17/24))</f>
        <v>0.66666666666666663</v>
      </c>
      <c r="AD17" s="10">
        <f t="shared" ref="AD17" si="23">AC17*AB17*(1-O17)</f>
        <v>0.66666666666666663</v>
      </c>
      <c r="AE17" s="36">
        <f t="shared" si="7"/>
        <v>0.47282608695652184</v>
      </c>
      <c r="AF17" s="84">
        <f t="shared" ref="AF17" si="24">A17</f>
        <v>11</v>
      </c>
    </row>
    <row r="18" spans="1:32" ht="30" customHeight="1">
      <c r="A18" s="95">
        <v>12</v>
      </c>
      <c r="B18" s="11" t="s">
        <v>57</v>
      </c>
      <c r="C18" s="34" t="s">
        <v>143</v>
      </c>
      <c r="D18" s="52" t="s">
        <v>150</v>
      </c>
      <c r="E18" s="53" t="s">
        <v>159</v>
      </c>
      <c r="F18" s="30" t="s">
        <v>154</v>
      </c>
      <c r="G18" s="12">
        <v>3</v>
      </c>
      <c r="H18" s="13">
        <v>24</v>
      </c>
      <c r="I18" s="7">
        <v>260000</v>
      </c>
      <c r="J18" s="14">
        <v>2610</v>
      </c>
      <c r="K18" s="15">
        <f>L18+16128+16857+16941+16140+15960+17466+17355+17745+17910+17925</f>
        <v>173037</v>
      </c>
      <c r="L18" s="15">
        <f>870*3</f>
        <v>2610</v>
      </c>
      <c r="M18" s="15">
        <f t="shared" si="0"/>
        <v>2610</v>
      </c>
      <c r="N18" s="15">
        <v>0</v>
      </c>
      <c r="O18" s="58">
        <f t="shared" si="1"/>
        <v>0</v>
      </c>
      <c r="P18" s="39">
        <f t="shared" si="2"/>
        <v>5</v>
      </c>
      <c r="Q18" s="40">
        <f t="shared" si="3"/>
        <v>19</v>
      </c>
      <c r="R18" s="7"/>
      <c r="S18" s="6">
        <v>19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0.20833333333333334</v>
      </c>
      <c r="AD18" s="10">
        <f t="shared" si="6"/>
        <v>0.20833333333333334</v>
      </c>
      <c r="AE18" s="36">
        <f t="shared" si="7"/>
        <v>0.47282608695652184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112</v>
      </c>
      <c r="D19" s="52" t="s">
        <v>115</v>
      </c>
      <c r="E19" s="53" t="s">
        <v>153</v>
      </c>
      <c r="F19" s="30" t="s">
        <v>131</v>
      </c>
      <c r="G19" s="33">
        <v>2</v>
      </c>
      <c r="H19" s="35">
        <v>24</v>
      </c>
      <c r="I19" s="7">
        <v>27200</v>
      </c>
      <c r="J19" s="14">
        <v>5282</v>
      </c>
      <c r="K19" s="15">
        <f>L19+5049+2711+6081+2649+5790+5789+5593</f>
        <v>38944</v>
      </c>
      <c r="L19" s="15">
        <f>2407+2875</f>
        <v>5282</v>
      </c>
      <c r="M19" s="15">
        <f t="shared" si="0"/>
        <v>5282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0.47282608695652184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142</v>
      </c>
      <c r="E20" s="53" t="s">
        <v>161</v>
      </c>
      <c r="F20" s="30" t="s">
        <v>134</v>
      </c>
      <c r="G20" s="33">
        <v>1</v>
      </c>
      <c r="H20" s="35">
        <v>24</v>
      </c>
      <c r="I20" s="7">
        <v>39000</v>
      </c>
      <c r="J20" s="14">
        <v>3094</v>
      </c>
      <c r="K20" s="15">
        <f>L20+2260+4771+194+2851+3863+3917+3410+3939+5293+1639+3698</f>
        <v>38929</v>
      </c>
      <c r="L20" s="15">
        <f>2565+529</f>
        <v>3094</v>
      </c>
      <c r="M20" s="15">
        <f t="shared" si="0"/>
        <v>3094</v>
      </c>
      <c r="N20" s="15">
        <v>0</v>
      </c>
      <c r="O20" s="58">
        <f t="shared" si="1"/>
        <v>0</v>
      </c>
      <c r="P20" s="39">
        <f t="shared" si="2"/>
        <v>16</v>
      </c>
      <c r="Q20" s="40">
        <f t="shared" si="3"/>
        <v>8</v>
      </c>
      <c r="R20" s="7"/>
      <c r="S20" s="6">
        <v>8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0.66666666666666663</v>
      </c>
      <c r="AD20" s="10">
        <f t="shared" si="6"/>
        <v>0.66666666666666663</v>
      </c>
      <c r="AE20" s="36">
        <f t="shared" si="7"/>
        <v>0.47282608695652184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116</v>
      </c>
      <c r="D21" s="52" t="s">
        <v>115</v>
      </c>
      <c r="E21" s="53" t="s">
        <v>223</v>
      </c>
      <c r="F21" s="30" t="s">
        <v>134</v>
      </c>
      <c r="G21" s="12">
        <v>1</v>
      </c>
      <c r="H21" s="13">
        <v>24</v>
      </c>
      <c r="I21" s="7">
        <v>3000</v>
      </c>
      <c r="J21" s="14">
        <v>4375</v>
      </c>
      <c r="K21" s="15">
        <f>L21+4208</f>
        <v>8583</v>
      </c>
      <c r="L21" s="15">
        <f>2078+2297</f>
        <v>4375</v>
      </c>
      <c r="M21" s="15">
        <f t="shared" si="0"/>
        <v>4375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0.47282608695652184</v>
      </c>
      <c r="AF21" s="84">
        <f t="shared" si="8"/>
        <v>15</v>
      </c>
    </row>
    <row r="22" spans="1:32" ht="27" customHeight="1">
      <c r="A22" s="96">
        <v>16</v>
      </c>
      <c r="B22" s="11" t="s">
        <v>57</v>
      </c>
      <c r="C22" s="11" t="s">
        <v>113</v>
      </c>
      <c r="D22" s="52"/>
      <c r="E22" s="53" t="s">
        <v>139</v>
      </c>
      <c r="F22" s="12" t="s">
        <v>114</v>
      </c>
      <c r="G22" s="12">
        <v>3</v>
      </c>
      <c r="H22" s="35">
        <v>20</v>
      </c>
      <c r="I22" s="7">
        <v>1000000</v>
      </c>
      <c r="J22" s="14">
        <v>34220</v>
      </c>
      <c r="K22" s="15">
        <f t="shared" ref="K22" si="25">L22+62008+65280+66156+31132+60100+67104+64940+66996+38324+18548+31820+33244+32052+33372+27132+34220</f>
        <v>732428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0.47282608695652184</v>
      </c>
      <c r="AF22" s="84">
        <f t="shared" si="8"/>
        <v>16</v>
      </c>
    </row>
    <row r="23" spans="1:32" ht="27" customHeight="1">
      <c r="A23" s="96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0.47282608695652184</v>
      </c>
      <c r="AF23" s="84">
        <f t="shared" si="8"/>
        <v>31</v>
      </c>
    </row>
    <row r="24" spans="1:32" ht="27" customHeight="1">
      <c r="A24" s="96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0.47282608695652184</v>
      </c>
      <c r="AF24" s="84">
        <f t="shared" si="8"/>
        <v>32</v>
      </c>
    </row>
    <row r="25" spans="1:32" ht="27" customHeight="1">
      <c r="A25" s="96">
        <v>33</v>
      </c>
      <c r="B25" s="11" t="s">
        <v>57</v>
      </c>
      <c r="C25" s="11" t="s">
        <v>116</v>
      </c>
      <c r="D25" s="52" t="s">
        <v>152</v>
      </c>
      <c r="E25" s="53" t="s">
        <v>164</v>
      </c>
      <c r="F25" s="12" t="s">
        <v>134</v>
      </c>
      <c r="G25" s="12">
        <v>4</v>
      </c>
      <c r="H25" s="35">
        <v>20</v>
      </c>
      <c r="I25" s="7">
        <v>240000</v>
      </c>
      <c r="J25" s="14">
        <v>29932</v>
      </c>
      <c r="K25" s="15">
        <f>L25+27572+32268+32324+32488+32368</f>
        <v>186952</v>
      </c>
      <c r="L25" s="15">
        <f>3443*4+4040*4</f>
        <v>29932</v>
      </c>
      <c r="M25" s="15">
        <f t="shared" si="0"/>
        <v>29932</v>
      </c>
      <c r="N25" s="15">
        <v>0</v>
      </c>
      <c r="O25" s="58">
        <f t="shared" si="1"/>
        <v>0</v>
      </c>
      <c r="P25" s="39">
        <f t="shared" si="2"/>
        <v>23</v>
      </c>
      <c r="Q25" s="40">
        <f t="shared" si="3"/>
        <v>1</v>
      </c>
      <c r="R25" s="7"/>
      <c r="S25" s="6"/>
      <c r="T25" s="16"/>
      <c r="U25" s="16"/>
      <c r="V25" s="6">
        <v>1</v>
      </c>
      <c r="W25" s="5"/>
      <c r="X25" s="16"/>
      <c r="Y25" s="16"/>
      <c r="Z25" s="16"/>
      <c r="AA25" s="18"/>
      <c r="AB25" s="8">
        <f t="shared" si="4"/>
        <v>1</v>
      </c>
      <c r="AC25" s="9">
        <f t="shared" si="5"/>
        <v>0.95833333333333337</v>
      </c>
      <c r="AD25" s="10">
        <f t="shared" si="6"/>
        <v>0.95833333333333337</v>
      </c>
      <c r="AE25" s="36">
        <f t="shared" si="7"/>
        <v>0.47282608695652184</v>
      </c>
      <c r="AF25" s="84">
        <f t="shared" si="8"/>
        <v>33</v>
      </c>
    </row>
    <row r="26" spans="1:32" ht="27" customHeight="1">
      <c r="A26" s="96">
        <v>34</v>
      </c>
      <c r="B26" s="11" t="s">
        <v>57</v>
      </c>
      <c r="C26" s="11" t="s">
        <v>116</v>
      </c>
      <c r="D26" s="52" t="s">
        <v>150</v>
      </c>
      <c r="E26" s="53" t="s">
        <v>165</v>
      </c>
      <c r="F26" s="12" t="s">
        <v>135</v>
      </c>
      <c r="G26" s="12">
        <v>4</v>
      </c>
      <c r="H26" s="35">
        <v>20</v>
      </c>
      <c r="I26" s="7">
        <v>240000</v>
      </c>
      <c r="J26" s="14">
        <v>26996</v>
      </c>
      <c r="K26" s="15">
        <f>L26+24768+29084+29040+29804+27780+4064</f>
        <v>171536</v>
      </c>
      <c r="L26" s="15">
        <f>3089*4+3660*4</f>
        <v>26996</v>
      </c>
      <c r="M26" s="15">
        <f t="shared" si="0"/>
        <v>26996</v>
      </c>
      <c r="N26" s="15">
        <v>0</v>
      </c>
      <c r="O26" s="58">
        <f t="shared" si="1"/>
        <v>0</v>
      </c>
      <c r="P26" s="39">
        <f t="shared" si="2"/>
        <v>23</v>
      </c>
      <c r="Q26" s="40">
        <f t="shared" si="3"/>
        <v>1</v>
      </c>
      <c r="R26" s="7"/>
      <c r="S26" s="6"/>
      <c r="T26" s="16"/>
      <c r="U26" s="16"/>
      <c r="V26" s="6">
        <v>1</v>
      </c>
      <c r="W26" s="5"/>
      <c r="X26" s="16"/>
      <c r="Y26" s="16"/>
      <c r="Z26" s="16"/>
      <c r="AA26" s="18"/>
      <c r="AB26" s="8">
        <f t="shared" si="4"/>
        <v>1</v>
      </c>
      <c r="AC26" s="9">
        <f t="shared" si="5"/>
        <v>0.95833333333333337</v>
      </c>
      <c r="AD26" s="10">
        <f t="shared" si="6"/>
        <v>0.95833333333333337</v>
      </c>
      <c r="AE26" s="36">
        <f t="shared" si="7"/>
        <v>0.47282608695652184</v>
      </c>
      <c r="AF26" s="84">
        <f t="shared" si="8"/>
        <v>34</v>
      </c>
    </row>
    <row r="27" spans="1:32" ht="27" customHeight="1">
      <c r="A27" s="96">
        <v>35</v>
      </c>
      <c r="B27" s="11" t="s">
        <v>57</v>
      </c>
      <c r="C27" s="11" t="s">
        <v>116</v>
      </c>
      <c r="D27" s="52" t="s">
        <v>123</v>
      </c>
      <c r="E27" s="53" t="s">
        <v>137</v>
      </c>
      <c r="F27" s="12" t="s">
        <v>135</v>
      </c>
      <c r="G27" s="12">
        <v>4</v>
      </c>
      <c r="H27" s="35">
        <v>20</v>
      </c>
      <c r="I27" s="7">
        <v>240000</v>
      </c>
      <c r="J27" s="14">
        <v>27000</v>
      </c>
      <c r="K27" s="15">
        <f>L27+25004+29968+31848+29672+31736</f>
        <v>175228</v>
      </c>
      <c r="L27" s="15">
        <f>3100*4+3650*4</f>
        <v>27000</v>
      </c>
      <c r="M27" s="15">
        <f t="shared" si="0"/>
        <v>27000</v>
      </c>
      <c r="N27" s="15">
        <v>0</v>
      </c>
      <c r="O27" s="58">
        <f t="shared" si="1"/>
        <v>0</v>
      </c>
      <c r="P27" s="39">
        <f t="shared" si="2"/>
        <v>23</v>
      </c>
      <c r="Q27" s="40">
        <f t="shared" si="3"/>
        <v>1</v>
      </c>
      <c r="R27" s="7"/>
      <c r="S27" s="6"/>
      <c r="T27" s="16"/>
      <c r="U27" s="16"/>
      <c r="V27" s="6">
        <v>1</v>
      </c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0.95833333333333337</v>
      </c>
      <c r="AD27" s="10">
        <f t="shared" si="6"/>
        <v>0.95833333333333337</v>
      </c>
      <c r="AE27" s="36">
        <f t="shared" si="7"/>
        <v>0.47282608695652184</v>
      </c>
      <c r="AF27" s="84">
        <f t="shared" si="8"/>
        <v>35</v>
      </c>
    </row>
    <row r="28" spans="1:32" ht="27" customHeight="1" thickBot="1">
      <c r="A28" s="96">
        <v>36</v>
      </c>
      <c r="B28" s="11" t="s">
        <v>57</v>
      </c>
      <c r="C28" s="11" t="s">
        <v>116</v>
      </c>
      <c r="D28" s="52" t="s">
        <v>115</v>
      </c>
      <c r="E28" s="53" t="s">
        <v>166</v>
      </c>
      <c r="F28" s="12" t="s">
        <v>122</v>
      </c>
      <c r="G28" s="12">
        <v>4</v>
      </c>
      <c r="H28" s="35">
        <v>20</v>
      </c>
      <c r="I28" s="7">
        <v>240000</v>
      </c>
      <c r="J28" s="14">
        <v>25080</v>
      </c>
      <c r="K28" s="15">
        <f>L28+22152+26340+20956+26812+26716+8020</f>
        <v>156076</v>
      </c>
      <c r="L28" s="15">
        <f>2853*4+3417*4</f>
        <v>25080</v>
      </c>
      <c r="M28" s="15">
        <f t="shared" si="0"/>
        <v>25080</v>
      </c>
      <c r="N28" s="15">
        <v>0</v>
      </c>
      <c r="O28" s="58">
        <f t="shared" si="1"/>
        <v>0</v>
      </c>
      <c r="P28" s="39">
        <f t="shared" si="2"/>
        <v>23</v>
      </c>
      <c r="Q28" s="40">
        <f t="shared" si="3"/>
        <v>1</v>
      </c>
      <c r="R28" s="7"/>
      <c r="S28" s="6"/>
      <c r="T28" s="16"/>
      <c r="U28" s="16"/>
      <c r="V28" s="6">
        <v>1</v>
      </c>
      <c r="W28" s="5"/>
      <c r="X28" s="16"/>
      <c r="Y28" s="16"/>
      <c r="Z28" s="16"/>
      <c r="AA28" s="18"/>
      <c r="AB28" s="8">
        <f t="shared" si="4"/>
        <v>1</v>
      </c>
      <c r="AC28" s="9">
        <f t="shared" si="5"/>
        <v>0.95833333333333337</v>
      </c>
      <c r="AD28" s="10">
        <f t="shared" si="6"/>
        <v>0.95833333333333337</v>
      </c>
      <c r="AE28" s="36">
        <f t="shared" si="7"/>
        <v>0.47282608695652184</v>
      </c>
      <c r="AF28" s="84">
        <f t="shared" si="8"/>
        <v>36</v>
      </c>
    </row>
    <row r="29" spans="1:32" ht="31.5" customHeight="1" thickBot="1">
      <c r="A29" s="464" t="s">
        <v>34</v>
      </c>
      <c r="B29" s="465"/>
      <c r="C29" s="465"/>
      <c r="D29" s="465"/>
      <c r="E29" s="465"/>
      <c r="F29" s="465"/>
      <c r="G29" s="465"/>
      <c r="H29" s="466"/>
      <c r="I29" s="22">
        <f t="shared" ref="I29:N29" si="26">SUM(I6:I28)</f>
        <v>3072700</v>
      </c>
      <c r="J29" s="19">
        <f t="shared" si="26"/>
        <v>335628</v>
      </c>
      <c r="K29" s="20">
        <f t="shared" si="26"/>
        <v>2142049</v>
      </c>
      <c r="L29" s="21">
        <f t="shared" si="26"/>
        <v>173002</v>
      </c>
      <c r="M29" s="20">
        <f t="shared" si="26"/>
        <v>173002</v>
      </c>
      <c r="N29" s="21">
        <f t="shared" si="26"/>
        <v>0</v>
      </c>
      <c r="O29" s="41">
        <f t="shared" si="1"/>
        <v>0</v>
      </c>
      <c r="P29" s="42">
        <f t="shared" ref="P29:AA29" si="27">SUM(P6:P28)</f>
        <v>261</v>
      </c>
      <c r="Q29" s="43">
        <f t="shared" si="27"/>
        <v>291</v>
      </c>
      <c r="R29" s="23">
        <f t="shared" si="27"/>
        <v>48</v>
      </c>
      <c r="S29" s="24">
        <f t="shared" si="27"/>
        <v>45</v>
      </c>
      <c r="T29" s="24">
        <f t="shared" si="27"/>
        <v>8</v>
      </c>
      <c r="U29" s="24">
        <f t="shared" si="27"/>
        <v>0</v>
      </c>
      <c r="V29" s="25">
        <f t="shared" si="27"/>
        <v>76</v>
      </c>
      <c r="W29" s="26">
        <f t="shared" si="27"/>
        <v>114</v>
      </c>
      <c r="X29" s="27">
        <f t="shared" si="27"/>
        <v>0</v>
      </c>
      <c r="Y29" s="27">
        <f t="shared" si="27"/>
        <v>0</v>
      </c>
      <c r="Z29" s="27">
        <f t="shared" si="27"/>
        <v>0</v>
      </c>
      <c r="AA29" s="27">
        <f t="shared" si="27"/>
        <v>0</v>
      </c>
      <c r="AB29" s="28">
        <f>AVERAGE(AB6:AB28)</f>
        <v>0.66666666666666663</v>
      </c>
      <c r="AC29" s="4">
        <f>AVERAGE(AC6:AC28)</f>
        <v>0.47282608695652184</v>
      </c>
      <c r="AD29" s="4">
        <f>AVERAGE(AD6:AD28)</f>
        <v>0.47282608695652184</v>
      </c>
      <c r="AE29" s="29"/>
    </row>
    <row r="30" spans="1:32">
      <c r="T30" s="50" t="s">
        <v>157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160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5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467" t="s">
        <v>45</v>
      </c>
      <c r="B56" s="467"/>
      <c r="C56" s="467"/>
      <c r="D56" s="467"/>
      <c r="E56" s="467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468" t="s">
        <v>254</v>
      </c>
      <c r="B57" s="469"/>
      <c r="C57" s="469"/>
      <c r="D57" s="469"/>
      <c r="E57" s="469"/>
      <c r="F57" s="469"/>
      <c r="G57" s="469"/>
      <c r="H57" s="469"/>
      <c r="I57" s="469"/>
      <c r="J57" s="469"/>
      <c r="K57" s="469"/>
      <c r="L57" s="469"/>
      <c r="M57" s="470"/>
      <c r="N57" s="471" t="s">
        <v>255</v>
      </c>
      <c r="O57" s="472"/>
      <c r="P57" s="472"/>
      <c r="Q57" s="472"/>
      <c r="R57" s="472"/>
      <c r="S57" s="472"/>
      <c r="T57" s="472"/>
      <c r="U57" s="472"/>
      <c r="V57" s="472"/>
      <c r="W57" s="472"/>
      <c r="X57" s="472"/>
      <c r="Y57" s="472"/>
      <c r="Z57" s="472"/>
      <c r="AA57" s="472"/>
      <c r="AB57" s="472"/>
      <c r="AC57" s="472"/>
      <c r="AD57" s="473"/>
    </row>
    <row r="58" spans="1:32" ht="27" customHeight="1">
      <c r="A58" s="474" t="s">
        <v>2</v>
      </c>
      <c r="B58" s="475"/>
      <c r="C58" s="178" t="s">
        <v>46</v>
      </c>
      <c r="D58" s="178" t="s">
        <v>47</v>
      </c>
      <c r="E58" s="178" t="s">
        <v>107</v>
      </c>
      <c r="F58" s="476" t="s">
        <v>106</v>
      </c>
      <c r="G58" s="477"/>
      <c r="H58" s="477"/>
      <c r="I58" s="477"/>
      <c r="J58" s="477"/>
      <c r="K58" s="477"/>
      <c r="L58" s="477"/>
      <c r="M58" s="478"/>
      <c r="N58" s="67" t="s">
        <v>110</v>
      </c>
      <c r="O58" s="178" t="s">
        <v>46</v>
      </c>
      <c r="P58" s="476" t="s">
        <v>47</v>
      </c>
      <c r="Q58" s="479"/>
      <c r="R58" s="476" t="s">
        <v>38</v>
      </c>
      <c r="S58" s="477"/>
      <c r="T58" s="477"/>
      <c r="U58" s="479"/>
      <c r="V58" s="476" t="s">
        <v>48</v>
      </c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490" t="s">
        <v>116</v>
      </c>
      <c r="B59" s="491"/>
      <c r="C59" s="174" t="s">
        <v>132</v>
      </c>
      <c r="D59" s="174" t="s">
        <v>130</v>
      </c>
      <c r="E59" s="174" t="s">
        <v>158</v>
      </c>
      <c r="F59" s="492" t="s">
        <v>238</v>
      </c>
      <c r="G59" s="493"/>
      <c r="H59" s="493"/>
      <c r="I59" s="493"/>
      <c r="J59" s="493"/>
      <c r="K59" s="493"/>
      <c r="L59" s="493"/>
      <c r="M59" s="494"/>
      <c r="N59" s="177" t="s">
        <v>241</v>
      </c>
      <c r="O59" s="171" t="s">
        <v>256</v>
      </c>
      <c r="P59" s="495"/>
      <c r="Q59" s="496"/>
      <c r="R59" s="495" t="s">
        <v>240</v>
      </c>
      <c r="S59" s="497"/>
      <c r="T59" s="497"/>
      <c r="U59" s="496"/>
      <c r="V59" s="498" t="s">
        <v>120</v>
      </c>
      <c r="W59" s="498"/>
      <c r="X59" s="498"/>
      <c r="Y59" s="498"/>
      <c r="Z59" s="498"/>
      <c r="AA59" s="498"/>
      <c r="AB59" s="498"/>
      <c r="AC59" s="498"/>
      <c r="AD59" s="499"/>
    </row>
    <row r="60" spans="1:32" ht="27" customHeight="1">
      <c r="A60" s="500" t="s">
        <v>112</v>
      </c>
      <c r="B60" s="501"/>
      <c r="C60" s="173" t="s">
        <v>221</v>
      </c>
      <c r="D60" s="173" t="s">
        <v>142</v>
      </c>
      <c r="E60" s="174" t="s">
        <v>161</v>
      </c>
      <c r="F60" s="492" t="s">
        <v>120</v>
      </c>
      <c r="G60" s="493"/>
      <c r="H60" s="493"/>
      <c r="I60" s="493"/>
      <c r="J60" s="493"/>
      <c r="K60" s="493"/>
      <c r="L60" s="493"/>
      <c r="M60" s="494"/>
      <c r="N60" s="177" t="s">
        <v>241</v>
      </c>
      <c r="O60" s="171" t="s">
        <v>129</v>
      </c>
      <c r="P60" s="495"/>
      <c r="Q60" s="496"/>
      <c r="R60" s="495" t="s">
        <v>257</v>
      </c>
      <c r="S60" s="497"/>
      <c r="T60" s="497"/>
      <c r="U60" s="496"/>
      <c r="V60" s="498" t="s">
        <v>125</v>
      </c>
      <c r="W60" s="498"/>
      <c r="X60" s="498"/>
      <c r="Y60" s="498"/>
      <c r="Z60" s="498"/>
      <c r="AA60" s="498"/>
      <c r="AB60" s="498"/>
      <c r="AC60" s="498"/>
      <c r="AD60" s="499"/>
    </row>
    <row r="61" spans="1:32" ht="27" customHeight="1">
      <c r="A61" s="500" t="s">
        <v>143</v>
      </c>
      <c r="B61" s="501"/>
      <c r="C61" s="173" t="s">
        <v>193</v>
      </c>
      <c r="D61" s="173" t="s">
        <v>140</v>
      </c>
      <c r="E61" s="174" t="s">
        <v>174</v>
      </c>
      <c r="F61" s="492" t="s">
        <v>120</v>
      </c>
      <c r="G61" s="493"/>
      <c r="H61" s="493"/>
      <c r="I61" s="493"/>
      <c r="J61" s="493"/>
      <c r="K61" s="493"/>
      <c r="L61" s="493"/>
      <c r="M61" s="494"/>
      <c r="N61" s="177" t="s">
        <v>143</v>
      </c>
      <c r="O61" s="171" t="s">
        <v>259</v>
      </c>
      <c r="P61" s="495" t="s">
        <v>260</v>
      </c>
      <c r="Q61" s="496"/>
      <c r="R61" s="495" t="s">
        <v>258</v>
      </c>
      <c r="S61" s="497"/>
      <c r="T61" s="497"/>
      <c r="U61" s="496"/>
      <c r="V61" s="498" t="s">
        <v>125</v>
      </c>
      <c r="W61" s="498"/>
      <c r="X61" s="498"/>
      <c r="Y61" s="498"/>
      <c r="Z61" s="498"/>
      <c r="AA61" s="498"/>
      <c r="AB61" s="498"/>
      <c r="AC61" s="498"/>
      <c r="AD61" s="499"/>
    </row>
    <row r="62" spans="1:32" ht="27" customHeight="1">
      <c r="A62" s="500" t="s">
        <v>143</v>
      </c>
      <c r="B62" s="501"/>
      <c r="C62" s="173" t="s">
        <v>175</v>
      </c>
      <c r="D62" s="173" t="s">
        <v>140</v>
      </c>
      <c r="E62" s="174" t="s">
        <v>242</v>
      </c>
      <c r="F62" s="492" t="s">
        <v>251</v>
      </c>
      <c r="G62" s="493"/>
      <c r="H62" s="493"/>
      <c r="I62" s="493"/>
      <c r="J62" s="493"/>
      <c r="K62" s="493"/>
      <c r="L62" s="493"/>
      <c r="M62" s="494"/>
      <c r="N62" s="177"/>
      <c r="O62" s="171"/>
      <c r="P62" s="495"/>
      <c r="Q62" s="496"/>
      <c r="R62" s="495"/>
      <c r="S62" s="497"/>
      <c r="T62" s="497"/>
      <c r="U62" s="496"/>
      <c r="V62" s="498"/>
      <c r="W62" s="498"/>
      <c r="X62" s="498"/>
      <c r="Y62" s="498"/>
      <c r="Z62" s="498"/>
      <c r="AA62" s="498"/>
      <c r="AB62" s="498"/>
      <c r="AC62" s="498"/>
      <c r="AD62" s="499"/>
    </row>
    <row r="63" spans="1:32" ht="27" customHeight="1">
      <c r="A63" s="500" t="s">
        <v>143</v>
      </c>
      <c r="B63" s="501"/>
      <c r="C63" s="173" t="s">
        <v>239</v>
      </c>
      <c r="D63" s="173" t="s">
        <v>123</v>
      </c>
      <c r="E63" s="174" t="s">
        <v>252</v>
      </c>
      <c r="F63" s="492" t="s">
        <v>125</v>
      </c>
      <c r="G63" s="493"/>
      <c r="H63" s="493"/>
      <c r="I63" s="493"/>
      <c r="J63" s="493"/>
      <c r="K63" s="493"/>
      <c r="L63" s="493"/>
      <c r="M63" s="494"/>
      <c r="N63" s="177"/>
      <c r="O63" s="171"/>
      <c r="P63" s="495"/>
      <c r="Q63" s="496"/>
      <c r="R63" s="495"/>
      <c r="S63" s="497"/>
      <c r="T63" s="497"/>
      <c r="U63" s="496"/>
      <c r="V63" s="498"/>
      <c r="W63" s="498"/>
      <c r="X63" s="498"/>
      <c r="Y63" s="498"/>
      <c r="Z63" s="498"/>
      <c r="AA63" s="498"/>
      <c r="AB63" s="498"/>
      <c r="AC63" s="498"/>
      <c r="AD63" s="499"/>
    </row>
    <row r="64" spans="1:32" ht="27" customHeight="1">
      <c r="A64" s="500" t="s">
        <v>143</v>
      </c>
      <c r="B64" s="501"/>
      <c r="C64" s="173" t="s">
        <v>239</v>
      </c>
      <c r="D64" s="173" t="s">
        <v>115</v>
      </c>
      <c r="E64" s="174" t="s">
        <v>249</v>
      </c>
      <c r="F64" s="492" t="s">
        <v>125</v>
      </c>
      <c r="G64" s="493"/>
      <c r="H64" s="493"/>
      <c r="I64" s="493"/>
      <c r="J64" s="493"/>
      <c r="K64" s="493"/>
      <c r="L64" s="493"/>
      <c r="M64" s="494"/>
      <c r="N64" s="177"/>
      <c r="O64" s="171"/>
      <c r="P64" s="495"/>
      <c r="Q64" s="496"/>
      <c r="R64" s="495"/>
      <c r="S64" s="497"/>
      <c r="T64" s="497"/>
      <c r="U64" s="496"/>
      <c r="V64" s="498"/>
      <c r="W64" s="498"/>
      <c r="X64" s="498"/>
      <c r="Y64" s="498"/>
      <c r="Z64" s="498"/>
      <c r="AA64" s="498"/>
      <c r="AB64" s="498"/>
      <c r="AC64" s="498"/>
      <c r="AD64" s="499"/>
    </row>
    <row r="65" spans="1:32" ht="27" customHeight="1">
      <c r="A65" s="490" t="s">
        <v>241</v>
      </c>
      <c r="B65" s="491"/>
      <c r="C65" s="174" t="s">
        <v>169</v>
      </c>
      <c r="D65" s="174"/>
      <c r="E65" s="174" t="s">
        <v>240</v>
      </c>
      <c r="F65" s="492" t="s">
        <v>253</v>
      </c>
      <c r="G65" s="493"/>
      <c r="H65" s="493"/>
      <c r="I65" s="493"/>
      <c r="J65" s="493"/>
      <c r="K65" s="493"/>
      <c r="L65" s="493"/>
      <c r="M65" s="494"/>
      <c r="N65" s="177"/>
      <c r="O65" s="171"/>
      <c r="P65" s="495"/>
      <c r="Q65" s="496"/>
      <c r="R65" s="495"/>
      <c r="S65" s="497"/>
      <c r="T65" s="497"/>
      <c r="U65" s="496"/>
      <c r="V65" s="498"/>
      <c r="W65" s="498"/>
      <c r="X65" s="498"/>
      <c r="Y65" s="498"/>
      <c r="Z65" s="498"/>
      <c r="AA65" s="498"/>
      <c r="AB65" s="498"/>
      <c r="AC65" s="498"/>
      <c r="AD65" s="499"/>
    </row>
    <row r="66" spans="1:32" ht="27" customHeight="1">
      <c r="A66" s="500"/>
      <c r="B66" s="501"/>
      <c r="C66" s="173"/>
      <c r="D66" s="173"/>
      <c r="E66" s="174"/>
      <c r="F66" s="492"/>
      <c r="G66" s="493"/>
      <c r="H66" s="493"/>
      <c r="I66" s="493"/>
      <c r="J66" s="493"/>
      <c r="K66" s="493"/>
      <c r="L66" s="493"/>
      <c r="M66" s="494"/>
      <c r="N66" s="177"/>
      <c r="O66" s="171"/>
      <c r="P66" s="495"/>
      <c r="Q66" s="496"/>
      <c r="R66" s="495"/>
      <c r="S66" s="497"/>
      <c r="T66" s="497"/>
      <c r="U66" s="496"/>
      <c r="V66" s="498"/>
      <c r="W66" s="498"/>
      <c r="X66" s="498"/>
      <c r="Y66" s="498"/>
      <c r="Z66" s="498"/>
      <c r="AA66" s="498"/>
      <c r="AB66" s="498"/>
      <c r="AC66" s="498"/>
      <c r="AD66" s="499"/>
    </row>
    <row r="67" spans="1:32" ht="27" customHeight="1">
      <c r="A67" s="500"/>
      <c r="B67" s="501"/>
      <c r="C67" s="173"/>
      <c r="D67" s="173"/>
      <c r="E67" s="174"/>
      <c r="F67" s="492"/>
      <c r="G67" s="493"/>
      <c r="H67" s="493"/>
      <c r="I67" s="493"/>
      <c r="J67" s="493"/>
      <c r="K67" s="493"/>
      <c r="L67" s="493"/>
      <c r="M67" s="494"/>
      <c r="N67" s="177"/>
      <c r="O67" s="171"/>
      <c r="P67" s="491"/>
      <c r="Q67" s="491"/>
      <c r="R67" s="491"/>
      <c r="S67" s="491"/>
      <c r="T67" s="491"/>
      <c r="U67" s="491"/>
      <c r="V67" s="498"/>
      <c r="W67" s="498"/>
      <c r="X67" s="498"/>
      <c r="Y67" s="498"/>
      <c r="Z67" s="498"/>
      <c r="AA67" s="498"/>
      <c r="AB67" s="498"/>
      <c r="AC67" s="498"/>
      <c r="AD67" s="499"/>
      <c r="AF67" s="84">
        <f>8*3000</f>
        <v>24000</v>
      </c>
    </row>
    <row r="68" spans="1:32" ht="27" customHeight="1" thickBot="1">
      <c r="A68" s="502"/>
      <c r="B68" s="503"/>
      <c r="C68" s="175"/>
      <c r="D68" s="176"/>
      <c r="E68" s="175"/>
      <c r="F68" s="504"/>
      <c r="G68" s="505"/>
      <c r="H68" s="505"/>
      <c r="I68" s="505"/>
      <c r="J68" s="505"/>
      <c r="K68" s="505"/>
      <c r="L68" s="505"/>
      <c r="M68" s="506"/>
      <c r="N68" s="111"/>
      <c r="O68" s="103"/>
      <c r="P68" s="507"/>
      <c r="Q68" s="507"/>
      <c r="R68" s="507"/>
      <c r="S68" s="507"/>
      <c r="T68" s="507"/>
      <c r="U68" s="507"/>
      <c r="V68" s="508"/>
      <c r="W68" s="508"/>
      <c r="X68" s="508"/>
      <c r="Y68" s="508"/>
      <c r="Z68" s="508"/>
      <c r="AA68" s="508"/>
      <c r="AB68" s="508"/>
      <c r="AC68" s="508"/>
      <c r="AD68" s="509"/>
      <c r="AF68" s="84">
        <f>16*3000</f>
        <v>48000</v>
      </c>
    </row>
    <row r="69" spans="1:32" ht="27.75" thickBot="1">
      <c r="A69" s="510" t="s">
        <v>261</v>
      </c>
      <c r="B69" s="510"/>
      <c r="C69" s="510"/>
      <c r="D69" s="510"/>
      <c r="E69" s="510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4">
        <v>24000</v>
      </c>
    </row>
    <row r="70" spans="1:32" ht="29.25" customHeight="1" thickBot="1">
      <c r="A70" s="511" t="s">
        <v>111</v>
      </c>
      <c r="B70" s="512"/>
      <c r="C70" s="172" t="s">
        <v>2</v>
      </c>
      <c r="D70" s="172" t="s">
        <v>37</v>
      </c>
      <c r="E70" s="172" t="s">
        <v>3</v>
      </c>
      <c r="F70" s="512" t="s">
        <v>109</v>
      </c>
      <c r="G70" s="512"/>
      <c r="H70" s="512"/>
      <c r="I70" s="512"/>
      <c r="J70" s="512"/>
      <c r="K70" s="512" t="s">
        <v>39</v>
      </c>
      <c r="L70" s="512"/>
      <c r="M70" s="172" t="s">
        <v>40</v>
      </c>
      <c r="N70" s="512" t="s">
        <v>41</v>
      </c>
      <c r="O70" s="512"/>
      <c r="P70" s="513" t="s">
        <v>42</v>
      </c>
      <c r="Q70" s="514"/>
      <c r="R70" s="513" t="s">
        <v>43</v>
      </c>
      <c r="S70" s="515"/>
      <c r="T70" s="515"/>
      <c r="U70" s="515"/>
      <c r="V70" s="515"/>
      <c r="W70" s="515"/>
      <c r="X70" s="515"/>
      <c r="Y70" s="515"/>
      <c r="Z70" s="515"/>
      <c r="AA70" s="514"/>
      <c r="AB70" s="512" t="s">
        <v>44</v>
      </c>
      <c r="AC70" s="512"/>
      <c r="AD70" s="516"/>
      <c r="AF70" s="84">
        <f>SUM(AF67:AF69)</f>
        <v>96000</v>
      </c>
    </row>
    <row r="71" spans="1:32" ht="25.5" customHeight="1">
      <c r="A71" s="517">
        <v>1</v>
      </c>
      <c r="B71" s="518"/>
      <c r="C71" s="104"/>
      <c r="D71" s="167"/>
      <c r="E71" s="170"/>
      <c r="F71" s="519"/>
      <c r="G71" s="520"/>
      <c r="H71" s="520"/>
      <c r="I71" s="520"/>
      <c r="J71" s="521"/>
      <c r="K71" s="522"/>
      <c r="L71" s="522"/>
      <c r="M71" s="51"/>
      <c r="N71" s="523"/>
      <c r="O71" s="523"/>
      <c r="P71" s="524"/>
      <c r="Q71" s="524"/>
      <c r="R71" s="498"/>
      <c r="S71" s="498"/>
      <c r="T71" s="498"/>
      <c r="U71" s="498"/>
      <c r="V71" s="498"/>
      <c r="W71" s="498"/>
      <c r="X71" s="498"/>
      <c r="Y71" s="498"/>
      <c r="Z71" s="498"/>
      <c r="AA71" s="498"/>
      <c r="AB71" s="522"/>
      <c r="AC71" s="522"/>
      <c r="AD71" s="525"/>
      <c r="AF71" s="50"/>
    </row>
    <row r="72" spans="1:32" ht="25.5" customHeight="1">
      <c r="A72" s="517">
        <v>2</v>
      </c>
      <c r="B72" s="518"/>
      <c r="C72" s="104"/>
      <c r="D72" s="167"/>
      <c r="E72" s="170"/>
      <c r="F72" s="519"/>
      <c r="G72" s="520"/>
      <c r="H72" s="520"/>
      <c r="I72" s="520"/>
      <c r="J72" s="521"/>
      <c r="K72" s="522"/>
      <c r="L72" s="522"/>
      <c r="M72" s="51"/>
      <c r="N72" s="523"/>
      <c r="O72" s="523"/>
      <c r="P72" s="524"/>
      <c r="Q72" s="524"/>
      <c r="R72" s="498"/>
      <c r="S72" s="498"/>
      <c r="T72" s="498"/>
      <c r="U72" s="498"/>
      <c r="V72" s="498"/>
      <c r="W72" s="498"/>
      <c r="X72" s="498"/>
      <c r="Y72" s="498"/>
      <c r="Z72" s="498"/>
      <c r="AA72" s="498"/>
      <c r="AB72" s="522"/>
      <c r="AC72" s="522"/>
      <c r="AD72" s="525"/>
      <c r="AF72" s="50"/>
    </row>
    <row r="73" spans="1:32" ht="25.5" customHeight="1">
      <c r="A73" s="517">
        <v>3</v>
      </c>
      <c r="B73" s="518"/>
      <c r="C73" s="104"/>
      <c r="D73" s="167"/>
      <c r="E73" s="170"/>
      <c r="F73" s="519"/>
      <c r="G73" s="520"/>
      <c r="H73" s="520"/>
      <c r="I73" s="520"/>
      <c r="J73" s="521"/>
      <c r="K73" s="522"/>
      <c r="L73" s="522"/>
      <c r="M73" s="51"/>
      <c r="N73" s="523"/>
      <c r="O73" s="523"/>
      <c r="P73" s="524"/>
      <c r="Q73" s="524"/>
      <c r="R73" s="498"/>
      <c r="S73" s="498"/>
      <c r="T73" s="498"/>
      <c r="U73" s="498"/>
      <c r="V73" s="498"/>
      <c r="W73" s="498"/>
      <c r="X73" s="498"/>
      <c r="Y73" s="498"/>
      <c r="Z73" s="498"/>
      <c r="AA73" s="498"/>
      <c r="AB73" s="522"/>
      <c r="AC73" s="522"/>
      <c r="AD73" s="525"/>
      <c r="AF73" s="50"/>
    </row>
    <row r="74" spans="1:32" ht="25.5" customHeight="1">
      <c r="A74" s="517">
        <v>4</v>
      </c>
      <c r="B74" s="518"/>
      <c r="C74" s="104"/>
      <c r="D74" s="167"/>
      <c r="E74" s="170"/>
      <c r="F74" s="519"/>
      <c r="G74" s="520"/>
      <c r="H74" s="520"/>
      <c r="I74" s="520"/>
      <c r="J74" s="521"/>
      <c r="K74" s="522"/>
      <c r="L74" s="522"/>
      <c r="M74" s="51"/>
      <c r="N74" s="523"/>
      <c r="O74" s="523"/>
      <c r="P74" s="524"/>
      <c r="Q74" s="524"/>
      <c r="R74" s="498"/>
      <c r="S74" s="498"/>
      <c r="T74" s="498"/>
      <c r="U74" s="498"/>
      <c r="V74" s="498"/>
      <c r="W74" s="498"/>
      <c r="X74" s="498"/>
      <c r="Y74" s="498"/>
      <c r="Z74" s="498"/>
      <c r="AA74" s="498"/>
      <c r="AB74" s="522"/>
      <c r="AC74" s="522"/>
      <c r="AD74" s="525"/>
      <c r="AF74" s="50"/>
    </row>
    <row r="75" spans="1:32" ht="25.5" customHeight="1">
      <c r="A75" s="517">
        <v>5</v>
      </c>
      <c r="B75" s="518"/>
      <c r="C75" s="104"/>
      <c r="D75" s="167"/>
      <c r="E75" s="170"/>
      <c r="F75" s="519"/>
      <c r="G75" s="520"/>
      <c r="H75" s="520"/>
      <c r="I75" s="520"/>
      <c r="J75" s="521"/>
      <c r="K75" s="522"/>
      <c r="L75" s="522"/>
      <c r="M75" s="51"/>
      <c r="N75" s="523"/>
      <c r="O75" s="523"/>
      <c r="P75" s="524"/>
      <c r="Q75" s="524"/>
      <c r="R75" s="498"/>
      <c r="S75" s="498"/>
      <c r="T75" s="498"/>
      <c r="U75" s="498"/>
      <c r="V75" s="498"/>
      <c r="W75" s="498"/>
      <c r="X75" s="498"/>
      <c r="Y75" s="498"/>
      <c r="Z75" s="498"/>
      <c r="AA75" s="498"/>
      <c r="AB75" s="522"/>
      <c r="AC75" s="522"/>
      <c r="AD75" s="525"/>
      <c r="AF75" s="50"/>
    </row>
    <row r="76" spans="1:32" ht="25.5" customHeight="1">
      <c r="A76" s="517">
        <v>6</v>
      </c>
      <c r="B76" s="518"/>
      <c r="C76" s="104"/>
      <c r="D76" s="167"/>
      <c r="E76" s="170"/>
      <c r="F76" s="519"/>
      <c r="G76" s="520"/>
      <c r="H76" s="520"/>
      <c r="I76" s="520"/>
      <c r="J76" s="521"/>
      <c r="K76" s="522"/>
      <c r="L76" s="522"/>
      <c r="M76" s="51"/>
      <c r="N76" s="523"/>
      <c r="O76" s="523"/>
      <c r="P76" s="524"/>
      <c r="Q76" s="524"/>
      <c r="R76" s="498"/>
      <c r="S76" s="498"/>
      <c r="T76" s="498"/>
      <c r="U76" s="498"/>
      <c r="V76" s="498"/>
      <c r="W76" s="498"/>
      <c r="X76" s="498"/>
      <c r="Y76" s="498"/>
      <c r="Z76" s="498"/>
      <c r="AA76" s="498"/>
      <c r="AB76" s="522"/>
      <c r="AC76" s="522"/>
      <c r="AD76" s="525"/>
      <c r="AF76" s="50"/>
    </row>
    <row r="77" spans="1:32" ht="25.5" customHeight="1">
      <c r="A77" s="517">
        <v>7</v>
      </c>
      <c r="B77" s="518"/>
      <c r="C77" s="104"/>
      <c r="D77" s="167"/>
      <c r="E77" s="170"/>
      <c r="F77" s="519"/>
      <c r="G77" s="520"/>
      <c r="H77" s="520"/>
      <c r="I77" s="520"/>
      <c r="J77" s="521"/>
      <c r="K77" s="522"/>
      <c r="L77" s="522"/>
      <c r="M77" s="51"/>
      <c r="N77" s="523"/>
      <c r="O77" s="523"/>
      <c r="P77" s="524"/>
      <c r="Q77" s="524"/>
      <c r="R77" s="498"/>
      <c r="S77" s="498"/>
      <c r="T77" s="498"/>
      <c r="U77" s="498"/>
      <c r="V77" s="498"/>
      <c r="W77" s="498"/>
      <c r="X77" s="498"/>
      <c r="Y77" s="498"/>
      <c r="Z77" s="498"/>
      <c r="AA77" s="498"/>
      <c r="AB77" s="522"/>
      <c r="AC77" s="522"/>
      <c r="AD77" s="525"/>
      <c r="AF77" s="50"/>
    </row>
    <row r="78" spans="1:32" ht="25.5" customHeight="1">
      <c r="A78" s="517">
        <v>8</v>
      </c>
      <c r="B78" s="518"/>
      <c r="C78" s="104"/>
      <c r="D78" s="167"/>
      <c r="E78" s="170"/>
      <c r="F78" s="526"/>
      <c r="G78" s="522"/>
      <c r="H78" s="522"/>
      <c r="I78" s="522"/>
      <c r="J78" s="522"/>
      <c r="K78" s="522"/>
      <c r="L78" s="522"/>
      <c r="M78" s="51"/>
      <c r="N78" s="523"/>
      <c r="O78" s="523"/>
      <c r="P78" s="524"/>
      <c r="Q78" s="524"/>
      <c r="R78" s="498"/>
      <c r="S78" s="498"/>
      <c r="T78" s="498"/>
      <c r="U78" s="498"/>
      <c r="V78" s="498"/>
      <c r="W78" s="498"/>
      <c r="X78" s="498"/>
      <c r="Y78" s="498"/>
      <c r="Z78" s="498"/>
      <c r="AA78" s="498"/>
      <c r="AB78" s="522"/>
      <c r="AC78" s="522"/>
      <c r="AD78" s="525"/>
      <c r="AF78" s="50"/>
    </row>
    <row r="79" spans="1:32" ht="25.5" customHeight="1">
      <c r="A79" s="517">
        <v>9</v>
      </c>
      <c r="B79" s="518"/>
      <c r="C79" s="104"/>
      <c r="D79" s="167"/>
      <c r="E79" s="170"/>
      <c r="F79" s="526"/>
      <c r="G79" s="522"/>
      <c r="H79" s="522"/>
      <c r="I79" s="522"/>
      <c r="J79" s="522"/>
      <c r="K79" s="522"/>
      <c r="L79" s="522"/>
      <c r="M79" s="51"/>
      <c r="N79" s="523"/>
      <c r="O79" s="523"/>
      <c r="P79" s="524"/>
      <c r="Q79" s="524"/>
      <c r="R79" s="498"/>
      <c r="S79" s="498"/>
      <c r="T79" s="498"/>
      <c r="U79" s="498"/>
      <c r="V79" s="498"/>
      <c r="W79" s="498"/>
      <c r="X79" s="498"/>
      <c r="Y79" s="498"/>
      <c r="Z79" s="498"/>
      <c r="AA79" s="498"/>
      <c r="AB79" s="522"/>
      <c r="AC79" s="522"/>
      <c r="AD79" s="525"/>
      <c r="AF79" s="50"/>
    </row>
    <row r="80" spans="1:32" ht="25.5" customHeight="1">
      <c r="A80" s="517">
        <v>10</v>
      </c>
      <c r="B80" s="518"/>
      <c r="C80" s="104"/>
      <c r="D80" s="167"/>
      <c r="E80" s="170"/>
      <c r="F80" s="526"/>
      <c r="G80" s="522"/>
      <c r="H80" s="522"/>
      <c r="I80" s="522"/>
      <c r="J80" s="522"/>
      <c r="K80" s="522"/>
      <c r="L80" s="522"/>
      <c r="M80" s="51"/>
      <c r="N80" s="523"/>
      <c r="O80" s="523"/>
      <c r="P80" s="524"/>
      <c r="Q80" s="524"/>
      <c r="R80" s="498"/>
      <c r="S80" s="498"/>
      <c r="T80" s="498"/>
      <c r="U80" s="498"/>
      <c r="V80" s="498"/>
      <c r="W80" s="498"/>
      <c r="X80" s="498"/>
      <c r="Y80" s="498"/>
      <c r="Z80" s="498"/>
      <c r="AA80" s="498"/>
      <c r="AB80" s="522"/>
      <c r="AC80" s="522"/>
      <c r="AD80" s="525"/>
      <c r="AF80" s="50"/>
    </row>
    <row r="81" spans="1:32" ht="26.25" customHeight="1" thickBot="1">
      <c r="A81" s="527" t="s">
        <v>262</v>
      </c>
      <c r="B81" s="527"/>
      <c r="C81" s="527"/>
      <c r="D81" s="527"/>
      <c r="E81" s="527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528" t="s">
        <v>111</v>
      </c>
      <c r="B82" s="529"/>
      <c r="C82" s="169" t="s">
        <v>2</v>
      </c>
      <c r="D82" s="169" t="s">
        <v>37</v>
      </c>
      <c r="E82" s="169" t="s">
        <v>121</v>
      </c>
      <c r="F82" s="530" t="s">
        <v>38</v>
      </c>
      <c r="G82" s="530"/>
      <c r="H82" s="530"/>
      <c r="I82" s="530"/>
      <c r="J82" s="530"/>
      <c r="K82" s="531" t="s">
        <v>58</v>
      </c>
      <c r="L82" s="532"/>
      <c r="M82" s="532"/>
      <c r="N82" s="532"/>
      <c r="O82" s="532"/>
      <c r="P82" s="532"/>
      <c r="Q82" s="532"/>
      <c r="R82" s="532"/>
      <c r="S82" s="533"/>
      <c r="T82" s="530" t="s">
        <v>49</v>
      </c>
      <c r="U82" s="530"/>
      <c r="V82" s="531" t="s">
        <v>50</v>
      </c>
      <c r="W82" s="533"/>
      <c r="X82" s="532" t="s">
        <v>51</v>
      </c>
      <c r="Y82" s="532"/>
      <c r="Z82" s="532"/>
      <c r="AA82" s="532"/>
      <c r="AB82" s="532"/>
      <c r="AC82" s="532"/>
      <c r="AD82" s="534"/>
      <c r="AF82" s="50"/>
    </row>
    <row r="83" spans="1:32" ht="33.75" customHeight="1">
      <c r="A83" s="543">
        <v>1</v>
      </c>
      <c r="B83" s="544"/>
      <c r="C83" s="168"/>
      <c r="D83" s="168"/>
      <c r="E83" s="65"/>
      <c r="F83" s="545"/>
      <c r="G83" s="546"/>
      <c r="H83" s="546"/>
      <c r="I83" s="546"/>
      <c r="J83" s="547"/>
      <c r="K83" s="548"/>
      <c r="L83" s="549"/>
      <c r="M83" s="549"/>
      <c r="N83" s="549"/>
      <c r="O83" s="549"/>
      <c r="P83" s="549"/>
      <c r="Q83" s="549"/>
      <c r="R83" s="549"/>
      <c r="S83" s="550"/>
      <c r="T83" s="551"/>
      <c r="U83" s="552"/>
      <c r="V83" s="553"/>
      <c r="W83" s="553"/>
      <c r="X83" s="554"/>
      <c r="Y83" s="554"/>
      <c r="Z83" s="554"/>
      <c r="AA83" s="554"/>
      <c r="AB83" s="554"/>
      <c r="AC83" s="554"/>
      <c r="AD83" s="555"/>
      <c r="AF83" s="50"/>
    </row>
    <row r="84" spans="1:32" ht="30" customHeight="1">
      <c r="A84" s="535">
        <f>A83+1</f>
        <v>2</v>
      </c>
      <c r="B84" s="536"/>
      <c r="C84" s="167"/>
      <c r="D84" s="167"/>
      <c r="E84" s="32"/>
      <c r="F84" s="536"/>
      <c r="G84" s="536"/>
      <c r="H84" s="536"/>
      <c r="I84" s="536"/>
      <c r="J84" s="536"/>
      <c r="K84" s="537"/>
      <c r="L84" s="538"/>
      <c r="M84" s="538"/>
      <c r="N84" s="538"/>
      <c r="O84" s="538"/>
      <c r="P84" s="538"/>
      <c r="Q84" s="538"/>
      <c r="R84" s="538"/>
      <c r="S84" s="539"/>
      <c r="T84" s="540"/>
      <c r="U84" s="540"/>
      <c r="V84" s="540"/>
      <c r="W84" s="540"/>
      <c r="X84" s="541"/>
      <c r="Y84" s="541"/>
      <c r="Z84" s="541"/>
      <c r="AA84" s="541"/>
      <c r="AB84" s="541"/>
      <c r="AC84" s="541"/>
      <c r="AD84" s="542"/>
      <c r="AF84" s="50"/>
    </row>
    <row r="85" spans="1:32" ht="30" customHeight="1">
      <c r="A85" s="535">
        <f t="shared" ref="A85:A89" si="28">A84+1</f>
        <v>3</v>
      </c>
      <c r="B85" s="536"/>
      <c r="C85" s="167"/>
      <c r="D85" s="167"/>
      <c r="E85" s="32"/>
      <c r="F85" s="536"/>
      <c r="G85" s="536"/>
      <c r="H85" s="536"/>
      <c r="I85" s="536"/>
      <c r="J85" s="536"/>
      <c r="K85" s="537"/>
      <c r="L85" s="538"/>
      <c r="M85" s="538"/>
      <c r="N85" s="538"/>
      <c r="O85" s="538"/>
      <c r="P85" s="538"/>
      <c r="Q85" s="538"/>
      <c r="R85" s="538"/>
      <c r="S85" s="539"/>
      <c r="T85" s="540"/>
      <c r="U85" s="540"/>
      <c r="V85" s="540"/>
      <c r="W85" s="540"/>
      <c r="X85" s="541"/>
      <c r="Y85" s="541"/>
      <c r="Z85" s="541"/>
      <c r="AA85" s="541"/>
      <c r="AB85" s="541"/>
      <c r="AC85" s="541"/>
      <c r="AD85" s="542"/>
      <c r="AF85" s="50"/>
    </row>
    <row r="86" spans="1:32" ht="30" customHeight="1">
      <c r="A86" s="535">
        <f t="shared" si="28"/>
        <v>4</v>
      </c>
      <c r="B86" s="536"/>
      <c r="C86" s="167"/>
      <c r="D86" s="167"/>
      <c r="E86" s="32"/>
      <c r="F86" s="536"/>
      <c r="G86" s="536"/>
      <c r="H86" s="536"/>
      <c r="I86" s="536"/>
      <c r="J86" s="536"/>
      <c r="K86" s="537"/>
      <c r="L86" s="538"/>
      <c r="M86" s="538"/>
      <c r="N86" s="538"/>
      <c r="O86" s="538"/>
      <c r="P86" s="538"/>
      <c r="Q86" s="538"/>
      <c r="R86" s="538"/>
      <c r="S86" s="539"/>
      <c r="T86" s="540"/>
      <c r="U86" s="540"/>
      <c r="V86" s="540"/>
      <c r="W86" s="540"/>
      <c r="X86" s="541"/>
      <c r="Y86" s="541"/>
      <c r="Z86" s="541"/>
      <c r="AA86" s="541"/>
      <c r="AB86" s="541"/>
      <c r="AC86" s="541"/>
      <c r="AD86" s="542"/>
      <c r="AF86" s="50"/>
    </row>
    <row r="87" spans="1:32" ht="30" customHeight="1">
      <c r="A87" s="535">
        <f t="shared" si="28"/>
        <v>5</v>
      </c>
      <c r="B87" s="536"/>
      <c r="C87" s="167"/>
      <c r="D87" s="167"/>
      <c r="E87" s="32"/>
      <c r="F87" s="536"/>
      <c r="G87" s="536"/>
      <c r="H87" s="536"/>
      <c r="I87" s="536"/>
      <c r="J87" s="536"/>
      <c r="K87" s="537"/>
      <c r="L87" s="538"/>
      <c r="M87" s="538"/>
      <c r="N87" s="538"/>
      <c r="O87" s="538"/>
      <c r="P87" s="538"/>
      <c r="Q87" s="538"/>
      <c r="R87" s="538"/>
      <c r="S87" s="539"/>
      <c r="T87" s="540"/>
      <c r="U87" s="540"/>
      <c r="V87" s="540"/>
      <c r="W87" s="540"/>
      <c r="X87" s="541"/>
      <c r="Y87" s="541"/>
      <c r="Z87" s="541"/>
      <c r="AA87" s="541"/>
      <c r="AB87" s="541"/>
      <c r="AC87" s="541"/>
      <c r="AD87" s="542"/>
      <c r="AF87" s="50"/>
    </row>
    <row r="88" spans="1:32" ht="30" customHeight="1">
      <c r="A88" s="535">
        <f t="shared" si="28"/>
        <v>6</v>
      </c>
      <c r="B88" s="536"/>
      <c r="C88" s="167"/>
      <c r="D88" s="167"/>
      <c r="E88" s="32"/>
      <c r="F88" s="536"/>
      <c r="G88" s="536"/>
      <c r="H88" s="536"/>
      <c r="I88" s="536"/>
      <c r="J88" s="536"/>
      <c r="K88" s="537"/>
      <c r="L88" s="538"/>
      <c r="M88" s="538"/>
      <c r="N88" s="538"/>
      <c r="O88" s="538"/>
      <c r="P88" s="538"/>
      <c r="Q88" s="538"/>
      <c r="R88" s="538"/>
      <c r="S88" s="539"/>
      <c r="T88" s="540"/>
      <c r="U88" s="540"/>
      <c r="V88" s="540"/>
      <c r="W88" s="540"/>
      <c r="X88" s="541"/>
      <c r="Y88" s="541"/>
      <c r="Z88" s="541"/>
      <c r="AA88" s="541"/>
      <c r="AB88" s="541"/>
      <c r="AC88" s="541"/>
      <c r="AD88" s="542"/>
      <c r="AF88" s="50"/>
    </row>
    <row r="89" spans="1:32" ht="30" customHeight="1">
      <c r="A89" s="535">
        <f t="shared" si="28"/>
        <v>7</v>
      </c>
      <c r="B89" s="536"/>
      <c r="C89" s="167"/>
      <c r="D89" s="167"/>
      <c r="E89" s="32"/>
      <c r="F89" s="536"/>
      <c r="G89" s="536"/>
      <c r="H89" s="536"/>
      <c r="I89" s="536"/>
      <c r="J89" s="536"/>
      <c r="K89" s="537"/>
      <c r="L89" s="538"/>
      <c r="M89" s="538"/>
      <c r="N89" s="538"/>
      <c r="O89" s="538"/>
      <c r="P89" s="538"/>
      <c r="Q89" s="538"/>
      <c r="R89" s="538"/>
      <c r="S89" s="539"/>
      <c r="T89" s="540"/>
      <c r="U89" s="540"/>
      <c r="V89" s="540"/>
      <c r="W89" s="540"/>
      <c r="X89" s="541"/>
      <c r="Y89" s="541"/>
      <c r="Z89" s="541"/>
      <c r="AA89" s="541"/>
      <c r="AB89" s="541"/>
      <c r="AC89" s="541"/>
      <c r="AD89" s="542"/>
      <c r="AF89" s="50"/>
    </row>
    <row r="90" spans="1:32" ht="36" thickBot="1">
      <c r="A90" s="527" t="s">
        <v>263</v>
      </c>
      <c r="B90" s="527"/>
      <c r="C90" s="527"/>
      <c r="D90" s="527"/>
      <c r="E90" s="527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556" t="s">
        <v>111</v>
      </c>
      <c r="B91" s="530"/>
      <c r="C91" s="557" t="s">
        <v>52</v>
      </c>
      <c r="D91" s="557"/>
      <c r="E91" s="557" t="s">
        <v>53</v>
      </c>
      <c r="F91" s="557"/>
      <c r="G91" s="557"/>
      <c r="H91" s="557"/>
      <c r="I91" s="557"/>
      <c r="J91" s="557"/>
      <c r="K91" s="557" t="s">
        <v>54</v>
      </c>
      <c r="L91" s="557"/>
      <c r="M91" s="557"/>
      <c r="N91" s="557"/>
      <c r="O91" s="557"/>
      <c r="P91" s="557"/>
      <c r="Q91" s="557"/>
      <c r="R91" s="557"/>
      <c r="S91" s="557"/>
      <c r="T91" s="557" t="s">
        <v>55</v>
      </c>
      <c r="U91" s="557"/>
      <c r="V91" s="557" t="s">
        <v>56</v>
      </c>
      <c r="W91" s="557"/>
      <c r="X91" s="557"/>
      <c r="Y91" s="557" t="s">
        <v>51</v>
      </c>
      <c r="Z91" s="557"/>
      <c r="AA91" s="557"/>
      <c r="AB91" s="557"/>
      <c r="AC91" s="557"/>
      <c r="AD91" s="558"/>
      <c r="AF91" s="50"/>
    </row>
    <row r="92" spans="1:32" ht="30.75" customHeight="1">
      <c r="A92" s="543">
        <v>1</v>
      </c>
      <c r="B92" s="544"/>
      <c r="C92" s="559">
        <v>9</v>
      </c>
      <c r="D92" s="559"/>
      <c r="E92" s="559" t="s">
        <v>127</v>
      </c>
      <c r="F92" s="559"/>
      <c r="G92" s="559"/>
      <c r="H92" s="559"/>
      <c r="I92" s="559"/>
      <c r="J92" s="559"/>
      <c r="K92" s="559" t="s">
        <v>136</v>
      </c>
      <c r="L92" s="559"/>
      <c r="M92" s="559"/>
      <c r="N92" s="559"/>
      <c r="O92" s="559"/>
      <c r="P92" s="559"/>
      <c r="Q92" s="559"/>
      <c r="R92" s="559"/>
      <c r="S92" s="559"/>
      <c r="T92" s="559" t="s">
        <v>128</v>
      </c>
      <c r="U92" s="559"/>
      <c r="V92" s="560" t="s">
        <v>133</v>
      </c>
      <c r="W92" s="560"/>
      <c r="X92" s="560"/>
      <c r="Y92" s="561"/>
      <c r="Z92" s="561"/>
      <c r="AA92" s="561"/>
      <c r="AB92" s="561"/>
      <c r="AC92" s="561"/>
      <c r="AD92" s="562"/>
      <c r="AF92" s="50"/>
    </row>
    <row r="93" spans="1:32" ht="30.75" customHeight="1">
      <c r="A93" s="535">
        <v>2</v>
      </c>
      <c r="B93" s="536"/>
      <c r="C93" s="570">
        <v>6</v>
      </c>
      <c r="D93" s="570"/>
      <c r="E93" s="570" t="s">
        <v>230</v>
      </c>
      <c r="F93" s="570"/>
      <c r="G93" s="570"/>
      <c r="H93" s="570"/>
      <c r="I93" s="570"/>
      <c r="J93" s="570"/>
      <c r="K93" s="570"/>
      <c r="L93" s="570"/>
      <c r="M93" s="570"/>
      <c r="N93" s="570"/>
      <c r="O93" s="570"/>
      <c r="P93" s="570"/>
      <c r="Q93" s="570"/>
      <c r="R93" s="570"/>
      <c r="S93" s="570"/>
      <c r="T93" s="571" t="s">
        <v>231</v>
      </c>
      <c r="U93" s="571"/>
      <c r="V93" s="572"/>
      <c r="W93" s="572"/>
      <c r="X93" s="572"/>
      <c r="Y93" s="563"/>
      <c r="Z93" s="563"/>
      <c r="AA93" s="563"/>
      <c r="AB93" s="563"/>
      <c r="AC93" s="563"/>
      <c r="AD93" s="564"/>
      <c r="AF93" s="50"/>
    </row>
    <row r="94" spans="1:32" ht="30.75" customHeight="1" thickBot="1">
      <c r="A94" s="565">
        <v>3</v>
      </c>
      <c r="B94" s="566"/>
      <c r="C94" s="567">
        <v>8</v>
      </c>
      <c r="D94" s="567"/>
      <c r="E94" s="567" t="s">
        <v>232</v>
      </c>
      <c r="F94" s="567"/>
      <c r="G94" s="567"/>
      <c r="H94" s="567"/>
      <c r="I94" s="567"/>
      <c r="J94" s="567"/>
      <c r="K94" s="567" t="s">
        <v>264</v>
      </c>
      <c r="L94" s="567"/>
      <c r="M94" s="567"/>
      <c r="N94" s="567"/>
      <c r="O94" s="567"/>
      <c r="P94" s="567"/>
      <c r="Q94" s="567"/>
      <c r="R94" s="567"/>
      <c r="S94" s="567"/>
      <c r="T94" s="567" t="s">
        <v>233</v>
      </c>
      <c r="U94" s="567"/>
      <c r="V94" s="573">
        <v>461000</v>
      </c>
      <c r="W94" s="573"/>
      <c r="X94" s="573"/>
      <c r="Y94" s="568"/>
      <c r="Z94" s="568"/>
      <c r="AA94" s="568"/>
      <c r="AB94" s="568"/>
      <c r="AC94" s="568"/>
      <c r="AD94" s="569"/>
      <c r="AF94" s="50"/>
    </row>
  </sheetData>
  <mergeCells count="232"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4" max="2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1275-5BDD-45D3-AC42-E20632929E38}">
  <dimension ref="A1:AF93"/>
  <sheetViews>
    <sheetView view="pageBreakPreview" topLeftCell="A5" zoomScale="70" zoomScaleNormal="72" zoomScaleSheetLayoutView="70" workbookViewId="0">
      <selection activeCell="A17" sqref="A17:XFD1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50" t="s">
        <v>265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1"/>
      <c r="B3" s="451"/>
      <c r="C3" s="451"/>
      <c r="D3" s="451"/>
      <c r="E3" s="451"/>
      <c r="F3" s="451"/>
      <c r="G3" s="45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52" t="s">
        <v>0</v>
      </c>
      <c r="B4" s="454" t="s">
        <v>1</v>
      </c>
      <c r="C4" s="454" t="s">
        <v>2</v>
      </c>
      <c r="D4" s="457" t="s">
        <v>3</v>
      </c>
      <c r="E4" s="459" t="s">
        <v>4</v>
      </c>
      <c r="F4" s="457" t="s">
        <v>5</v>
      </c>
      <c r="G4" s="454" t="s">
        <v>6</v>
      </c>
      <c r="H4" s="460" t="s">
        <v>7</v>
      </c>
      <c r="I4" s="480" t="s">
        <v>8</v>
      </c>
      <c r="J4" s="481"/>
      <c r="K4" s="481"/>
      <c r="L4" s="481"/>
      <c r="M4" s="481"/>
      <c r="N4" s="481"/>
      <c r="O4" s="482"/>
      <c r="P4" s="483" t="s">
        <v>9</v>
      </c>
      <c r="Q4" s="484"/>
      <c r="R4" s="486" t="s">
        <v>10</v>
      </c>
      <c r="S4" s="485"/>
      <c r="T4" s="485"/>
      <c r="U4" s="485"/>
      <c r="V4" s="487"/>
      <c r="W4" s="485" t="s">
        <v>11</v>
      </c>
      <c r="X4" s="485"/>
      <c r="Y4" s="485"/>
      <c r="Z4" s="485"/>
      <c r="AA4" s="487"/>
      <c r="AB4" s="488" t="s">
        <v>12</v>
      </c>
      <c r="AC4" s="462" t="s">
        <v>13</v>
      </c>
      <c r="AD4" s="462" t="s">
        <v>14</v>
      </c>
      <c r="AE4" s="54"/>
    </row>
    <row r="5" spans="1:32" ht="51" customHeight="1" thickBot="1">
      <c r="A5" s="453"/>
      <c r="B5" s="455"/>
      <c r="C5" s="456"/>
      <c r="D5" s="458"/>
      <c r="E5" s="458"/>
      <c r="F5" s="458"/>
      <c r="G5" s="455"/>
      <c r="H5" s="461"/>
      <c r="I5" s="55" t="s">
        <v>15</v>
      </c>
      <c r="J5" s="56" t="s">
        <v>16</v>
      </c>
      <c r="K5" s="192" t="s">
        <v>17</v>
      </c>
      <c r="L5" s="192" t="s">
        <v>18</v>
      </c>
      <c r="M5" s="192" t="s">
        <v>19</v>
      </c>
      <c r="N5" s="19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89"/>
      <c r="AC5" s="463"/>
      <c r="AD5" s="463"/>
      <c r="AE5" s="54"/>
    </row>
    <row r="6" spans="1:32" ht="27" customHeight="1">
      <c r="A6" s="112">
        <v>1</v>
      </c>
      <c r="B6" s="11" t="s">
        <v>57</v>
      </c>
      <c r="C6" s="34" t="s">
        <v>116</v>
      </c>
      <c r="D6" s="52" t="s">
        <v>130</v>
      </c>
      <c r="E6" s="53" t="s">
        <v>158</v>
      </c>
      <c r="F6" s="30" t="s">
        <v>146</v>
      </c>
      <c r="G6" s="12">
        <v>2</v>
      </c>
      <c r="H6" s="13">
        <v>24</v>
      </c>
      <c r="I6" s="31">
        <v>174000</v>
      </c>
      <c r="J6" s="14">
        <v>8852</v>
      </c>
      <c r="K6" s="15">
        <f>L6+2384+8412+9776+8821+8774+10138+6972</f>
        <v>64129</v>
      </c>
      <c r="L6" s="15">
        <f>3500*2+926*2</f>
        <v>8852</v>
      </c>
      <c r="M6" s="15">
        <f t="shared" ref="M6:M27" si="0">L6-N6</f>
        <v>8852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18</v>
      </c>
      <c r="Q6" s="40">
        <f t="shared" ref="Q6:Q27" si="3">SUM(R6:AA6)</f>
        <v>6</v>
      </c>
      <c r="R6" s="7"/>
      <c r="S6" s="6">
        <v>6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0.75</v>
      </c>
      <c r="AD6" s="10">
        <f t="shared" ref="AD6:AD27" si="6">AC6*AB6*(1-O6)</f>
        <v>0.75</v>
      </c>
      <c r="AE6" s="36">
        <f t="shared" ref="AE6:AE27" si="7">$AD$28</f>
        <v>0.55303030303030298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148</v>
      </c>
      <c r="E7" s="53" t="s">
        <v>149</v>
      </c>
      <c r="F7" s="30" t="s">
        <v>147</v>
      </c>
      <c r="G7" s="12">
        <v>1</v>
      </c>
      <c r="H7" s="13">
        <v>24</v>
      </c>
      <c r="I7" s="31">
        <v>18000</v>
      </c>
      <c r="J7" s="14">
        <v>6258</v>
      </c>
      <c r="K7" s="15">
        <f>L7+3479+6290+3687+5866+6258</f>
        <v>25580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0.55303030303030298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143</v>
      </c>
      <c r="D8" s="52" t="s">
        <v>124</v>
      </c>
      <c r="E8" s="53" t="s">
        <v>174</v>
      </c>
      <c r="F8" s="30" t="s">
        <v>144</v>
      </c>
      <c r="G8" s="12">
        <v>4</v>
      </c>
      <c r="H8" s="13">
        <v>24</v>
      </c>
      <c r="I8" s="7">
        <v>85000</v>
      </c>
      <c r="J8" s="14">
        <v>20408</v>
      </c>
      <c r="K8" s="15">
        <f>L8+12500+8020+23392</f>
        <v>64320</v>
      </c>
      <c r="L8" s="15">
        <f>1307*4+3795*4</f>
        <v>20408</v>
      </c>
      <c r="M8" s="15">
        <f t="shared" si="0"/>
        <v>20408</v>
      </c>
      <c r="N8" s="15">
        <v>0</v>
      </c>
      <c r="O8" s="58">
        <f t="shared" si="1"/>
        <v>0</v>
      </c>
      <c r="P8" s="39">
        <f t="shared" si="2"/>
        <v>18</v>
      </c>
      <c r="Q8" s="40">
        <f t="shared" si="3"/>
        <v>6</v>
      </c>
      <c r="R8" s="7"/>
      <c r="S8" s="6">
        <v>6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0.75</v>
      </c>
      <c r="AD8" s="10">
        <f t="shared" si="6"/>
        <v>0.75</v>
      </c>
      <c r="AE8" s="36">
        <f t="shared" si="7"/>
        <v>0.55303030303030298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143</v>
      </c>
      <c r="D9" s="52" t="s">
        <v>124</v>
      </c>
      <c r="E9" s="53" t="s">
        <v>242</v>
      </c>
      <c r="F9" s="30" t="s">
        <v>144</v>
      </c>
      <c r="G9" s="12">
        <v>2</v>
      </c>
      <c r="H9" s="13">
        <v>24</v>
      </c>
      <c r="I9" s="7">
        <v>30000</v>
      </c>
      <c r="J9" s="14">
        <v>10748</v>
      </c>
      <c r="K9" s="15">
        <f>L9+6468</f>
        <v>17216</v>
      </c>
      <c r="L9" s="15">
        <f>2683*2+2691*2</f>
        <v>10748</v>
      </c>
      <c r="M9" s="15">
        <f t="shared" si="0"/>
        <v>10748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0.55303030303030298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116</v>
      </c>
      <c r="D10" s="52" t="s">
        <v>124</v>
      </c>
      <c r="E10" s="53" t="s">
        <v>138</v>
      </c>
      <c r="F10" s="30" t="s">
        <v>131</v>
      </c>
      <c r="G10" s="33">
        <v>1</v>
      </c>
      <c r="H10" s="35">
        <v>24</v>
      </c>
      <c r="I10" s="7">
        <v>27000</v>
      </c>
      <c r="J10" s="14">
        <v>6746</v>
      </c>
      <c r="K10" s="15">
        <f>L10+6380+6789+6692+6752+6801+6746</f>
        <v>40160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0.55303030303030298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116</v>
      </c>
      <c r="D11" s="52" t="s">
        <v>173</v>
      </c>
      <c r="E11" s="53" t="s">
        <v>172</v>
      </c>
      <c r="F11" s="30" t="s">
        <v>187</v>
      </c>
      <c r="G11" s="33">
        <v>32</v>
      </c>
      <c r="H11" s="35">
        <v>24</v>
      </c>
      <c r="I11" s="7">
        <v>500000</v>
      </c>
      <c r="J11" s="14">
        <v>15240</v>
      </c>
      <c r="K11" s="15">
        <f>L11+133700+100900</f>
        <v>249840</v>
      </c>
      <c r="L11" s="15">
        <f>762*20</f>
        <v>15240</v>
      </c>
      <c r="M11" s="15">
        <f t="shared" si="0"/>
        <v>15240</v>
      </c>
      <c r="N11" s="15">
        <v>0</v>
      </c>
      <c r="O11" s="58">
        <f t="shared" si="1"/>
        <v>0</v>
      </c>
      <c r="P11" s="39">
        <f t="shared" si="2"/>
        <v>4</v>
      </c>
      <c r="Q11" s="40">
        <f t="shared" si="3"/>
        <v>20</v>
      </c>
      <c r="R11" s="7"/>
      <c r="S11" s="6">
        <v>20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0.16666666666666666</v>
      </c>
      <c r="AD11" s="10">
        <f t="shared" si="6"/>
        <v>0.16666666666666666</v>
      </c>
      <c r="AE11" s="36">
        <f t="shared" si="7"/>
        <v>0.55303030303030298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126</v>
      </c>
      <c r="F12" s="30" t="s">
        <v>167</v>
      </c>
      <c r="G12" s="12">
        <v>1</v>
      </c>
      <c r="H12" s="13">
        <v>22</v>
      </c>
      <c r="I12" s="31">
        <v>100000</v>
      </c>
      <c r="J12" s="5">
        <v>5466</v>
      </c>
      <c r="K12" s="15">
        <f>L12+4676+4488+5126+5538+5283+5334</f>
        <v>35911</v>
      </c>
      <c r="L12" s="15">
        <f>2730+2736</f>
        <v>5466</v>
      </c>
      <c r="M12" s="15">
        <f t="shared" si="0"/>
        <v>5466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0.55303030303030298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143</v>
      </c>
      <c r="D13" s="52" t="s">
        <v>266</v>
      </c>
      <c r="E13" s="53" t="s">
        <v>267</v>
      </c>
      <c r="F13" s="30" t="s">
        <v>131</v>
      </c>
      <c r="G13" s="33">
        <v>1</v>
      </c>
      <c r="H13" s="35">
        <v>24</v>
      </c>
      <c r="I13" s="7">
        <v>5000</v>
      </c>
      <c r="J13" s="14">
        <v>3371</v>
      </c>
      <c r="K13" s="15">
        <f>L13</f>
        <v>3371</v>
      </c>
      <c r="L13" s="15">
        <f>1638+1733</f>
        <v>3371</v>
      </c>
      <c r="M13" s="15">
        <f t="shared" si="0"/>
        <v>3371</v>
      </c>
      <c r="N13" s="15">
        <v>0</v>
      </c>
      <c r="O13" s="58">
        <f t="shared" si="1"/>
        <v>0</v>
      </c>
      <c r="P13" s="39">
        <f t="shared" si="2"/>
        <v>17</v>
      </c>
      <c r="Q13" s="40">
        <f t="shared" si="3"/>
        <v>7</v>
      </c>
      <c r="R13" s="7"/>
      <c r="S13" s="6">
        <v>7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0.70833333333333337</v>
      </c>
      <c r="AD13" s="10">
        <f t="shared" si="6"/>
        <v>0.70833333333333337</v>
      </c>
      <c r="AE13" s="36">
        <f t="shared" si="7"/>
        <v>0.55303030303030298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156</v>
      </c>
      <c r="F14" s="30" t="s">
        <v>151</v>
      </c>
      <c r="G14" s="33">
        <v>1</v>
      </c>
      <c r="H14" s="35">
        <v>50</v>
      </c>
      <c r="I14" s="7">
        <v>2500</v>
      </c>
      <c r="J14" s="5">
        <v>800</v>
      </c>
      <c r="K14" s="15">
        <f>L14+893+982+1050+800</f>
        <v>3725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0.55303030303030298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123</v>
      </c>
      <c r="E15" s="53" t="s">
        <v>141</v>
      </c>
      <c r="F15" s="30" t="s">
        <v>135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0.55303030303030298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143</v>
      </c>
      <c r="D16" s="52" t="s">
        <v>115</v>
      </c>
      <c r="E16" s="53" t="s">
        <v>249</v>
      </c>
      <c r="F16" s="30" t="s">
        <v>144</v>
      </c>
      <c r="G16" s="12">
        <v>2</v>
      </c>
      <c r="H16" s="13">
        <v>24</v>
      </c>
      <c r="I16" s="7">
        <v>30000</v>
      </c>
      <c r="J16" s="14">
        <v>11376</v>
      </c>
      <c r="K16" s="15">
        <f>L16+5366</f>
        <v>16742</v>
      </c>
      <c r="L16" s="15">
        <f>2836*2+2852*2</f>
        <v>11376</v>
      </c>
      <c r="M16" s="15">
        <f t="shared" si="0"/>
        <v>11376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0.55303030303030298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143</v>
      </c>
      <c r="D17" s="52" t="s">
        <v>150</v>
      </c>
      <c r="E17" s="53" t="s">
        <v>159</v>
      </c>
      <c r="F17" s="30" t="s">
        <v>154</v>
      </c>
      <c r="G17" s="12">
        <v>3</v>
      </c>
      <c r="H17" s="13">
        <v>24</v>
      </c>
      <c r="I17" s="7">
        <v>260000</v>
      </c>
      <c r="J17" s="14">
        <v>2610</v>
      </c>
      <c r="K17" s="15">
        <f>L17+16128+16857+16941+16140+15960+17466+17355+17745+17910+17925+2610</f>
        <v>173037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>
        <v>24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0.55303030303030298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153</v>
      </c>
      <c r="F18" s="30" t="s">
        <v>131</v>
      </c>
      <c r="G18" s="33">
        <v>2</v>
      </c>
      <c r="H18" s="35">
        <v>24</v>
      </c>
      <c r="I18" s="7">
        <v>27200</v>
      </c>
      <c r="J18" s="14">
        <v>5781</v>
      </c>
      <c r="K18" s="15">
        <f>L18+5049+2711+6081+2649+5790+5789+5593+5282</f>
        <v>44725</v>
      </c>
      <c r="L18" s="15">
        <f>2899+2882</f>
        <v>5781</v>
      </c>
      <c r="M18" s="15">
        <f t="shared" si="0"/>
        <v>5781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0.55303030303030298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142</v>
      </c>
      <c r="E19" s="53" t="s">
        <v>161</v>
      </c>
      <c r="F19" s="30" t="s">
        <v>134</v>
      </c>
      <c r="G19" s="33">
        <v>1</v>
      </c>
      <c r="H19" s="35">
        <v>24</v>
      </c>
      <c r="I19" s="7">
        <v>39000</v>
      </c>
      <c r="J19" s="14">
        <v>5176</v>
      </c>
      <c r="K19" s="15">
        <f>L19+2260+4771+194+2851+3863+3917+3410+3939+5293+1639+3698+3094</f>
        <v>44105</v>
      </c>
      <c r="L19" s="15">
        <f>2594+2582</f>
        <v>5176</v>
      </c>
      <c r="M19" s="15">
        <f t="shared" si="0"/>
        <v>5176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0.55303030303030298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241</v>
      </c>
      <c r="D20" s="52" t="s">
        <v>115</v>
      </c>
      <c r="E20" s="53" t="s">
        <v>257</v>
      </c>
      <c r="F20" s="30" t="s">
        <v>268</v>
      </c>
      <c r="G20" s="12">
        <v>1</v>
      </c>
      <c r="H20" s="13">
        <v>24</v>
      </c>
      <c r="I20" s="7">
        <v>3200</v>
      </c>
      <c r="J20" s="14">
        <v>4363</v>
      </c>
      <c r="K20" s="15">
        <f>L20</f>
        <v>4363</v>
      </c>
      <c r="L20" s="15">
        <f>2178+2185</f>
        <v>4363</v>
      </c>
      <c r="M20" s="15">
        <f t="shared" si="0"/>
        <v>4363</v>
      </c>
      <c r="N20" s="15">
        <v>0</v>
      </c>
      <c r="O20" s="58">
        <f t="shared" si="1"/>
        <v>0</v>
      </c>
      <c r="P20" s="39">
        <f t="shared" si="2"/>
        <v>22</v>
      </c>
      <c r="Q20" s="40">
        <f t="shared" si="3"/>
        <v>2</v>
      </c>
      <c r="R20" s="7"/>
      <c r="S20" s="6"/>
      <c r="T20" s="16">
        <v>2</v>
      </c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0.91666666666666663</v>
      </c>
      <c r="AD20" s="10">
        <f t="shared" si="6"/>
        <v>0.91666666666666663</v>
      </c>
      <c r="AE20" s="36">
        <f t="shared" si="7"/>
        <v>0.55303030303030298</v>
      </c>
      <c r="AF20" s="84">
        <f t="shared" si="8"/>
        <v>15</v>
      </c>
    </row>
    <row r="21" spans="1:32" ht="27" customHeight="1">
      <c r="A21" s="96">
        <v>16</v>
      </c>
      <c r="B21" s="11" t="s">
        <v>57</v>
      </c>
      <c r="C21" s="11" t="s">
        <v>113</v>
      </c>
      <c r="D21" s="52"/>
      <c r="E21" s="53" t="s">
        <v>139</v>
      </c>
      <c r="F21" s="12" t="s">
        <v>114</v>
      </c>
      <c r="G21" s="12">
        <v>3</v>
      </c>
      <c r="H21" s="35">
        <v>20</v>
      </c>
      <c r="I21" s="7">
        <v>1000000</v>
      </c>
      <c r="J21" s="14">
        <v>34220</v>
      </c>
      <c r="K21" s="15">
        <f t="shared" ref="K21" si="9">L21+62008+65280+66156+31132+60100+67104+64940+66996+38324+18548+31820+33244+32052+33372+27132+34220</f>
        <v>732428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0.55303030303030298</v>
      </c>
      <c r="AF21" s="84">
        <f t="shared" si="8"/>
        <v>16</v>
      </c>
    </row>
    <row r="22" spans="1:32" ht="27" customHeight="1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0.55303030303030298</v>
      </c>
      <c r="AF22" s="84">
        <f t="shared" si="8"/>
        <v>31</v>
      </c>
    </row>
    <row r="23" spans="1:32" ht="27" customHeight="1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0.55303030303030298</v>
      </c>
      <c r="AF23" s="84">
        <f t="shared" si="8"/>
        <v>32</v>
      </c>
    </row>
    <row r="24" spans="1:32" ht="27" customHeight="1">
      <c r="A24" s="96">
        <v>33</v>
      </c>
      <c r="B24" s="11" t="s">
        <v>57</v>
      </c>
      <c r="C24" s="11" t="s">
        <v>116</v>
      </c>
      <c r="D24" s="52" t="s">
        <v>152</v>
      </c>
      <c r="E24" s="53" t="s">
        <v>164</v>
      </c>
      <c r="F24" s="12" t="s">
        <v>134</v>
      </c>
      <c r="G24" s="12">
        <v>4</v>
      </c>
      <c r="H24" s="35">
        <v>20</v>
      </c>
      <c r="I24" s="7">
        <v>240000</v>
      </c>
      <c r="J24" s="14">
        <v>32352</v>
      </c>
      <c r="K24" s="15">
        <f>L24+27572+32268+32324+32488+32368+29632</f>
        <v>219004</v>
      </c>
      <c r="L24" s="15">
        <f>4590*4+3498*4</f>
        <v>32352</v>
      </c>
      <c r="M24" s="15">
        <f t="shared" si="0"/>
        <v>32352</v>
      </c>
      <c r="N24" s="15">
        <v>0</v>
      </c>
      <c r="O24" s="58">
        <f t="shared" si="1"/>
        <v>0</v>
      </c>
      <c r="P24" s="39">
        <f t="shared" si="2"/>
        <v>24</v>
      </c>
      <c r="Q24" s="40">
        <f t="shared" si="3"/>
        <v>0</v>
      </c>
      <c r="R24" s="7"/>
      <c r="S24" s="6"/>
      <c r="T24" s="16"/>
      <c r="U24" s="16"/>
      <c r="V24" s="206"/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1</v>
      </c>
      <c r="AD24" s="10">
        <f t="shared" si="6"/>
        <v>1</v>
      </c>
      <c r="AE24" s="36">
        <f t="shared" si="7"/>
        <v>0.55303030303030298</v>
      </c>
      <c r="AF24" s="84">
        <f t="shared" si="8"/>
        <v>33</v>
      </c>
    </row>
    <row r="25" spans="1:32" ht="27" customHeight="1">
      <c r="A25" s="96">
        <v>34</v>
      </c>
      <c r="B25" s="11" t="s">
        <v>57</v>
      </c>
      <c r="C25" s="11" t="s">
        <v>116</v>
      </c>
      <c r="D25" s="52" t="s">
        <v>150</v>
      </c>
      <c r="E25" s="53" t="s">
        <v>165</v>
      </c>
      <c r="F25" s="12" t="s">
        <v>135</v>
      </c>
      <c r="G25" s="12">
        <v>4</v>
      </c>
      <c r="H25" s="35">
        <v>20</v>
      </c>
      <c r="I25" s="7">
        <v>240000</v>
      </c>
      <c r="J25" s="14">
        <v>28972</v>
      </c>
      <c r="K25" s="15">
        <f>L25+24768+29084+29040+29804+27780+4064+26996</f>
        <v>200508</v>
      </c>
      <c r="L25" s="15">
        <f>4100*4+3143*4</f>
        <v>28972</v>
      </c>
      <c r="M25" s="15">
        <f t="shared" si="0"/>
        <v>28972</v>
      </c>
      <c r="N25" s="15">
        <v>0</v>
      </c>
      <c r="O25" s="58">
        <f t="shared" si="1"/>
        <v>0</v>
      </c>
      <c r="P25" s="39">
        <f t="shared" si="2"/>
        <v>24</v>
      </c>
      <c r="Q25" s="40">
        <f t="shared" si="3"/>
        <v>0</v>
      </c>
      <c r="R25" s="7"/>
      <c r="S25" s="6"/>
      <c r="T25" s="16"/>
      <c r="U25" s="16"/>
      <c r="V25" s="206"/>
      <c r="W25" s="5"/>
      <c r="X25" s="16"/>
      <c r="Y25" s="16"/>
      <c r="Z25" s="16"/>
      <c r="AA25" s="18"/>
      <c r="AB25" s="8">
        <f t="shared" si="4"/>
        <v>1</v>
      </c>
      <c r="AC25" s="9">
        <f t="shared" si="5"/>
        <v>1</v>
      </c>
      <c r="AD25" s="10">
        <f t="shared" si="6"/>
        <v>1</v>
      </c>
      <c r="AE25" s="36">
        <f t="shared" si="7"/>
        <v>0.55303030303030298</v>
      </c>
      <c r="AF25" s="84">
        <f t="shared" si="8"/>
        <v>34</v>
      </c>
    </row>
    <row r="26" spans="1:32" ht="27" customHeight="1">
      <c r="A26" s="96">
        <v>35</v>
      </c>
      <c r="B26" s="11" t="s">
        <v>57</v>
      </c>
      <c r="C26" s="11" t="s">
        <v>116</v>
      </c>
      <c r="D26" s="52" t="s">
        <v>123</v>
      </c>
      <c r="E26" s="53" t="s">
        <v>137</v>
      </c>
      <c r="F26" s="12" t="s">
        <v>135</v>
      </c>
      <c r="G26" s="12">
        <v>4</v>
      </c>
      <c r="H26" s="35">
        <v>20</v>
      </c>
      <c r="I26" s="7">
        <v>240000</v>
      </c>
      <c r="J26" s="14">
        <v>29200</v>
      </c>
      <c r="K26" s="15">
        <f>L26+25004+29968+31848+29672+31736+27000</f>
        <v>204428</v>
      </c>
      <c r="L26" s="15">
        <f>4150*4+3150*4</f>
        <v>29200</v>
      </c>
      <c r="M26" s="15">
        <f t="shared" si="0"/>
        <v>29200</v>
      </c>
      <c r="N26" s="15">
        <v>0</v>
      </c>
      <c r="O26" s="58">
        <f t="shared" si="1"/>
        <v>0</v>
      </c>
      <c r="P26" s="39">
        <f t="shared" si="2"/>
        <v>24</v>
      </c>
      <c r="Q26" s="40">
        <f t="shared" si="3"/>
        <v>0</v>
      </c>
      <c r="R26" s="7"/>
      <c r="S26" s="6"/>
      <c r="T26" s="16"/>
      <c r="U26" s="16"/>
      <c r="V26" s="206"/>
      <c r="W26" s="5"/>
      <c r="X26" s="16"/>
      <c r="Y26" s="16"/>
      <c r="Z26" s="16"/>
      <c r="AA26" s="18"/>
      <c r="AB26" s="8">
        <f t="shared" si="4"/>
        <v>1</v>
      </c>
      <c r="AC26" s="9">
        <f t="shared" si="5"/>
        <v>1</v>
      </c>
      <c r="AD26" s="10">
        <f t="shared" si="6"/>
        <v>1</v>
      </c>
      <c r="AE26" s="36">
        <f t="shared" si="7"/>
        <v>0.55303030303030298</v>
      </c>
      <c r="AF26" s="84">
        <f t="shared" si="8"/>
        <v>35</v>
      </c>
    </row>
    <row r="27" spans="1:32" ht="27" customHeight="1" thickBot="1">
      <c r="A27" s="96">
        <v>36</v>
      </c>
      <c r="B27" s="11" t="s">
        <v>57</v>
      </c>
      <c r="C27" s="11" t="s">
        <v>116</v>
      </c>
      <c r="D27" s="52" t="s">
        <v>115</v>
      </c>
      <c r="E27" s="53" t="s">
        <v>166</v>
      </c>
      <c r="F27" s="12" t="s">
        <v>122</v>
      </c>
      <c r="G27" s="12">
        <v>4</v>
      </c>
      <c r="H27" s="35">
        <v>20</v>
      </c>
      <c r="I27" s="7">
        <v>240000</v>
      </c>
      <c r="J27" s="14">
        <v>22728</v>
      </c>
      <c r="K27" s="15">
        <f>L27+22152+26340+20956+26812+26716+8020+25080</f>
        <v>178804</v>
      </c>
      <c r="L27" s="15">
        <f>2500*4+3182*4</f>
        <v>22728</v>
      </c>
      <c r="M27" s="15">
        <f t="shared" si="0"/>
        <v>22728</v>
      </c>
      <c r="N27" s="15">
        <v>0</v>
      </c>
      <c r="O27" s="58">
        <f t="shared" si="1"/>
        <v>0</v>
      </c>
      <c r="P27" s="39">
        <f t="shared" si="2"/>
        <v>21</v>
      </c>
      <c r="Q27" s="40">
        <f t="shared" si="3"/>
        <v>3</v>
      </c>
      <c r="R27" s="7"/>
      <c r="S27" s="6">
        <v>3</v>
      </c>
      <c r="T27" s="16"/>
      <c r="U27" s="16"/>
      <c r="V27" s="206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0.875</v>
      </c>
      <c r="AD27" s="10">
        <f t="shared" si="6"/>
        <v>0.875</v>
      </c>
      <c r="AE27" s="36">
        <f t="shared" si="7"/>
        <v>0.55303030303030298</v>
      </c>
      <c r="AF27" s="84">
        <f t="shared" si="8"/>
        <v>36</v>
      </c>
    </row>
    <row r="28" spans="1:32" ht="31.5" customHeight="1" thickBot="1">
      <c r="A28" s="464" t="s">
        <v>34</v>
      </c>
      <c r="B28" s="465"/>
      <c r="C28" s="465"/>
      <c r="D28" s="465"/>
      <c r="E28" s="465"/>
      <c r="F28" s="465"/>
      <c r="G28" s="465"/>
      <c r="H28" s="466"/>
      <c r="I28" s="22">
        <f t="shared" ref="I28:N28" si="10">SUM(I6:I27)</f>
        <v>3272900</v>
      </c>
      <c r="J28" s="19">
        <f t="shared" si="10"/>
        <v>267023</v>
      </c>
      <c r="K28" s="20">
        <f t="shared" si="10"/>
        <v>2334752</v>
      </c>
      <c r="L28" s="21">
        <f t="shared" si="10"/>
        <v>204033</v>
      </c>
      <c r="M28" s="20">
        <f t="shared" si="10"/>
        <v>204033</v>
      </c>
      <c r="N28" s="21">
        <f t="shared" si="10"/>
        <v>0</v>
      </c>
      <c r="O28" s="41">
        <f t="shared" si="1"/>
        <v>0</v>
      </c>
      <c r="P28" s="42">
        <f t="shared" ref="P28:AA28" si="11">SUM(P6:P27)</f>
        <v>292</v>
      </c>
      <c r="Q28" s="43">
        <f t="shared" si="11"/>
        <v>236</v>
      </c>
      <c r="R28" s="23">
        <f t="shared" si="11"/>
        <v>0</v>
      </c>
      <c r="S28" s="24">
        <f t="shared" si="11"/>
        <v>66</v>
      </c>
      <c r="T28" s="24">
        <f t="shared" si="11"/>
        <v>2</v>
      </c>
      <c r="U28" s="24">
        <f t="shared" si="11"/>
        <v>0</v>
      </c>
      <c r="V28" s="25">
        <f t="shared" si="11"/>
        <v>72</v>
      </c>
      <c r="W28" s="26">
        <f t="shared" si="11"/>
        <v>96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0</v>
      </c>
      <c r="AB28" s="28">
        <f>AVERAGE(AB6:AB27)</f>
        <v>0.7</v>
      </c>
      <c r="AC28" s="4">
        <f>AVERAGE(AC6:AC27)</f>
        <v>0.55303030303030298</v>
      </c>
      <c r="AD28" s="4">
        <f>AVERAGE(AD6:AD27)</f>
        <v>0.55303030303030298</v>
      </c>
      <c r="AE28" s="29"/>
    </row>
    <row r="29" spans="1:32">
      <c r="T29" s="50" t="s">
        <v>157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160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67" t="s">
        <v>45</v>
      </c>
      <c r="B55" s="467"/>
      <c r="C55" s="467"/>
      <c r="D55" s="467"/>
      <c r="E55" s="467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68" t="s">
        <v>269</v>
      </c>
      <c r="B56" s="469"/>
      <c r="C56" s="469"/>
      <c r="D56" s="469"/>
      <c r="E56" s="469"/>
      <c r="F56" s="469"/>
      <c r="G56" s="469"/>
      <c r="H56" s="469"/>
      <c r="I56" s="469"/>
      <c r="J56" s="469"/>
      <c r="K56" s="469"/>
      <c r="L56" s="469"/>
      <c r="M56" s="470"/>
      <c r="N56" s="471" t="s">
        <v>273</v>
      </c>
      <c r="O56" s="472"/>
      <c r="P56" s="472"/>
      <c r="Q56" s="472"/>
      <c r="R56" s="472"/>
      <c r="S56" s="472"/>
      <c r="T56" s="472"/>
      <c r="U56" s="472"/>
      <c r="V56" s="472"/>
      <c r="W56" s="472"/>
      <c r="X56" s="472"/>
      <c r="Y56" s="472"/>
      <c r="Z56" s="472"/>
      <c r="AA56" s="472"/>
      <c r="AB56" s="472"/>
      <c r="AC56" s="472"/>
      <c r="AD56" s="473"/>
    </row>
    <row r="57" spans="1:32" ht="27" customHeight="1">
      <c r="A57" s="474" t="s">
        <v>2</v>
      </c>
      <c r="B57" s="475"/>
      <c r="C57" s="191" t="s">
        <v>46</v>
      </c>
      <c r="D57" s="191" t="s">
        <v>47</v>
      </c>
      <c r="E57" s="191" t="s">
        <v>107</v>
      </c>
      <c r="F57" s="476" t="s">
        <v>106</v>
      </c>
      <c r="G57" s="477"/>
      <c r="H57" s="477"/>
      <c r="I57" s="477"/>
      <c r="J57" s="477"/>
      <c r="K57" s="477"/>
      <c r="L57" s="477"/>
      <c r="M57" s="478"/>
      <c r="N57" s="67" t="s">
        <v>110</v>
      </c>
      <c r="O57" s="191" t="s">
        <v>46</v>
      </c>
      <c r="P57" s="476" t="s">
        <v>47</v>
      </c>
      <c r="Q57" s="479"/>
      <c r="R57" s="476" t="s">
        <v>38</v>
      </c>
      <c r="S57" s="477"/>
      <c r="T57" s="477"/>
      <c r="U57" s="479"/>
      <c r="V57" s="476" t="s">
        <v>48</v>
      </c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490" t="s">
        <v>116</v>
      </c>
      <c r="B58" s="491"/>
      <c r="C58" s="187" t="s">
        <v>132</v>
      </c>
      <c r="D58" s="187" t="s">
        <v>130</v>
      </c>
      <c r="E58" s="187" t="s">
        <v>158</v>
      </c>
      <c r="F58" s="492" t="s">
        <v>270</v>
      </c>
      <c r="G58" s="493"/>
      <c r="H58" s="493"/>
      <c r="I58" s="493"/>
      <c r="J58" s="493"/>
      <c r="K58" s="493"/>
      <c r="L58" s="493"/>
      <c r="M58" s="494"/>
      <c r="N58" s="190" t="s">
        <v>241</v>
      </c>
      <c r="O58" s="184" t="s">
        <v>256</v>
      </c>
      <c r="P58" s="495"/>
      <c r="Q58" s="496"/>
      <c r="R58" s="495" t="s">
        <v>240</v>
      </c>
      <c r="S58" s="497"/>
      <c r="T58" s="497"/>
      <c r="U58" s="496"/>
      <c r="V58" s="498" t="s">
        <v>120</v>
      </c>
      <c r="W58" s="498"/>
      <c r="X58" s="498"/>
      <c r="Y58" s="498"/>
      <c r="Z58" s="498"/>
      <c r="AA58" s="498"/>
      <c r="AB58" s="498"/>
      <c r="AC58" s="498"/>
      <c r="AD58" s="499"/>
    </row>
    <row r="59" spans="1:32" ht="27" customHeight="1">
      <c r="A59" s="500" t="s">
        <v>241</v>
      </c>
      <c r="B59" s="501"/>
      <c r="C59" s="186" t="s">
        <v>129</v>
      </c>
      <c r="D59" s="186"/>
      <c r="E59" s="187" t="s">
        <v>257</v>
      </c>
      <c r="F59" s="492" t="s">
        <v>125</v>
      </c>
      <c r="G59" s="493"/>
      <c r="H59" s="493"/>
      <c r="I59" s="493"/>
      <c r="J59" s="493"/>
      <c r="K59" s="493"/>
      <c r="L59" s="493"/>
      <c r="M59" s="494"/>
      <c r="N59" s="190" t="s">
        <v>241</v>
      </c>
      <c r="O59" s="184" t="s">
        <v>129</v>
      </c>
      <c r="P59" s="495"/>
      <c r="Q59" s="496"/>
      <c r="R59" s="495" t="s">
        <v>275</v>
      </c>
      <c r="S59" s="497"/>
      <c r="T59" s="497"/>
      <c r="U59" s="496"/>
      <c r="V59" s="498" t="s">
        <v>125</v>
      </c>
      <c r="W59" s="498"/>
      <c r="X59" s="498"/>
      <c r="Y59" s="498"/>
      <c r="Z59" s="498"/>
      <c r="AA59" s="498"/>
      <c r="AB59" s="498"/>
      <c r="AC59" s="498"/>
      <c r="AD59" s="499"/>
    </row>
    <row r="60" spans="1:32" ht="27" customHeight="1">
      <c r="A60" s="500" t="s">
        <v>143</v>
      </c>
      <c r="B60" s="501"/>
      <c r="C60" s="186" t="s">
        <v>193</v>
      </c>
      <c r="D60" s="186" t="s">
        <v>140</v>
      </c>
      <c r="E60" s="187" t="s">
        <v>174</v>
      </c>
      <c r="F60" s="492" t="s">
        <v>271</v>
      </c>
      <c r="G60" s="493"/>
      <c r="H60" s="493"/>
      <c r="I60" s="493"/>
      <c r="J60" s="493"/>
      <c r="K60" s="493"/>
      <c r="L60" s="493"/>
      <c r="M60" s="494"/>
      <c r="N60" s="190" t="s">
        <v>143</v>
      </c>
      <c r="O60" s="184" t="s">
        <v>259</v>
      </c>
      <c r="P60" s="495" t="s">
        <v>260</v>
      </c>
      <c r="Q60" s="496"/>
      <c r="R60" s="495" t="s">
        <v>258</v>
      </c>
      <c r="S60" s="497"/>
      <c r="T60" s="497"/>
      <c r="U60" s="496"/>
      <c r="V60" s="498" t="s">
        <v>120</v>
      </c>
      <c r="W60" s="498"/>
      <c r="X60" s="498"/>
      <c r="Y60" s="498"/>
      <c r="Z60" s="498"/>
      <c r="AA60" s="498"/>
      <c r="AB60" s="498"/>
      <c r="AC60" s="498"/>
      <c r="AD60" s="499"/>
    </row>
    <row r="61" spans="1:32" ht="27" customHeight="1">
      <c r="A61" s="490" t="s">
        <v>241</v>
      </c>
      <c r="B61" s="491"/>
      <c r="C61" s="187" t="s">
        <v>169</v>
      </c>
      <c r="D61" s="187"/>
      <c r="E61" s="187" t="s">
        <v>240</v>
      </c>
      <c r="F61" s="492" t="s">
        <v>272</v>
      </c>
      <c r="G61" s="493"/>
      <c r="H61" s="493"/>
      <c r="I61" s="493"/>
      <c r="J61" s="493"/>
      <c r="K61" s="493"/>
      <c r="L61" s="493"/>
      <c r="M61" s="494"/>
      <c r="N61" s="190" t="s">
        <v>112</v>
      </c>
      <c r="O61" s="184" t="s">
        <v>277</v>
      </c>
      <c r="P61" s="495" t="s">
        <v>115</v>
      </c>
      <c r="Q61" s="496"/>
      <c r="R61" s="495" t="s">
        <v>276</v>
      </c>
      <c r="S61" s="497"/>
      <c r="T61" s="497"/>
      <c r="U61" s="496"/>
      <c r="V61" s="498" t="s">
        <v>125</v>
      </c>
      <c r="W61" s="498"/>
      <c r="X61" s="498"/>
      <c r="Y61" s="498"/>
      <c r="Z61" s="498"/>
      <c r="AA61" s="498"/>
      <c r="AB61" s="498"/>
      <c r="AC61" s="498"/>
      <c r="AD61" s="499"/>
    </row>
    <row r="62" spans="1:32" ht="27" customHeight="1">
      <c r="A62" s="500" t="s">
        <v>116</v>
      </c>
      <c r="B62" s="501"/>
      <c r="C62" s="186" t="s">
        <v>198</v>
      </c>
      <c r="D62" s="186" t="s">
        <v>173</v>
      </c>
      <c r="E62" s="187" t="s">
        <v>172</v>
      </c>
      <c r="F62" s="492" t="s">
        <v>271</v>
      </c>
      <c r="G62" s="493"/>
      <c r="H62" s="493"/>
      <c r="I62" s="493"/>
      <c r="J62" s="493"/>
      <c r="K62" s="493"/>
      <c r="L62" s="493"/>
      <c r="M62" s="494"/>
      <c r="N62" s="190" t="s">
        <v>116</v>
      </c>
      <c r="O62" s="184" t="s">
        <v>198</v>
      </c>
      <c r="P62" s="495" t="s">
        <v>173</v>
      </c>
      <c r="Q62" s="496"/>
      <c r="R62" s="495" t="s">
        <v>172</v>
      </c>
      <c r="S62" s="497"/>
      <c r="T62" s="497"/>
      <c r="U62" s="496"/>
      <c r="V62" s="498" t="s">
        <v>120</v>
      </c>
      <c r="W62" s="498"/>
      <c r="X62" s="498"/>
      <c r="Y62" s="498"/>
      <c r="Z62" s="498"/>
      <c r="AA62" s="498"/>
      <c r="AB62" s="498"/>
      <c r="AC62" s="498"/>
      <c r="AD62" s="499"/>
    </row>
    <row r="63" spans="1:32" ht="27" customHeight="1">
      <c r="A63" s="500" t="s">
        <v>143</v>
      </c>
      <c r="B63" s="501"/>
      <c r="C63" s="186" t="s">
        <v>259</v>
      </c>
      <c r="D63" s="186" t="s">
        <v>267</v>
      </c>
      <c r="E63" s="187" t="s">
        <v>258</v>
      </c>
      <c r="F63" s="492" t="s">
        <v>274</v>
      </c>
      <c r="G63" s="493"/>
      <c r="H63" s="493"/>
      <c r="I63" s="493"/>
      <c r="J63" s="493"/>
      <c r="K63" s="493"/>
      <c r="L63" s="493"/>
      <c r="M63" s="494"/>
      <c r="N63" s="190" t="s">
        <v>143</v>
      </c>
      <c r="O63" s="184" t="s">
        <v>193</v>
      </c>
      <c r="P63" s="495" t="s">
        <v>140</v>
      </c>
      <c r="Q63" s="496"/>
      <c r="R63" s="495" t="s">
        <v>174</v>
      </c>
      <c r="S63" s="497"/>
      <c r="T63" s="497"/>
      <c r="U63" s="496"/>
      <c r="V63" s="498" t="s">
        <v>238</v>
      </c>
      <c r="W63" s="498"/>
      <c r="X63" s="498"/>
      <c r="Y63" s="498"/>
      <c r="Z63" s="498"/>
      <c r="AA63" s="498"/>
      <c r="AB63" s="498"/>
      <c r="AC63" s="498"/>
      <c r="AD63" s="499"/>
    </row>
    <row r="64" spans="1:32" ht="27" customHeight="1">
      <c r="A64" s="490"/>
      <c r="B64" s="491"/>
      <c r="C64" s="187"/>
      <c r="D64" s="187"/>
      <c r="E64" s="187"/>
      <c r="F64" s="492"/>
      <c r="G64" s="493"/>
      <c r="H64" s="493"/>
      <c r="I64" s="493"/>
      <c r="J64" s="493"/>
      <c r="K64" s="493"/>
      <c r="L64" s="493"/>
      <c r="M64" s="494"/>
      <c r="N64" s="190"/>
      <c r="O64" s="184"/>
      <c r="P64" s="495"/>
      <c r="Q64" s="496"/>
      <c r="R64" s="495"/>
      <c r="S64" s="497"/>
      <c r="T64" s="497"/>
      <c r="U64" s="496"/>
      <c r="V64" s="498"/>
      <c r="W64" s="498"/>
      <c r="X64" s="498"/>
      <c r="Y64" s="498"/>
      <c r="Z64" s="498"/>
      <c r="AA64" s="498"/>
      <c r="AB64" s="498"/>
      <c r="AC64" s="498"/>
      <c r="AD64" s="499"/>
    </row>
    <row r="65" spans="1:32" ht="27" customHeight="1">
      <c r="A65" s="500"/>
      <c r="B65" s="501"/>
      <c r="C65" s="186"/>
      <c r="D65" s="186"/>
      <c r="E65" s="187"/>
      <c r="F65" s="492"/>
      <c r="G65" s="493"/>
      <c r="H65" s="493"/>
      <c r="I65" s="493"/>
      <c r="J65" s="493"/>
      <c r="K65" s="493"/>
      <c r="L65" s="493"/>
      <c r="M65" s="494"/>
      <c r="N65" s="190"/>
      <c r="O65" s="184"/>
      <c r="P65" s="495"/>
      <c r="Q65" s="496"/>
      <c r="R65" s="495"/>
      <c r="S65" s="497"/>
      <c r="T65" s="497"/>
      <c r="U65" s="496"/>
      <c r="V65" s="498"/>
      <c r="W65" s="498"/>
      <c r="X65" s="498"/>
      <c r="Y65" s="498"/>
      <c r="Z65" s="498"/>
      <c r="AA65" s="498"/>
      <c r="AB65" s="498"/>
      <c r="AC65" s="498"/>
      <c r="AD65" s="499"/>
    </row>
    <row r="66" spans="1:32" ht="27" customHeight="1">
      <c r="A66" s="500"/>
      <c r="B66" s="501"/>
      <c r="C66" s="186"/>
      <c r="D66" s="186"/>
      <c r="E66" s="187"/>
      <c r="F66" s="492"/>
      <c r="G66" s="493"/>
      <c r="H66" s="493"/>
      <c r="I66" s="493"/>
      <c r="J66" s="493"/>
      <c r="K66" s="493"/>
      <c r="L66" s="493"/>
      <c r="M66" s="494"/>
      <c r="N66" s="190"/>
      <c r="O66" s="184"/>
      <c r="P66" s="491"/>
      <c r="Q66" s="491"/>
      <c r="R66" s="491"/>
      <c r="S66" s="491"/>
      <c r="T66" s="491"/>
      <c r="U66" s="491"/>
      <c r="V66" s="498"/>
      <c r="W66" s="498"/>
      <c r="X66" s="498"/>
      <c r="Y66" s="498"/>
      <c r="Z66" s="498"/>
      <c r="AA66" s="498"/>
      <c r="AB66" s="498"/>
      <c r="AC66" s="498"/>
      <c r="AD66" s="499"/>
      <c r="AF66" s="84">
        <f>8*3000</f>
        <v>24000</v>
      </c>
    </row>
    <row r="67" spans="1:32" ht="27" customHeight="1" thickBot="1">
      <c r="A67" s="502"/>
      <c r="B67" s="503"/>
      <c r="C67" s="188"/>
      <c r="D67" s="189"/>
      <c r="E67" s="188"/>
      <c r="F67" s="504"/>
      <c r="G67" s="505"/>
      <c r="H67" s="505"/>
      <c r="I67" s="505"/>
      <c r="J67" s="505"/>
      <c r="K67" s="505"/>
      <c r="L67" s="505"/>
      <c r="M67" s="506"/>
      <c r="N67" s="111"/>
      <c r="O67" s="103"/>
      <c r="P67" s="507"/>
      <c r="Q67" s="507"/>
      <c r="R67" s="507"/>
      <c r="S67" s="507"/>
      <c r="T67" s="507"/>
      <c r="U67" s="507"/>
      <c r="V67" s="508"/>
      <c r="W67" s="508"/>
      <c r="X67" s="508"/>
      <c r="Y67" s="508"/>
      <c r="Z67" s="508"/>
      <c r="AA67" s="508"/>
      <c r="AB67" s="508"/>
      <c r="AC67" s="508"/>
      <c r="AD67" s="509"/>
      <c r="AF67" s="84">
        <f>16*3000</f>
        <v>48000</v>
      </c>
    </row>
    <row r="68" spans="1:32" ht="27.75" thickBot="1">
      <c r="A68" s="510" t="s">
        <v>278</v>
      </c>
      <c r="B68" s="510"/>
      <c r="C68" s="510"/>
      <c r="D68" s="510"/>
      <c r="E68" s="51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11" t="s">
        <v>111</v>
      </c>
      <c r="B69" s="512"/>
      <c r="C69" s="185" t="s">
        <v>2</v>
      </c>
      <c r="D69" s="185" t="s">
        <v>37</v>
      </c>
      <c r="E69" s="185" t="s">
        <v>3</v>
      </c>
      <c r="F69" s="512" t="s">
        <v>109</v>
      </c>
      <c r="G69" s="512"/>
      <c r="H69" s="512"/>
      <c r="I69" s="512"/>
      <c r="J69" s="512"/>
      <c r="K69" s="512" t="s">
        <v>39</v>
      </c>
      <c r="L69" s="512"/>
      <c r="M69" s="185" t="s">
        <v>40</v>
      </c>
      <c r="N69" s="512" t="s">
        <v>41</v>
      </c>
      <c r="O69" s="512"/>
      <c r="P69" s="513" t="s">
        <v>42</v>
      </c>
      <c r="Q69" s="514"/>
      <c r="R69" s="513" t="s">
        <v>43</v>
      </c>
      <c r="S69" s="515"/>
      <c r="T69" s="515"/>
      <c r="U69" s="515"/>
      <c r="V69" s="515"/>
      <c r="W69" s="515"/>
      <c r="X69" s="515"/>
      <c r="Y69" s="515"/>
      <c r="Z69" s="515"/>
      <c r="AA69" s="514"/>
      <c r="AB69" s="512" t="s">
        <v>44</v>
      </c>
      <c r="AC69" s="512"/>
      <c r="AD69" s="516"/>
      <c r="AF69" s="84">
        <f>SUM(AF66:AF68)</f>
        <v>96000</v>
      </c>
    </row>
    <row r="70" spans="1:32" ht="25.5" customHeight="1">
      <c r="A70" s="517">
        <v>1</v>
      </c>
      <c r="B70" s="518"/>
      <c r="C70" s="104" t="s">
        <v>203</v>
      </c>
      <c r="D70" s="180"/>
      <c r="E70" s="183" t="s">
        <v>115</v>
      </c>
      <c r="F70" s="519" t="s">
        <v>244</v>
      </c>
      <c r="G70" s="520"/>
      <c r="H70" s="520"/>
      <c r="I70" s="520"/>
      <c r="J70" s="521"/>
      <c r="K70" s="522">
        <v>7301</v>
      </c>
      <c r="L70" s="522"/>
      <c r="M70" s="51" t="s">
        <v>205</v>
      </c>
      <c r="N70" s="523" t="s">
        <v>206</v>
      </c>
      <c r="O70" s="523"/>
      <c r="P70" s="524">
        <v>40</v>
      </c>
      <c r="Q70" s="524"/>
      <c r="R70" s="498"/>
      <c r="S70" s="498"/>
      <c r="T70" s="498"/>
      <c r="U70" s="498"/>
      <c r="V70" s="498"/>
      <c r="W70" s="498"/>
      <c r="X70" s="498"/>
      <c r="Y70" s="498"/>
      <c r="Z70" s="498"/>
      <c r="AA70" s="498"/>
      <c r="AB70" s="522"/>
      <c r="AC70" s="522"/>
      <c r="AD70" s="525"/>
      <c r="AF70" s="50"/>
    </row>
    <row r="71" spans="1:32" ht="25.5" customHeight="1">
      <c r="A71" s="517">
        <v>2</v>
      </c>
      <c r="B71" s="518"/>
      <c r="C71" s="104"/>
      <c r="D71" s="180"/>
      <c r="E71" s="183"/>
      <c r="F71" s="519"/>
      <c r="G71" s="520"/>
      <c r="H71" s="520"/>
      <c r="I71" s="520"/>
      <c r="J71" s="521"/>
      <c r="K71" s="522"/>
      <c r="L71" s="522"/>
      <c r="M71" s="51"/>
      <c r="N71" s="523"/>
      <c r="O71" s="523"/>
      <c r="P71" s="524"/>
      <c r="Q71" s="524"/>
      <c r="R71" s="498"/>
      <c r="S71" s="498"/>
      <c r="T71" s="498"/>
      <c r="U71" s="498"/>
      <c r="V71" s="498"/>
      <c r="W71" s="498"/>
      <c r="X71" s="498"/>
      <c r="Y71" s="498"/>
      <c r="Z71" s="498"/>
      <c r="AA71" s="498"/>
      <c r="AB71" s="522"/>
      <c r="AC71" s="522"/>
      <c r="AD71" s="525"/>
      <c r="AF71" s="50"/>
    </row>
    <row r="72" spans="1:32" ht="25.5" customHeight="1">
      <c r="A72" s="517">
        <v>3</v>
      </c>
      <c r="B72" s="518"/>
      <c r="C72" s="104"/>
      <c r="D72" s="180"/>
      <c r="E72" s="183"/>
      <c r="F72" s="519"/>
      <c r="G72" s="520"/>
      <c r="H72" s="520"/>
      <c r="I72" s="520"/>
      <c r="J72" s="521"/>
      <c r="K72" s="522"/>
      <c r="L72" s="522"/>
      <c r="M72" s="51"/>
      <c r="N72" s="523"/>
      <c r="O72" s="523"/>
      <c r="P72" s="524"/>
      <c r="Q72" s="524"/>
      <c r="R72" s="498"/>
      <c r="S72" s="498"/>
      <c r="T72" s="498"/>
      <c r="U72" s="498"/>
      <c r="V72" s="498"/>
      <c r="W72" s="498"/>
      <c r="X72" s="498"/>
      <c r="Y72" s="498"/>
      <c r="Z72" s="498"/>
      <c r="AA72" s="498"/>
      <c r="AB72" s="522"/>
      <c r="AC72" s="522"/>
      <c r="AD72" s="525"/>
      <c r="AF72" s="50"/>
    </row>
    <row r="73" spans="1:32" ht="25.5" customHeight="1">
      <c r="A73" s="517">
        <v>4</v>
      </c>
      <c r="B73" s="518"/>
      <c r="C73" s="104"/>
      <c r="D73" s="180"/>
      <c r="E73" s="183"/>
      <c r="F73" s="519"/>
      <c r="G73" s="520"/>
      <c r="H73" s="520"/>
      <c r="I73" s="520"/>
      <c r="J73" s="521"/>
      <c r="K73" s="522"/>
      <c r="L73" s="522"/>
      <c r="M73" s="51"/>
      <c r="N73" s="523"/>
      <c r="O73" s="523"/>
      <c r="P73" s="524"/>
      <c r="Q73" s="524"/>
      <c r="R73" s="498"/>
      <c r="S73" s="498"/>
      <c r="T73" s="498"/>
      <c r="U73" s="498"/>
      <c r="V73" s="498"/>
      <c r="W73" s="498"/>
      <c r="X73" s="498"/>
      <c r="Y73" s="498"/>
      <c r="Z73" s="498"/>
      <c r="AA73" s="498"/>
      <c r="AB73" s="522"/>
      <c r="AC73" s="522"/>
      <c r="AD73" s="525"/>
      <c r="AF73" s="50"/>
    </row>
    <row r="74" spans="1:32" ht="25.5" customHeight="1">
      <c r="A74" s="517">
        <v>5</v>
      </c>
      <c r="B74" s="518"/>
      <c r="C74" s="104"/>
      <c r="D74" s="180"/>
      <c r="E74" s="183"/>
      <c r="F74" s="519"/>
      <c r="G74" s="520"/>
      <c r="H74" s="520"/>
      <c r="I74" s="520"/>
      <c r="J74" s="521"/>
      <c r="K74" s="522"/>
      <c r="L74" s="522"/>
      <c r="M74" s="51"/>
      <c r="N74" s="523"/>
      <c r="O74" s="523"/>
      <c r="P74" s="524"/>
      <c r="Q74" s="524"/>
      <c r="R74" s="498"/>
      <c r="S74" s="498"/>
      <c r="T74" s="498"/>
      <c r="U74" s="498"/>
      <c r="V74" s="498"/>
      <c r="W74" s="498"/>
      <c r="X74" s="498"/>
      <c r="Y74" s="498"/>
      <c r="Z74" s="498"/>
      <c r="AA74" s="498"/>
      <c r="AB74" s="522"/>
      <c r="AC74" s="522"/>
      <c r="AD74" s="525"/>
      <c r="AF74" s="50"/>
    </row>
    <row r="75" spans="1:32" ht="25.5" customHeight="1">
      <c r="A75" s="517">
        <v>6</v>
      </c>
      <c r="B75" s="518"/>
      <c r="C75" s="104"/>
      <c r="D75" s="180"/>
      <c r="E75" s="183"/>
      <c r="F75" s="519"/>
      <c r="G75" s="520"/>
      <c r="H75" s="520"/>
      <c r="I75" s="520"/>
      <c r="J75" s="521"/>
      <c r="K75" s="522"/>
      <c r="L75" s="522"/>
      <c r="M75" s="51"/>
      <c r="N75" s="523"/>
      <c r="O75" s="523"/>
      <c r="P75" s="524"/>
      <c r="Q75" s="524"/>
      <c r="R75" s="498"/>
      <c r="S75" s="498"/>
      <c r="T75" s="498"/>
      <c r="U75" s="498"/>
      <c r="V75" s="498"/>
      <c r="W75" s="498"/>
      <c r="X75" s="498"/>
      <c r="Y75" s="498"/>
      <c r="Z75" s="498"/>
      <c r="AA75" s="498"/>
      <c r="AB75" s="522"/>
      <c r="AC75" s="522"/>
      <c r="AD75" s="525"/>
      <c r="AF75" s="50"/>
    </row>
    <row r="76" spans="1:32" ht="25.5" customHeight="1">
      <c r="A76" s="517">
        <v>7</v>
      </c>
      <c r="B76" s="518"/>
      <c r="C76" s="104"/>
      <c r="D76" s="180"/>
      <c r="E76" s="183"/>
      <c r="F76" s="519"/>
      <c r="G76" s="520"/>
      <c r="H76" s="520"/>
      <c r="I76" s="520"/>
      <c r="J76" s="521"/>
      <c r="K76" s="522"/>
      <c r="L76" s="522"/>
      <c r="M76" s="51"/>
      <c r="N76" s="523"/>
      <c r="O76" s="523"/>
      <c r="P76" s="524"/>
      <c r="Q76" s="524"/>
      <c r="R76" s="498"/>
      <c r="S76" s="498"/>
      <c r="T76" s="498"/>
      <c r="U76" s="498"/>
      <c r="V76" s="498"/>
      <c r="W76" s="498"/>
      <c r="X76" s="498"/>
      <c r="Y76" s="498"/>
      <c r="Z76" s="498"/>
      <c r="AA76" s="498"/>
      <c r="AB76" s="522"/>
      <c r="AC76" s="522"/>
      <c r="AD76" s="525"/>
      <c r="AF76" s="50"/>
    </row>
    <row r="77" spans="1:32" ht="25.5" customHeight="1">
      <c r="A77" s="517">
        <v>8</v>
      </c>
      <c r="B77" s="518"/>
      <c r="C77" s="104"/>
      <c r="D77" s="180"/>
      <c r="E77" s="183"/>
      <c r="F77" s="526"/>
      <c r="G77" s="522"/>
      <c r="H77" s="522"/>
      <c r="I77" s="522"/>
      <c r="J77" s="522"/>
      <c r="K77" s="522"/>
      <c r="L77" s="522"/>
      <c r="M77" s="51"/>
      <c r="N77" s="523"/>
      <c r="O77" s="523"/>
      <c r="P77" s="524"/>
      <c r="Q77" s="524"/>
      <c r="R77" s="498"/>
      <c r="S77" s="498"/>
      <c r="T77" s="498"/>
      <c r="U77" s="498"/>
      <c r="V77" s="498"/>
      <c r="W77" s="498"/>
      <c r="X77" s="498"/>
      <c r="Y77" s="498"/>
      <c r="Z77" s="498"/>
      <c r="AA77" s="498"/>
      <c r="AB77" s="522"/>
      <c r="AC77" s="522"/>
      <c r="AD77" s="525"/>
      <c r="AF77" s="50"/>
    </row>
    <row r="78" spans="1:32" ht="25.5" customHeight="1">
      <c r="A78" s="517">
        <v>9</v>
      </c>
      <c r="B78" s="518"/>
      <c r="C78" s="104"/>
      <c r="D78" s="180"/>
      <c r="E78" s="183"/>
      <c r="F78" s="526"/>
      <c r="G78" s="522"/>
      <c r="H78" s="522"/>
      <c r="I78" s="522"/>
      <c r="J78" s="522"/>
      <c r="K78" s="522"/>
      <c r="L78" s="522"/>
      <c r="M78" s="51"/>
      <c r="N78" s="523"/>
      <c r="O78" s="523"/>
      <c r="P78" s="524"/>
      <c r="Q78" s="524"/>
      <c r="R78" s="498"/>
      <c r="S78" s="498"/>
      <c r="T78" s="498"/>
      <c r="U78" s="498"/>
      <c r="V78" s="498"/>
      <c r="W78" s="498"/>
      <c r="X78" s="498"/>
      <c r="Y78" s="498"/>
      <c r="Z78" s="498"/>
      <c r="AA78" s="498"/>
      <c r="AB78" s="522"/>
      <c r="AC78" s="522"/>
      <c r="AD78" s="525"/>
      <c r="AF78" s="50"/>
    </row>
    <row r="79" spans="1:32" ht="25.5" customHeight="1">
      <c r="A79" s="517">
        <v>10</v>
      </c>
      <c r="B79" s="518"/>
      <c r="C79" s="104"/>
      <c r="D79" s="180"/>
      <c r="E79" s="183"/>
      <c r="F79" s="526"/>
      <c r="G79" s="522"/>
      <c r="H79" s="522"/>
      <c r="I79" s="522"/>
      <c r="J79" s="522"/>
      <c r="K79" s="522"/>
      <c r="L79" s="522"/>
      <c r="M79" s="51"/>
      <c r="N79" s="523"/>
      <c r="O79" s="523"/>
      <c r="P79" s="524"/>
      <c r="Q79" s="524"/>
      <c r="R79" s="498"/>
      <c r="S79" s="498"/>
      <c r="T79" s="498"/>
      <c r="U79" s="498"/>
      <c r="V79" s="498"/>
      <c r="W79" s="498"/>
      <c r="X79" s="498"/>
      <c r="Y79" s="498"/>
      <c r="Z79" s="498"/>
      <c r="AA79" s="498"/>
      <c r="AB79" s="522"/>
      <c r="AC79" s="522"/>
      <c r="AD79" s="525"/>
      <c r="AF79" s="50"/>
    </row>
    <row r="80" spans="1:32" ht="26.25" customHeight="1" thickBot="1">
      <c r="A80" s="527" t="s">
        <v>279</v>
      </c>
      <c r="B80" s="527"/>
      <c r="C80" s="527"/>
      <c r="D80" s="527"/>
      <c r="E80" s="527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528" t="s">
        <v>111</v>
      </c>
      <c r="B81" s="529"/>
      <c r="C81" s="182" t="s">
        <v>2</v>
      </c>
      <c r="D81" s="182" t="s">
        <v>37</v>
      </c>
      <c r="E81" s="182" t="s">
        <v>121</v>
      </c>
      <c r="F81" s="530" t="s">
        <v>38</v>
      </c>
      <c r="G81" s="530"/>
      <c r="H81" s="530"/>
      <c r="I81" s="530"/>
      <c r="J81" s="530"/>
      <c r="K81" s="531" t="s">
        <v>58</v>
      </c>
      <c r="L81" s="532"/>
      <c r="M81" s="532"/>
      <c r="N81" s="532"/>
      <c r="O81" s="532"/>
      <c r="P81" s="532"/>
      <c r="Q81" s="532"/>
      <c r="R81" s="532"/>
      <c r="S81" s="533"/>
      <c r="T81" s="530" t="s">
        <v>49</v>
      </c>
      <c r="U81" s="530"/>
      <c r="V81" s="531" t="s">
        <v>50</v>
      </c>
      <c r="W81" s="533"/>
      <c r="X81" s="532" t="s">
        <v>51</v>
      </c>
      <c r="Y81" s="532"/>
      <c r="Z81" s="532"/>
      <c r="AA81" s="532"/>
      <c r="AB81" s="532"/>
      <c r="AC81" s="532"/>
      <c r="AD81" s="534"/>
      <c r="AF81" s="50"/>
    </row>
    <row r="82" spans="1:32" ht="33.75" customHeight="1">
      <c r="A82" s="543">
        <v>1</v>
      </c>
      <c r="B82" s="544"/>
      <c r="C82" s="181"/>
      <c r="D82" s="181"/>
      <c r="E82" s="65"/>
      <c r="F82" s="545"/>
      <c r="G82" s="546"/>
      <c r="H82" s="546"/>
      <c r="I82" s="546"/>
      <c r="J82" s="547"/>
      <c r="K82" s="548"/>
      <c r="L82" s="549"/>
      <c r="M82" s="549"/>
      <c r="N82" s="549"/>
      <c r="O82" s="549"/>
      <c r="P82" s="549"/>
      <c r="Q82" s="549"/>
      <c r="R82" s="549"/>
      <c r="S82" s="550"/>
      <c r="T82" s="551"/>
      <c r="U82" s="552"/>
      <c r="V82" s="553"/>
      <c r="W82" s="553"/>
      <c r="X82" s="554"/>
      <c r="Y82" s="554"/>
      <c r="Z82" s="554"/>
      <c r="AA82" s="554"/>
      <c r="AB82" s="554"/>
      <c r="AC82" s="554"/>
      <c r="AD82" s="555"/>
      <c r="AF82" s="50"/>
    </row>
    <row r="83" spans="1:32" ht="30" customHeight="1">
      <c r="A83" s="535">
        <f>A82+1</f>
        <v>2</v>
      </c>
      <c r="B83" s="536"/>
      <c r="C83" s="180"/>
      <c r="D83" s="180"/>
      <c r="E83" s="32"/>
      <c r="F83" s="536"/>
      <c r="G83" s="536"/>
      <c r="H83" s="536"/>
      <c r="I83" s="536"/>
      <c r="J83" s="536"/>
      <c r="K83" s="537"/>
      <c r="L83" s="538"/>
      <c r="M83" s="538"/>
      <c r="N83" s="538"/>
      <c r="O83" s="538"/>
      <c r="P83" s="538"/>
      <c r="Q83" s="538"/>
      <c r="R83" s="538"/>
      <c r="S83" s="539"/>
      <c r="T83" s="540"/>
      <c r="U83" s="540"/>
      <c r="V83" s="540"/>
      <c r="W83" s="540"/>
      <c r="X83" s="541"/>
      <c r="Y83" s="541"/>
      <c r="Z83" s="541"/>
      <c r="AA83" s="541"/>
      <c r="AB83" s="541"/>
      <c r="AC83" s="541"/>
      <c r="AD83" s="542"/>
      <c r="AF83" s="50"/>
    </row>
    <row r="84" spans="1:32" ht="30" customHeight="1">
      <c r="A84" s="535">
        <f t="shared" ref="A84:A88" si="12">A83+1</f>
        <v>3</v>
      </c>
      <c r="B84" s="536"/>
      <c r="C84" s="180"/>
      <c r="D84" s="180"/>
      <c r="E84" s="32"/>
      <c r="F84" s="536"/>
      <c r="G84" s="536"/>
      <c r="H84" s="536"/>
      <c r="I84" s="536"/>
      <c r="J84" s="536"/>
      <c r="K84" s="537"/>
      <c r="L84" s="538"/>
      <c r="M84" s="538"/>
      <c r="N84" s="538"/>
      <c r="O84" s="538"/>
      <c r="P84" s="538"/>
      <c r="Q84" s="538"/>
      <c r="R84" s="538"/>
      <c r="S84" s="539"/>
      <c r="T84" s="540"/>
      <c r="U84" s="540"/>
      <c r="V84" s="540"/>
      <c r="W84" s="540"/>
      <c r="X84" s="541"/>
      <c r="Y84" s="541"/>
      <c r="Z84" s="541"/>
      <c r="AA84" s="541"/>
      <c r="AB84" s="541"/>
      <c r="AC84" s="541"/>
      <c r="AD84" s="542"/>
      <c r="AF84" s="50"/>
    </row>
    <row r="85" spans="1:32" ht="30" customHeight="1">
      <c r="A85" s="535">
        <f t="shared" si="12"/>
        <v>4</v>
      </c>
      <c r="B85" s="536"/>
      <c r="C85" s="180"/>
      <c r="D85" s="180"/>
      <c r="E85" s="32"/>
      <c r="F85" s="536"/>
      <c r="G85" s="536"/>
      <c r="H85" s="536"/>
      <c r="I85" s="536"/>
      <c r="J85" s="536"/>
      <c r="K85" s="537"/>
      <c r="L85" s="538"/>
      <c r="M85" s="538"/>
      <c r="N85" s="538"/>
      <c r="O85" s="538"/>
      <c r="P85" s="538"/>
      <c r="Q85" s="538"/>
      <c r="R85" s="538"/>
      <c r="S85" s="539"/>
      <c r="T85" s="540"/>
      <c r="U85" s="540"/>
      <c r="V85" s="540"/>
      <c r="W85" s="540"/>
      <c r="X85" s="541"/>
      <c r="Y85" s="541"/>
      <c r="Z85" s="541"/>
      <c r="AA85" s="541"/>
      <c r="AB85" s="541"/>
      <c r="AC85" s="541"/>
      <c r="AD85" s="542"/>
      <c r="AF85" s="50"/>
    </row>
    <row r="86" spans="1:32" ht="30" customHeight="1">
      <c r="A86" s="535">
        <f t="shared" si="12"/>
        <v>5</v>
      </c>
      <c r="B86" s="536"/>
      <c r="C86" s="180"/>
      <c r="D86" s="180"/>
      <c r="E86" s="32"/>
      <c r="F86" s="536"/>
      <c r="G86" s="536"/>
      <c r="H86" s="536"/>
      <c r="I86" s="536"/>
      <c r="J86" s="536"/>
      <c r="K86" s="537"/>
      <c r="L86" s="538"/>
      <c r="M86" s="538"/>
      <c r="N86" s="538"/>
      <c r="O86" s="538"/>
      <c r="P86" s="538"/>
      <c r="Q86" s="538"/>
      <c r="R86" s="538"/>
      <c r="S86" s="539"/>
      <c r="T86" s="540"/>
      <c r="U86" s="540"/>
      <c r="V86" s="540"/>
      <c r="W86" s="540"/>
      <c r="X86" s="541"/>
      <c r="Y86" s="541"/>
      <c r="Z86" s="541"/>
      <c r="AA86" s="541"/>
      <c r="AB86" s="541"/>
      <c r="AC86" s="541"/>
      <c r="AD86" s="542"/>
      <c r="AF86" s="50"/>
    </row>
    <row r="87" spans="1:32" ht="30" customHeight="1">
      <c r="A87" s="535">
        <f t="shared" si="12"/>
        <v>6</v>
      </c>
      <c r="B87" s="536"/>
      <c r="C87" s="180"/>
      <c r="D87" s="180"/>
      <c r="E87" s="32"/>
      <c r="F87" s="536"/>
      <c r="G87" s="536"/>
      <c r="H87" s="536"/>
      <c r="I87" s="536"/>
      <c r="J87" s="536"/>
      <c r="K87" s="537"/>
      <c r="L87" s="538"/>
      <c r="M87" s="538"/>
      <c r="N87" s="538"/>
      <c r="O87" s="538"/>
      <c r="P87" s="538"/>
      <c r="Q87" s="538"/>
      <c r="R87" s="538"/>
      <c r="S87" s="539"/>
      <c r="T87" s="540"/>
      <c r="U87" s="540"/>
      <c r="V87" s="540"/>
      <c r="W87" s="540"/>
      <c r="X87" s="541"/>
      <c r="Y87" s="541"/>
      <c r="Z87" s="541"/>
      <c r="AA87" s="541"/>
      <c r="AB87" s="541"/>
      <c r="AC87" s="541"/>
      <c r="AD87" s="542"/>
      <c r="AF87" s="50"/>
    </row>
    <row r="88" spans="1:32" ht="30" customHeight="1">
      <c r="A88" s="535">
        <f t="shared" si="12"/>
        <v>7</v>
      </c>
      <c r="B88" s="536"/>
      <c r="C88" s="180"/>
      <c r="D88" s="180"/>
      <c r="E88" s="32"/>
      <c r="F88" s="536"/>
      <c r="G88" s="536"/>
      <c r="H88" s="536"/>
      <c r="I88" s="536"/>
      <c r="J88" s="536"/>
      <c r="K88" s="537"/>
      <c r="L88" s="538"/>
      <c r="M88" s="538"/>
      <c r="N88" s="538"/>
      <c r="O88" s="538"/>
      <c r="P88" s="538"/>
      <c r="Q88" s="538"/>
      <c r="R88" s="538"/>
      <c r="S88" s="539"/>
      <c r="T88" s="540"/>
      <c r="U88" s="540"/>
      <c r="V88" s="540"/>
      <c r="W88" s="540"/>
      <c r="X88" s="541"/>
      <c r="Y88" s="541"/>
      <c r="Z88" s="541"/>
      <c r="AA88" s="541"/>
      <c r="AB88" s="541"/>
      <c r="AC88" s="541"/>
      <c r="AD88" s="542"/>
      <c r="AF88" s="50"/>
    </row>
    <row r="89" spans="1:32" ht="36" thickBot="1">
      <c r="A89" s="527" t="s">
        <v>280</v>
      </c>
      <c r="B89" s="527"/>
      <c r="C89" s="527"/>
      <c r="D89" s="527"/>
      <c r="E89" s="527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56" t="s">
        <v>111</v>
      </c>
      <c r="B90" s="530"/>
      <c r="C90" s="557" t="s">
        <v>52</v>
      </c>
      <c r="D90" s="557"/>
      <c r="E90" s="557" t="s">
        <v>53</v>
      </c>
      <c r="F90" s="557"/>
      <c r="G90" s="557"/>
      <c r="H90" s="557"/>
      <c r="I90" s="557"/>
      <c r="J90" s="557"/>
      <c r="K90" s="557" t="s">
        <v>54</v>
      </c>
      <c r="L90" s="557"/>
      <c r="M90" s="557"/>
      <c r="N90" s="557"/>
      <c r="O90" s="557"/>
      <c r="P90" s="557"/>
      <c r="Q90" s="557"/>
      <c r="R90" s="557"/>
      <c r="S90" s="557"/>
      <c r="T90" s="557" t="s">
        <v>55</v>
      </c>
      <c r="U90" s="557"/>
      <c r="V90" s="557" t="s">
        <v>56</v>
      </c>
      <c r="W90" s="557"/>
      <c r="X90" s="557"/>
      <c r="Y90" s="557" t="s">
        <v>51</v>
      </c>
      <c r="Z90" s="557"/>
      <c r="AA90" s="557"/>
      <c r="AB90" s="557"/>
      <c r="AC90" s="557"/>
      <c r="AD90" s="558"/>
      <c r="AF90" s="50"/>
    </row>
    <row r="91" spans="1:32" ht="30.75" customHeight="1">
      <c r="A91" s="543">
        <v>1</v>
      </c>
      <c r="B91" s="544"/>
      <c r="C91" s="559">
        <v>9</v>
      </c>
      <c r="D91" s="559"/>
      <c r="E91" s="559" t="s">
        <v>127</v>
      </c>
      <c r="F91" s="559"/>
      <c r="G91" s="559"/>
      <c r="H91" s="559"/>
      <c r="I91" s="559"/>
      <c r="J91" s="559"/>
      <c r="K91" s="559" t="s">
        <v>136</v>
      </c>
      <c r="L91" s="559"/>
      <c r="M91" s="559"/>
      <c r="N91" s="559"/>
      <c r="O91" s="559"/>
      <c r="P91" s="559"/>
      <c r="Q91" s="559"/>
      <c r="R91" s="559"/>
      <c r="S91" s="559"/>
      <c r="T91" s="559" t="s">
        <v>128</v>
      </c>
      <c r="U91" s="559"/>
      <c r="V91" s="560" t="s">
        <v>133</v>
      </c>
      <c r="W91" s="560"/>
      <c r="X91" s="560"/>
      <c r="Y91" s="561"/>
      <c r="Z91" s="561"/>
      <c r="AA91" s="561"/>
      <c r="AB91" s="561"/>
      <c r="AC91" s="561"/>
      <c r="AD91" s="562"/>
      <c r="AF91" s="50"/>
    </row>
    <row r="92" spans="1:32" ht="30.75" customHeight="1">
      <c r="A92" s="535">
        <v>2</v>
      </c>
      <c r="B92" s="536"/>
      <c r="C92" s="570"/>
      <c r="D92" s="570"/>
      <c r="E92" s="570"/>
      <c r="F92" s="570"/>
      <c r="G92" s="570"/>
      <c r="H92" s="570"/>
      <c r="I92" s="570"/>
      <c r="J92" s="570"/>
      <c r="K92" s="570"/>
      <c r="L92" s="570"/>
      <c r="M92" s="570"/>
      <c r="N92" s="570"/>
      <c r="O92" s="570"/>
      <c r="P92" s="570"/>
      <c r="Q92" s="570"/>
      <c r="R92" s="570"/>
      <c r="S92" s="570"/>
      <c r="T92" s="571"/>
      <c r="U92" s="571"/>
      <c r="V92" s="572"/>
      <c r="W92" s="572"/>
      <c r="X92" s="572"/>
      <c r="Y92" s="563"/>
      <c r="Z92" s="563"/>
      <c r="AA92" s="563"/>
      <c r="AB92" s="563"/>
      <c r="AC92" s="563"/>
      <c r="AD92" s="564"/>
      <c r="AF92" s="50"/>
    </row>
    <row r="93" spans="1:32" ht="30.75" customHeight="1" thickBot="1">
      <c r="A93" s="565">
        <v>3</v>
      </c>
      <c r="B93" s="566"/>
      <c r="C93" s="567"/>
      <c r="D93" s="567"/>
      <c r="E93" s="567"/>
      <c r="F93" s="567"/>
      <c r="G93" s="567"/>
      <c r="H93" s="567"/>
      <c r="I93" s="567"/>
      <c r="J93" s="567"/>
      <c r="K93" s="567"/>
      <c r="L93" s="567"/>
      <c r="M93" s="567"/>
      <c r="N93" s="567"/>
      <c r="O93" s="567"/>
      <c r="P93" s="567"/>
      <c r="Q93" s="567"/>
      <c r="R93" s="567"/>
      <c r="S93" s="567"/>
      <c r="T93" s="567"/>
      <c r="U93" s="567"/>
      <c r="V93" s="573"/>
      <c r="W93" s="573"/>
      <c r="X93" s="573"/>
      <c r="Y93" s="568"/>
      <c r="Z93" s="568"/>
      <c r="AA93" s="568"/>
      <c r="AB93" s="568"/>
      <c r="AC93" s="568"/>
      <c r="AD93" s="569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3" max="2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A0E5-9904-4969-BEC8-5181CA90E52E}">
  <dimension ref="A1:AF94"/>
  <sheetViews>
    <sheetView view="pageBreakPreview" zoomScale="70" zoomScaleNormal="72" zoomScaleSheetLayoutView="70" workbookViewId="0">
      <selection activeCell="L13" sqref="L1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50" t="s">
        <v>281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1"/>
      <c r="B3" s="451"/>
      <c r="C3" s="451"/>
      <c r="D3" s="451"/>
      <c r="E3" s="451"/>
      <c r="F3" s="451"/>
      <c r="G3" s="45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52" t="s">
        <v>0</v>
      </c>
      <c r="B4" s="454" t="s">
        <v>1</v>
      </c>
      <c r="C4" s="454" t="s">
        <v>2</v>
      </c>
      <c r="D4" s="457" t="s">
        <v>3</v>
      </c>
      <c r="E4" s="459" t="s">
        <v>4</v>
      </c>
      <c r="F4" s="457" t="s">
        <v>5</v>
      </c>
      <c r="G4" s="454" t="s">
        <v>6</v>
      </c>
      <c r="H4" s="460" t="s">
        <v>7</v>
      </c>
      <c r="I4" s="480" t="s">
        <v>8</v>
      </c>
      <c r="J4" s="481"/>
      <c r="K4" s="481"/>
      <c r="L4" s="481"/>
      <c r="M4" s="481"/>
      <c r="N4" s="481"/>
      <c r="O4" s="482"/>
      <c r="P4" s="483" t="s">
        <v>9</v>
      </c>
      <c r="Q4" s="484"/>
      <c r="R4" s="486" t="s">
        <v>10</v>
      </c>
      <c r="S4" s="485"/>
      <c r="T4" s="485"/>
      <c r="U4" s="485"/>
      <c r="V4" s="487"/>
      <c r="W4" s="485" t="s">
        <v>11</v>
      </c>
      <c r="X4" s="485"/>
      <c r="Y4" s="485"/>
      <c r="Z4" s="485"/>
      <c r="AA4" s="487"/>
      <c r="AB4" s="488" t="s">
        <v>12</v>
      </c>
      <c r="AC4" s="462" t="s">
        <v>13</v>
      </c>
      <c r="AD4" s="462" t="s">
        <v>14</v>
      </c>
      <c r="AE4" s="54"/>
    </row>
    <row r="5" spans="1:32" ht="51" customHeight="1" thickBot="1">
      <c r="A5" s="453"/>
      <c r="B5" s="455"/>
      <c r="C5" s="456"/>
      <c r="D5" s="458"/>
      <c r="E5" s="458"/>
      <c r="F5" s="458"/>
      <c r="G5" s="455"/>
      <c r="H5" s="461"/>
      <c r="I5" s="55" t="s">
        <v>15</v>
      </c>
      <c r="J5" s="56" t="s">
        <v>16</v>
      </c>
      <c r="K5" s="193" t="s">
        <v>17</v>
      </c>
      <c r="L5" s="193" t="s">
        <v>18</v>
      </c>
      <c r="M5" s="193" t="s">
        <v>19</v>
      </c>
      <c r="N5" s="19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89"/>
      <c r="AC5" s="463"/>
      <c r="AD5" s="463"/>
      <c r="AE5" s="54"/>
    </row>
    <row r="6" spans="1:32" ht="27" customHeight="1">
      <c r="A6" s="112">
        <v>1</v>
      </c>
      <c r="B6" s="11" t="s">
        <v>57</v>
      </c>
      <c r="C6" s="34" t="s">
        <v>116</v>
      </c>
      <c r="D6" s="52" t="s">
        <v>130</v>
      </c>
      <c r="E6" s="53" t="s">
        <v>158</v>
      </c>
      <c r="F6" s="30" t="s">
        <v>146</v>
      </c>
      <c r="G6" s="12">
        <v>2</v>
      </c>
      <c r="H6" s="13">
        <v>24</v>
      </c>
      <c r="I6" s="31">
        <v>174000</v>
      </c>
      <c r="J6" s="14">
        <v>4388</v>
      </c>
      <c r="K6" s="15">
        <f>L6+2384+8412+9776+8821+8774+10138+6972+8852</f>
        <v>68517</v>
      </c>
      <c r="L6" s="15">
        <f>2194*2</f>
        <v>4388</v>
      </c>
      <c r="M6" s="15">
        <f t="shared" ref="M6:M28" si="0">L6-N6</f>
        <v>4388</v>
      </c>
      <c r="N6" s="15">
        <v>0</v>
      </c>
      <c r="O6" s="58">
        <f t="shared" ref="O6:O29" si="1">IF(L6=0,"0",N6/L6)</f>
        <v>0</v>
      </c>
      <c r="P6" s="39">
        <f t="shared" ref="P6:P28" si="2">IF(L6=0,"0",(24-Q6))</f>
        <v>10</v>
      </c>
      <c r="Q6" s="40">
        <f t="shared" ref="Q6:Q28" si="3">SUM(R6:AA6)</f>
        <v>14</v>
      </c>
      <c r="R6" s="7"/>
      <c r="S6" s="6">
        <v>14</v>
      </c>
      <c r="T6" s="16"/>
      <c r="U6" s="16"/>
      <c r="V6" s="17"/>
      <c r="W6" s="5"/>
      <c r="X6" s="16"/>
      <c r="Y6" s="16"/>
      <c r="Z6" s="16"/>
      <c r="AA6" s="18"/>
      <c r="AB6" s="8">
        <f t="shared" ref="AB6:AB28" si="4">IF(J6=0,"0",(L6/J6))</f>
        <v>1</v>
      </c>
      <c r="AC6" s="9">
        <f t="shared" ref="AC6:AC28" si="5">IF(P6=0,"0",(P6/24))</f>
        <v>0.41666666666666669</v>
      </c>
      <c r="AD6" s="10">
        <f t="shared" ref="AD6:AD28" si="6">AC6*AB6*(1-O6)</f>
        <v>0.41666666666666669</v>
      </c>
      <c r="AE6" s="36">
        <f t="shared" ref="AE6:AE28" si="7">$AD$29</f>
        <v>0.45833333333333331</v>
      </c>
      <c r="AF6" s="84">
        <f t="shared" ref="AF6:AF28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148</v>
      </c>
      <c r="E7" s="53" t="s">
        <v>149</v>
      </c>
      <c r="F7" s="30" t="s">
        <v>147</v>
      </c>
      <c r="G7" s="12">
        <v>1</v>
      </c>
      <c r="H7" s="13">
        <v>24</v>
      </c>
      <c r="I7" s="31">
        <v>18000</v>
      </c>
      <c r="J7" s="14">
        <v>6258</v>
      </c>
      <c r="K7" s="15">
        <f>L7+3479+6290+3687+5866+6258</f>
        <v>25580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0.45833333333333331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143</v>
      </c>
      <c r="D8" s="52" t="s">
        <v>124</v>
      </c>
      <c r="E8" s="53" t="s">
        <v>174</v>
      </c>
      <c r="F8" s="30" t="s">
        <v>144</v>
      </c>
      <c r="G8" s="12">
        <v>4</v>
      </c>
      <c r="H8" s="13">
        <v>24</v>
      </c>
      <c r="I8" s="7">
        <v>85000</v>
      </c>
      <c r="J8" s="14">
        <v>20408</v>
      </c>
      <c r="K8" s="15">
        <f>L8+12500+8020+23392+20408</f>
        <v>64320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0.45833333333333331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143</v>
      </c>
      <c r="D9" s="52" t="s">
        <v>124</v>
      </c>
      <c r="E9" s="53" t="s">
        <v>242</v>
      </c>
      <c r="F9" s="30" t="s">
        <v>144</v>
      </c>
      <c r="G9" s="12">
        <v>2</v>
      </c>
      <c r="H9" s="13">
        <v>24</v>
      </c>
      <c r="I9" s="7">
        <v>30000</v>
      </c>
      <c r="J9" s="14">
        <v>9612</v>
      </c>
      <c r="K9" s="15">
        <f>L9+6468+10748</f>
        <v>26828</v>
      </c>
      <c r="L9" s="15">
        <f>2671*2+2135*2</f>
        <v>9612</v>
      </c>
      <c r="M9" s="15">
        <f t="shared" si="0"/>
        <v>9612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0.45833333333333331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115</v>
      </c>
      <c r="E10" s="53" t="s">
        <v>276</v>
      </c>
      <c r="F10" s="30" t="s">
        <v>131</v>
      </c>
      <c r="G10" s="33">
        <v>1</v>
      </c>
      <c r="H10" s="35">
        <v>24</v>
      </c>
      <c r="I10" s="7">
        <v>1500</v>
      </c>
      <c r="J10" s="14">
        <v>4976</v>
      </c>
      <c r="K10" s="15">
        <f>L10</f>
        <v>4976</v>
      </c>
      <c r="L10" s="15">
        <f>2622+2354</f>
        <v>4976</v>
      </c>
      <c r="M10" s="15">
        <f t="shared" si="0"/>
        <v>4976</v>
      </c>
      <c r="N10" s="15">
        <v>0</v>
      </c>
      <c r="O10" s="58">
        <f t="shared" si="1"/>
        <v>0</v>
      </c>
      <c r="P10" s="39">
        <f t="shared" si="2"/>
        <v>23</v>
      </c>
      <c r="Q10" s="40">
        <f t="shared" si="3"/>
        <v>1</v>
      </c>
      <c r="R10" s="7"/>
      <c r="S10" s="6"/>
      <c r="T10" s="16">
        <v>1</v>
      </c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0.95833333333333337</v>
      </c>
      <c r="AD10" s="10">
        <f t="shared" si="6"/>
        <v>0.95833333333333337</v>
      </c>
      <c r="AE10" s="36">
        <f t="shared" si="7"/>
        <v>0.45833333333333331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116</v>
      </c>
      <c r="D11" s="52" t="s">
        <v>173</v>
      </c>
      <c r="E11" s="53" t="s">
        <v>172</v>
      </c>
      <c r="F11" s="30" t="s">
        <v>187</v>
      </c>
      <c r="G11" s="33">
        <v>32</v>
      </c>
      <c r="H11" s="35">
        <v>24</v>
      </c>
      <c r="I11" s="7">
        <v>500000</v>
      </c>
      <c r="J11" s="14">
        <v>109380</v>
      </c>
      <c r="K11" s="15">
        <f>L11+133700+100900+15240</f>
        <v>359220</v>
      </c>
      <c r="L11" s="15">
        <f>3502*20+1967*20</f>
        <v>109380</v>
      </c>
      <c r="M11" s="15">
        <f t="shared" si="0"/>
        <v>109380</v>
      </c>
      <c r="N11" s="15">
        <v>0</v>
      </c>
      <c r="O11" s="58">
        <f t="shared" si="1"/>
        <v>0</v>
      </c>
      <c r="P11" s="39">
        <f t="shared" si="2"/>
        <v>19</v>
      </c>
      <c r="Q11" s="40">
        <f t="shared" si="3"/>
        <v>5</v>
      </c>
      <c r="R11" s="7"/>
      <c r="S11" s="6">
        <v>5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0.79166666666666663</v>
      </c>
      <c r="AD11" s="10">
        <f t="shared" si="6"/>
        <v>0.79166666666666663</v>
      </c>
      <c r="AE11" s="36">
        <f t="shared" si="7"/>
        <v>0.45833333333333331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126</v>
      </c>
      <c r="F12" s="30" t="s">
        <v>167</v>
      </c>
      <c r="G12" s="12">
        <v>1</v>
      </c>
      <c r="H12" s="13">
        <v>22</v>
      </c>
      <c r="I12" s="31">
        <v>100000</v>
      </c>
      <c r="J12" s="5">
        <v>5473</v>
      </c>
      <c r="K12" s="15">
        <f>L12+4676+4488+5126+5538+5283+5334+5466</f>
        <v>41384</v>
      </c>
      <c r="L12" s="15">
        <f>2729+2744</f>
        <v>5473</v>
      </c>
      <c r="M12" s="15">
        <f t="shared" si="0"/>
        <v>5473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0.45833333333333331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143</v>
      </c>
      <c r="D13" s="52" t="s">
        <v>266</v>
      </c>
      <c r="E13" s="53" t="s">
        <v>267</v>
      </c>
      <c r="F13" s="30" t="s">
        <v>131</v>
      </c>
      <c r="G13" s="33">
        <v>1</v>
      </c>
      <c r="H13" s="35">
        <v>24</v>
      </c>
      <c r="I13" s="7">
        <v>5000</v>
      </c>
      <c r="J13" s="14">
        <v>3371</v>
      </c>
      <c r="K13" s="15">
        <f>L13+3371</f>
        <v>3371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>
        <v>24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0.45833333333333331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156</v>
      </c>
      <c r="F14" s="30" t="s">
        <v>151</v>
      </c>
      <c r="G14" s="33">
        <v>1</v>
      </c>
      <c r="H14" s="35">
        <v>50</v>
      </c>
      <c r="I14" s="7">
        <v>2500</v>
      </c>
      <c r="J14" s="5">
        <v>800</v>
      </c>
      <c r="K14" s="15">
        <f>L14+893+982+1050+800</f>
        <v>3725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0.45833333333333331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123</v>
      </c>
      <c r="E15" s="53" t="s">
        <v>141</v>
      </c>
      <c r="F15" s="30" t="s">
        <v>135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0.45833333333333331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143</v>
      </c>
      <c r="D16" s="52" t="s">
        <v>115</v>
      </c>
      <c r="E16" s="53" t="s">
        <v>249</v>
      </c>
      <c r="F16" s="30" t="s">
        <v>144</v>
      </c>
      <c r="G16" s="12">
        <v>2</v>
      </c>
      <c r="H16" s="13">
        <v>24</v>
      </c>
      <c r="I16" s="7">
        <v>30000</v>
      </c>
      <c r="J16" s="14">
        <v>11380</v>
      </c>
      <c r="K16" s="15">
        <f>L16+5366+11376</f>
        <v>28122</v>
      </c>
      <c r="L16" s="15">
        <f>2841*2+2849*2</f>
        <v>11380</v>
      </c>
      <c r="M16" s="15">
        <f t="shared" si="0"/>
        <v>11380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0.45833333333333331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143</v>
      </c>
      <c r="D17" s="52" t="s">
        <v>150</v>
      </c>
      <c r="E17" s="53" t="s">
        <v>159</v>
      </c>
      <c r="F17" s="30" t="s">
        <v>154</v>
      </c>
      <c r="G17" s="12">
        <v>3</v>
      </c>
      <c r="H17" s="13">
        <v>24</v>
      </c>
      <c r="I17" s="7">
        <v>260000</v>
      </c>
      <c r="J17" s="14">
        <v>2610</v>
      </c>
      <c r="K17" s="15">
        <f>L17+16128+16857+16941+16140+15960+17466+17355+17745+17910+17925+2610</f>
        <v>173037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>
        <v>24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0.45833333333333331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153</v>
      </c>
      <c r="F18" s="30" t="s">
        <v>131</v>
      </c>
      <c r="G18" s="33">
        <v>2</v>
      </c>
      <c r="H18" s="35">
        <v>24</v>
      </c>
      <c r="I18" s="7">
        <v>27200</v>
      </c>
      <c r="J18" s="14">
        <v>1410</v>
      </c>
      <c r="K18" s="15">
        <f>L18+5049+2711+6081+2649+5790+5789+5593+5282+5781</f>
        <v>46135</v>
      </c>
      <c r="L18" s="15">
        <f>1410</f>
        <v>1410</v>
      </c>
      <c r="M18" s="15">
        <f t="shared" si="0"/>
        <v>1410</v>
      </c>
      <c r="N18" s="15">
        <v>0</v>
      </c>
      <c r="O18" s="58">
        <f t="shared" si="1"/>
        <v>0</v>
      </c>
      <c r="P18" s="39">
        <f t="shared" si="2"/>
        <v>8</v>
      </c>
      <c r="Q18" s="40">
        <f t="shared" si="3"/>
        <v>16</v>
      </c>
      <c r="R18" s="7"/>
      <c r="S18" s="6">
        <v>16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0.33333333333333331</v>
      </c>
      <c r="AD18" s="10">
        <f t="shared" si="6"/>
        <v>0.33333333333333331</v>
      </c>
      <c r="AE18" s="36">
        <f t="shared" si="7"/>
        <v>0.45833333333333331</v>
      </c>
      <c r="AF18" s="84">
        <f t="shared" si="8"/>
        <v>13</v>
      </c>
    </row>
    <row r="19" spans="1:32" ht="27" customHeight="1">
      <c r="A19" s="96">
        <v>13</v>
      </c>
      <c r="B19" s="11" t="s">
        <v>57</v>
      </c>
      <c r="C19" s="11" t="s">
        <v>143</v>
      </c>
      <c r="D19" s="52" t="s">
        <v>123</v>
      </c>
      <c r="E19" s="53" t="s">
        <v>248</v>
      </c>
      <c r="F19" s="30" t="s">
        <v>145</v>
      </c>
      <c r="G19" s="33">
        <v>1</v>
      </c>
      <c r="H19" s="35">
        <v>24</v>
      </c>
      <c r="I19" s="7">
        <v>1000</v>
      </c>
      <c r="J19" s="14">
        <v>1297</v>
      </c>
      <c r="K19" s="15">
        <f>L19</f>
        <v>1297</v>
      </c>
      <c r="L19" s="15">
        <v>1297</v>
      </c>
      <c r="M19" s="15">
        <f t="shared" ref="M19" si="9">L19-N19</f>
        <v>1297</v>
      </c>
      <c r="N19" s="15">
        <v>0</v>
      </c>
      <c r="O19" s="58">
        <f t="shared" ref="O19" si="10">IF(L19=0,"0",N19/L19)</f>
        <v>0</v>
      </c>
      <c r="P19" s="39">
        <f t="shared" ref="P19" si="11">IF(L19=0,"0",(24-Q19))</f>
        <v>7</v>
      </c>
      <c r="Q19" s="40">
        <f t="shared" ref="Q19" si="12">SUM(R19:AA19)</f>
        <v>17</v>
      </c>
      <c r="R19" s="7"/>
      <c r="S19" s="6"/>
      <c r="T19" s="16"/>
      <c r="U19" s="16"/>
      <c r="V19" s="17"/>
      <c r="W19" s="5">
        <v>17</v>
      </c>
      <c r="X19" s="16"/>
      <c r="Y19" s="16"/>
      <c r="Z19" s="16"/>
      <c r="AA19" s="18"/>
      <c r="AB19" s="8">
        <f t="shared" ref="AB19" si="13">IF(J19=0,"0",(L19/J19))</f>
        <v>1</v>
      </c>
      <c r="AC19" s="9">
        <f t="shared" ref="AC19" si="14">IF(P19=0,"0",(P19/24))</f>
        <v>0.29166666666666669</v>
      </c>
      <c r="AD19" s="10">
        <f t="shared" ref="AD19" si="15">AC19*AB19*(1-O19)</f>
        <v>0.29166666666666669</v>
      </c>
      <c r="AE19" s="36">
        <f t="shared" si="7"/>
        <v>0.45833333333333331</v>
      </c>
      <c r="AF19" s="84">
        <f t="shared" ref="AF19" si="16">A19</f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142</v>
      </c>
      <c r="E20" s="53" t="s">
        <v>161</v>
      </c>
      <c r="F20" s="30" t="s">
        <v>134</v>
      </c>
      <c r="G20" s="33">
        <v>1</v>
      </c>
      <c r="H20" s="35">
        <v>24</v>
      </c>
      <c r="I20" s="7">
        <v>39000</v>
      </c>
      <c r="J20" s="14">
        <v>5176</v>
      </c>
      <c r="K20" s="15">
        <f>L20+2260+4771+194+2851+3863+3917+3410+3939+5293+1639+3698+3094+5176</f>
        <v>44105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/>
      <c r="X20" s="16"/>
      <c r="Y20" s="16"/>
      <c r="Z20" s="16"/>
      <c r="AA20" s="18">
        <v>24</v>
      </c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0.45833333333333331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241</v>
      </c>
      <c r="D21" s="52" t="s">
        <v>123</v>
      </c>
      <c r="E21" s="53" t="s">
        <v>275</v>
      </c>
      <c r="F21" s="30" t="s">
        <v>134</v>
      </c>
      <c r="G21" s="12">
        <v>1</v>
      </c>
      <c r="H21" s="13">
        <v>24</v>
      </c>
      <c r="I21" s="7">
        <v>5500</v>
      </c>
      <c r="J21" s="14">
        <v>4655</v>
      </c>
      <c r="K21" s="15">
        <f>L21</f>
        <v>4655</v>
      </c>
      <c r="L21" s="15">
        <f>2510+2145</f>
        <v>4655</v>
      </c>
      <c r="M21" s="15">
        <f t="shared" si="0"/>
        <v>4655</v>
      </c>
      <c r="N21" s="15">
        <v>0</v>
      </c>
      <c r="O21" s="58">
        <f t="shared" si="1"/>
        <v>0</v>
      </c>
      <c r="P21" s="39">
        <f t="shared" si="2"/>
        <v>23</v>
      </c>
      <c r="Q21" s="40">
        <f t="shared" si="3"/>
        <v>1</v>
      </c>
      <c r="R21" s="7"/>
      <c r="S21" s="6"/>
      <c r="T21" s="16">
        <v>1</v>
      </c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0.95833333333333337</v>
      </c>
      <c r="AD21" s="10">
        <f t="shared" si="6"/>
        <v>0.95833333333333337</v>
      </c>
      <c r="AE21" s="36">
        <f t="shared" si="7"/>
        <v>0.45833333333333331</v>
      </c>
      <c r="AF21" s="84">
        <f t="shared" si="8"/>
        <v>15</v>
      </c>
    </row>
    <row r="22" spans="1:32" ht="27" customHeight="1">
      <c r="A22" s="96">
        <v>16</v>
      </c>
      <c r="B22" s="11" t="s">
        <v>57</v>
      </c>
      <c r="C22" s="11" t="s">
        <v>113</v>
      </c>
      <c r="D22" s="52"/>
      <c r="E22" s="53" t="s">
        <v>139</v>
      </c>
      <c r="F22" s="12" t="s">
        <v>114</v>
      </c>
      <c r="G22" s="12">
        <v>3</v>
      </c>
      <c r="H22" s="35">
        <v>20</v>
      </c>
      <c r="I22" s="7">
        <v>1000000</v>
      </c>
      <c r="J22" s="14">
        <v>34220</v>
      </c>
      <c r="K22" s="15">
        <f t="shared" ref="K22" si="17">L22+62008+65280+66156+31132+60100+67104+64940+66996+38324+18548+31820+33244+32052+33372+27132+34220</f>
        <v>732428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0.45833333333333331</v>
      </c>
      <c r="AF22" s="84">
        <f t="shared" si="8"/>
        <v>16</v>
      </c>
    </row>
    <row r="23" spans="1:32" ht="27" customHeight="1">
      <c r="A23" s="96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0.45833333333333331</v>
      </c>
      <c r="AF23" s="84">
        <f t="shared" si="8"/>
        <v>31</v>
      </c>
    </row>
    <row r="24" spans="1:32" ht="27" customHeight="1">
      <c r="A24" s="96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0.45833333333333331</v>
      </c>
      <c r="AF24" s="84">
        <f t="shared" si="8"/>
        <v>32</v>
      </c>
    </row>
    <row r="25" spans="1:32" ht="27" customHeight="1">
      <c r="A25" s="96">
        <v>33</v>
      </c>
      <c r="B25" s="11" t="s">
        <v>57</v>
      </c>
      <c r="C25" s="11" t="s">
        <v>116</v>
      </c>
      <c r="D25" s="52" t="s">
        <v>152</v>
      </c>
      <c r="E25" s="53" t="s">
        <v>164</v>
      </c>
      <c r="F25" s="12" t="s">
        <v>134</v>
      </c>
      <c r="G25" s="12">
        <v>4</v>
      </c>
      <c r="H25" s="35">
        <v>20</v>
      </c>
      <c r="I25" s="7">
        <v>240000</v>
      </c>
      <c r="J25" s="14">
        <v>26768</v>
      </c>
      <c r="K25" s="15">
        <f>L25+27572+32268+32324+32488+32368+29632+32352</f>
        <v>245772</v>
      </c>
      <c r="L25" s="15">
        <f>2354*4+4338*4</f>
        <v>26768</v>
      </c>
      <c r="M25" s="15">
        <f t="shared" si="0"/>
        <v>26768</v>
      </c>
      <c r="N25" s="15">
        <v>0</v>
      </c>
      <c r="O25" s="58">
        <f t="shared" si="1"/>
        <v>0</v>
      </c>
      <c r="P25" s="39">
        <f t="shared" si="2"/>
        <v>19</v>
      </c>
      <c r="Q25" s="40">
        <f t="shared" si="3"/>
        <v>5</v>
      </c>
      <c r="R25" s="7"/>
      <c r="S25" s="6"/>
      <c r="T25" s="16"/>
      <c r="U25" s="16"/>
      <c r="V25" s="206"/>
      <c r="W25" s="5">
        <v>5</v>
      </c>
      <c r="X25" s="16"/>
      <c r="Y25" s="16"/>
      <c r="Z25" s="16"/>
      <c r="AA25" s="18"/>
      <c r="AB25" s="8">
        <f t="shared" si="4"/>
        <v>1</v>
      </c>
      <c r="AC25" s="9">
        <f t="shared" si="5"/>
        <v>0.79166666666666663</v>
      </c>
      <c r="AD25" s="10">
        <f t="shared" si="6"/>
        <v>0.79166666666666663</v>
      </c>
      <c r="AE25" s="36">
        <f t="shared" si="7"/>
        <v>0.45833333333333331</v>
      </c>
      <c r="AF25" s="84">
        <f t="shared" si="8"/>
        <v>33</v>
      </c>
    </row>
    <row r="26" spans="1:32" ht="27" customHeight="1">
      <c r="A26" s="96">
        <v>34</v>
      </c>
      <c r="B26" s="11" t="s">
        <v>57</v>
      </c>
      <c r="C26" s="11" t="s">
        <v>116</v>
      </c>
      <c r="D26" s="52" t="s">
        <v>150</v>
      </c>
      <c r="E26" s="53" t="s">
        <v>165</v>
      </c>
      <c r="F26" s="12" t="s">
        <v>135</v>
      </c>
      <c r="G26" s="12">
        <v>4</v>
      </c>
      <c r="H26" s="35">
        <v>20</v>
      </c>
      <c r="I26" s="7">
        <v>240000</v>
      </c>
      <c r="J26" s="14">
        <v>25428</v>
      </c>
      <c r="K26" s="15">
        <f>L26+24768+29084+29040+29804+27780+4064+26996+28972</f>
        <v>225936</v>
      </c>
      <c r="L26" s="15">
        <f>3416*4+2941*4</f>
        <v>25428</v>
      </c>
      <c r="M26" s="15">
        <f t="shared" si="0"/>
        <v>25428</v>
      </c>
      <c r="N26" s="15">
        <v>0</v>
      </c>
      <c r="O26" s="58">
        <f t="shared" si="1"/>
        <v>0</v>
      </c>
      <c r="P26" s="39">
        <f t="shared" si="2"/>
        <v>24</v>
      </c>
      <c r="Q26" s="40">
        <f t="shared" si="3"/>
        <v>0</v>
      </c>
      <c r="R26" s="7"/>
      <c r="S26" s="6"/>
      <c r="T26" s="16"/>
      <c r="U26" s="16"/>
      <c r="V26" s="206"/>
      <c r="W26" s="5"/>
      <c r="X26" s="16"/>
      <c r="Y26" s="16"/>
      <c r="Z26" s="16"/>
      <c r="AA26" s="18"/>
      <c r="AB26" s="8">
        <f t="shared" si="4"/>
        <v>1</v>
      </c>
      <c r="AC26" s="9">
        <f t="shared" si="5"/>
        <v>1</v>
      </c>
      <c r="AD26" s="10">
        <f t="shared" si="6"/>
        <v>1</v>
      </c>
      <c r="AE26" s="36">
        <f t="shared" si="7"/>
        <v>0.45833333333333331</v>
      </c>
      <c r="AF26" s="84">
        <f t="shared" si="8"/>
        <v>34</v>
      </c>
    </row>
    <row r="27" spans="1:32" ht="27" customHeight="1">
      <c r="A27" s="96">
        <v>35</v>
      </c>
      <c r="B27" s="11" t="s">
        <v>57</v>
      </c>
      <c r="C27" s="11" t="s">
        <v>116</v>
      </c>
      <c r="D27" s="52" t="s">
        <v>123</v>
      </c>
      <c r="E27" s="53" t="s">
        <v>137</v>
      </c>
      <c r="F27" s="12" t="s">
        <v>135</v>
      </c>
      <c r="G27" s="12">
        <v>4</v>
      </c>
      <c r="H27" s="35">
        <v>20</v>
      </c>
      <c r="I27" s="7">
        <v>240000</v>
      </c>
      <c r="J27" s="14">
        <v>29420</v>
      </c>
      <c r="K27" s="15">
        <f>L27+25004+29968+31848+29672+31736+27000+29200</f>
        <v>233848</v>
      </c>
      <c r="L27" s="15">
        <f>3432*4+3923*4</f>
        <v>29420</v>
      </c>
      <c r="M27" s="15">
        <f t="shared" si="0"/>
        <v>29420</v>
      </c>
      <c r="N27" s="15">
        <v>0</v>
      </c>
      <c r="O27" s="58">
        <f t="shared" si="1"/>
        <v>0</v>
      </c>
      <c r="P27" s="39">
        <f t="shared" si="2"/>
        <v>24</v>
      </c>
      <c r="Q27" s="40">
        <f t="shared" si="3"/>
        <v>0</v>
      </c>
      <c r="R27" s="7"/>
      <c r="S27" s="6"/>
      <c r="T27" s="16"/>
      <c r="U27" s="16"/>
      <c r="V27" s="206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1</v>
      </c>
      <c r="AD27" s="10">
        <f t="shared" si="6"/>
        <v>1</v>
      </c>
      <c r="AE27" s="36">
        <f t="shared" si="7"/>
        <v>0.45833333333333331</v>
      </c>
      <c r="AF27" s="84">
        <f t="shared" si="8"/>
        <v>35</v>
      </c>
    </row>
    <row r="28" spans="1:32" ht="27" customHeight="1" thickBot="1">
      <c r="A28" s="96">
        <v>36</v>
      </c>
      <c r="B28" s="11" t="s">
        <v>57</v>
      </c>
      <c r="C28" s="11" t="s">
        <v>116</v>
      </c>
      <c r="D28" s="52" t="s">
        <v>115</v>
      </c>
      <c r="E28" s="53" t="s">
        <v>166</v>
      </c>
      <c r="F28" s="12" t="s">
        <v>122</v>
      </c>
      <c r="G28" s="12">
        <v>4</v>
      </c>
      <c r="H28" s="35">
        <v>20</v>
      </c>
      <c r="I28" s="7">
        <v>240000</v>
      </c>
      <c r="J28" s="14">
        <v>29132</v>
      </c>
      <c r="K28" s="15">
        <f>L28+22152+26340+20956+26812+26716+8020+25080+22728</f>
        <v>207936</v>
      </c>
      <c r="L28" s="15">
        <f>3349*4+3934*4</f>
        <v>29132</v>
      </c>
      <c r="M28" s="15">
        <f t="shared" si="0"/>
        <v>29132</v>
      </c>
      <c r="N28" s="15">
        <v>0</v>
      </c>
      <c r="O28" s="58">
        <f t="shared" si="1"/>
        <v>0</v>
      </c>
      <c r="P28" s="39">
        <f t="shared" si="2"/>
        <v>24</v>
      </c>
      <c r="Q28" s="40">
        <f t="shared" si="3"/>
        <v>0</v>
      </c>
      <c r="R28" s="7"/>
      <c r="S28" s="6"/>
      <c r="T28" s="16"/>
      <c r="U28" s="16"/>
      <c r="V28" s="206"/>
      <c r="W28" s="5"/>
      <c r="X28" s="16"/>
      <c r="Y28" s="16"/>
      <c r="Z28" s="16"/>
      <c r="AA28" s="18"/>
      <c r="AB28" s="8">
        <f t="shared" si="4"/>
        <v>1</v>
      </c>
      <c r="AC28" s="9">
        <f t="shared" si="5"/>
        <v>1</v>
      </c>
      <c r="AD28" s="10">
        <f t="shared" si="6"/>
        <v>1</v>
      </c>
      <c r="AE28" s="36">
        <f t="shared" si="7"/>
        <v>0.45833333333333331</v>
      </c>
      <c r="AF28" s="84">
        <f t="shared" si="8"/>
        <v>36</v>
      </c>
    </row>
    <row r="29" spans="1:32" ht="31.5" customHeight="1" thickBot="1">
      <c r="A29" s="464" t="s">
        <v>34</v>
      </c>
      <c r="B29" s="465"/>
      <c r="C29" s="465"/>
      <c r="D29" s="465"/>
      <c r="E29" s="465"/>
      <c r="F29" s="465"/>
      <c r="G29" s="465"/>
      <c r="H29" s="466"/>
      <c r="I29" s="22">
        <f t="shared" ref="I29:N29" si="18">SUM(I6:I28)</f>
        <v>3250700</v>
      </c>
      <c r="J29" s="19">
        <f t="shared" si="18"/>
        <v>348518</v>
      </c>
      <c r="K29" s="20">
        <f t="shared" si="18"/>
        <v>2553548</v>
      </c>
      <c r="L29" s="21">
        <f t="shared" si="18"/>
        <v>263319</v>
      </c>
      <c r="M29" s="20">
        <f t="shared" si="18"/>
        <v>263319</v>
      </c>
      <c r="N29" s="21">
        <f t="shared" si="18"/>
        <v>0</v>
      </c>
      <c r="O29" s="41">
        <f t="shared" si="1"/>
        <v>0</v>
      </c>
      <c r="P29" s="42">
        <f t="shared" ref="P29:AA29" si="19">SUM(P6:P28)</f>
        <v>253</v>
      </c>
      <c r="Q29" s="43">
        <f t="shared" si="19"/>
        <v>299</v>
      </c>
      <c r="R29" s="23">
        <f t="shared" si="19"/>
        <v>0</v>
      </c>
      <c r="S29" s="24">
        <f t="shared" si="19"/>
        <v>107</v>
      </c>
      <c r="T29" s="24">
        <f t="shared" si="19"/>
        <v>2</v>
      </c>
      <c r="U29" s="24">
        <f t="shared" si="19"/>
        <v>0</v>
      </c>
      <c r="V29" s="25">
        <f t="shared" si="19"/>
        <v>72</v>
      </c>
      <c r="W29" s="26">
        <f t="shared" si="19"/>
        <v>94</v>
      </c>
      <c r="X29" s="27">
        <f t="shared" si="19"/>
        <v>0</v>
      </c>
      <c r="Y29" s="27">
        <f t="shared" si="19"/>
        <v>0</v>
      </c>
      <c r="Z29" s="27">
        <f t="shared" si="19"/>
        <v>0</v>
      </c>
      <c r="AA29" s="27">
        <f t="shared" si="19"/>
        <v>24</v>
      </c>
      <c r="AB29" s="28">
        <f>AVERAGE(AB6:AB28)</f>
        <v>0.61904761904761907</v>
      </c>
      <c r="AC29" s="4">
        <f>AVERAGE(AC6:AC28)</f>
        <v>0.45833333333333331</v>
      </c>
      <c r="AD29" s="4">
        <f>AVERAGE(AD6:AD28)</f>
        <v>0.45833333333333331</v>
      </c>
      <c r="AE29" s="29"/>
    </row>
    <row r="30" spans="1:32">
      <c r="T30" s="50" t="s">
        <v>157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160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5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467" t="s">
        <v>45</v>
      </c>
      <c r="B56" s="467"/>
      <c r="C56" s="467"/>
      <c r="D56" s="467"/>
      <c r="E56" s="467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468" t="s">
        <v>282</v>
      </c>
      <c r="B57" s="469"/>
      <c r="C57" s="469"/>
      <c r="D57" s="469"/>
      <c r="E57" s="469"/>
      <c r="F57" s="469"/>
      <c r="G57" s="469"/>
      <c r="H57" s="469"/>
      <c r="I57" s="469"/>
      <c r="J57" s="469"/>
      <c r="K57" s="469"/>
      <c r="L57" s="469"/>
      <c r="M57" s="470"/>
      <c r="N57" s="471" t="s">
        <v>287</v>
      </c>
      <c r="O57" s="472"/>
      <c r="P57" s="472"/>
      <c r="Q57" s="472"/>
      <c r="R57" s="472"/>
      <c r="S57" s="472"/>
      <c r="T57" s="472"/>
      <c r="U57" s="472"/>
      <c r="V57" s="472"/>
      <c r="W57" s="472"/>
      <c r="X57" s="472"/>
      <c r="Y57" s="472"/>
      <c r="Z57" s="472"/>
      <c r="AA57" s="472"/>
      <c r="AB57" s="472"/>
      <c r="AC57" s="472"/>
      <c r="AD57" s="473"/>
    </row>
    <row r="58" spans="1:32" ht="27" customHeight="1">
      <c r="A58" s="474" t="s">
        <v>2</v>
      </c>
      <c r="B58" s="475"/>
      <c r="C58" s="194" t="s">
        <v>46</v>
      </c>
      <c r="D58" s="194" t="s">
        <v>47</v>
      </c>
      <c r="E58" s="194" t="s">
        <v>107</v>
      </c>
      <c r="F58" s="476" t="s">
        <v>106</v>
      </c>
      <c r="G58" s="477"/>
      <c r="H58" s="477"/>
      <c r="I58" s="477"/>
      <c r="J58" s="477"/>
      <c r="K58" s="477"/>
      <c r="L58" s="477"/>
      <c r="M58" s="478"/>
      <c r="N58" s="67" t="s">
        <v>110</v>
      </c>
      <c r="O58" s="194" t="s">
        <v>46</v>
      </c>
      <c r="P58" s="476" t="s">
        <v>47</v>
      </c>
      <c r="Q58" s="479"/>
      <c r="R58" s="476" t="s">
        <v>38</v>
      </c>
      <c r="S58" s="477"/>
      <c r="T58" s="477"/>
      <c r="U58" s="479"/>
      <c r="V58" s="476" t="s">
        <v>48</v>
      </c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490" t="s">
        <v>116</v>
      </c>
      <c r="B59" s="491"/>
      <c r="C59" s="196" t="s">
        <v>132</v>
      </c>
      <c r="D59" s="196" t="s">
        <v>130</v>
      </c>
      <c r="E59" s="196" t="s">
        <v>158</v>
      </c>
      <c r="F59" s="492" t="s">
        <v>283</v>
      </c>
      <c r="G59" s="493"/>
      <c r="H59" s="493"/>
      <c r="I59" s="493"/>
      <c r="J59" s="493"/>
      <c r="K59" s="493"/>
      <c r="L59" s="493"/>
      <c r="M59" s="494"/>
      <c r="N59" s="195" t="s">
        <v>241</v>
      </c>
      <c r="O59" s="202" t="s">
        <v>256</v>
      </c>
      <c r="P59" s="495"/>
      <c r="Q59" s="496"/>
      <c r="R59" s="495" t="s">
        <v>240</v>
      </c>
      <c r="S59" s="497"/>
      <c r="T59" s="497"/>
      <c r="U59" s="496"/>
      <c r="V59" s="498" t="s">
        <v>120</v>
      </c>
      <c r="W59" s="498"/>
      <c r="X59" s="498"/>
      <c r="Y59" s="498"/>
      <c r="Z59" s="498"/>
      <c r="AA59" s="498"/>
      <c r="AB59" s="498"/>
      <c r="AC59" s="498"/>
      <c r="AD59" s="499"/>
    </row>
    <row r="60" spans="1:32" ht="27" customHeight="1">
      <c r="A60" s="500" t="s">
        <v>241</v>
      </c>
      <c r="B60" s="501"/>
      <c r="C60" s="197" t="s">
        <v>129</v>
      </c>
      <c r="D60" s="197"/>
      <c r="E60" s="196" t="s">
        <v>275</v>
      </c>
      <c r="F60" s="492" t="s">
        <v>125</v>
      </c>
      <c r="G60" s="493"/>
      <c r="H60" s="493"/>
      <c r="I60" s="493"/>
      <c r="J60" s="493"/>
      <c r="K60" s="493"/>
      <c r="L60" s="493"/>
      <c r="M60" s="494"/>
      <c r="N60" s="195" t="s">
        <v>143</v>
      </c>
      <c r="O60" s="202" t="s">
        <v>259</v>
      </c>
      <c r="P60" s="495" t="s">
        <v>260</v>
      </c>
      <c r="Q60" s="496"/>
      <c r="R60" s="495" t="s">
        <v>258</v>
      </c>
      <c r="S60" s="497"/>
      <c r="T60" s="497"/>
      <c r="U60" s="496"/>
      <c r="V60" s="498" t="s">
        <v>120</v>
      </c>
      <c r="W60" s="498"/>
      <c r="X60" s="498"/>
      <c r="Y60" s="498"/>
      <c r="Z60" s="498"/>
      <c r="AA60" s="498"/>
      <c r="AB60" s="498"/>
      <c r="AC60" s="498"/>
      <c r="AD60" s="499"/>
    </row>
    <row r="61" spans="1:32" ht="27" customHeight="1">
      <c r="A61" s="500" t="s">
        <v>116</v>
      </c>
      <c r="B61" s="501"/>
      <c r="C61" s="197" t="s">
        <v>198</v>
      </c>
      <c r="D61" s="197" t="s">
        <v>173</v>
      </c>
      <c r="E61" s="196" t="s">
        <v>172</v>
      </c>
      <c r="F61" s="492" t="s">
        <v>284</v>
      </c>
      <c r="G61" s="493"/>
      <c r="H61" s="493"/>
      <c r="I61" s="493"/>
      <c r="J61" s="493"/>
      <c r="K61" s="493"/>
      <c r="L61" s="493"/>
      <c r="M61" s="494"/>
      <c r="N61" s="195" t="s">
        <v>112</v>
      </c>
      <c r="O61" s="202" t="s">
        <v>277</v>
      </c>
      <c r="P61" s="495" t="s">
        <v>142</v>
      </c>
      <c r="Q61" s="496"/>
      <c r="R61" s="495" t="s">
        <v>288</v>
      </c>
      <c r="S61" s="497"/>
      <c r="T61" s="497"/>
      <c r="U61" s="496"/>
      <c r="V61" s="498" t="s">
        <v>125</v>
      </c>
      <c r="W61" s="498"/>
      <c r="X61" s="498"/>
      <c r="Y61" s="498"/>
      <c r="Z61" s="498"/>
      <c r="AA61" s="498"/>
      <c r="AB61" s="498"/>
      <c r="AC61" s="498"/>
      <c r="AD61" s="499"/>
    </row>
    <row r="62" spans="1:32" ht="27" customHeight="1">
      <c r="A62" s="500" t="s">
        <v>143</v>
      </c>
      <c r="B62" s="501"/>
      <c r="C62" s="197" t="s">
        <v>259</v>
      </c>
      <c r="D62" s="197" t="s">
        <v>267</v>
      </c>
      <c r="E62" s="196" t="s">
        <v>258</v>
      </c>
      <c r="F62" s="492" t="s">
        <v>285</v>
      </c>
      <c r="G62" s="493"/>
      <c r="H62" s="493"/>
      <c r="I62" s="493"/>
      <c r="J62" s="493"/>
      <c r="K62" s="493"/>
      <c r="L62" s="493"/>
      <c r="M62" s="494"/>
      <c r="N62" s="195" t="s">
        <v>143</v>
      </c>
      <c r="O62" s="202" t="s">
        <v>193</v>
      </c>
      <c r="P62" s="495" t="s">
        <v>140</v>
      </c>
      <c r="Q62" s="496"/>
      <c r="R62" s="495" t="s">
        <v>174</v>
      </c>
      <c r="S62" s="497"/>
      <c r="T62" s="497"/>
      <c r="U62" s="496"/>
      <c r="V62" s="498" t="s">
        <v>238</v>
      </c>
      <c r="W62" s="498"/>
      <c r="X62" s="498"/>
      <c r="Y62" s="498"/>
      <c r="Z62" s="498"/>
      <c r="AA62" s="498"/>
      <c r="AB62" s="498"/>
      <c r="AC62" s="498"/>
      <c r="AD62" s="499"/>
    </row>
    <row r="63" spans="1:32" ht="27" customHeight="1">
      <c r="A63" s="500" t="s">
        <v>143</v>
      </c>
      <c r="B63" s="501"/>
      <c r="C63" s="197" t="s">
        <v>286</v>
      </c>
      <c r="D63" s="197" t="s">
        <v>123</v>
      </c>
      <c r="E63" s="196" t="s">
        <v>252</v>
      </c>
      <c r="F63" s="492" t="s">
        <v>125</v>
      </c>
      <c r="G63" s="493"/>
      <c r="H63" s="493"/>
      <c r="I63" s="493"/>
      <c r="J63" s="493"/>
      <c r="K63" s="493"/>
      <c r="L63" s="493"/>
      <c r="M63" s="494"/>
      <c r="N63" s="195" t="s">
        <v>116</v>
      </c>
      <c r="O63" s="202" t="s">
        <v>175</v>
      </c>
      <c r="P63" s="495" t="s">
        <v>150</v>
      </c>
      <c r="Q63" s="496"/>
      <c r="R63" s="495" t="s">
        <v>289</v>
      </c>
      <c r="S63" s="497"/>
      <c r="T63" s="497"/>
      <c r="U63" s="496"/>
      <c r="V63" s="498" t="s">
        <v>125</v>
      </c>
      <c r="W63" s="498"/>
      <c r="X63" s="498"/>
      <c r="Y63" s="498"/>
      <c r="Z63" s="498"/>
      <c r="AA63" s="498"/>
      <c r="AB63" s="498"/>
      <c r="AC63" s="498"/>
      <c r="AD63" s="499"/>
    </row>
    <row r="64" spans="1:32" ht="27" customHeight="1">
      <c r="A64" s="500" t="s">
        <v>112</v>
      </c>
      <c r="B64" s="501"/>
      <c r="C64" s="197" t="s">
        <v>277</v>
      </c>
      <c r="D64" s="197" t="s">
        <v>115</v>
      </c>
      <c r="E64" s="196" t="s">
        <v>276</v>
      </c>
      <c r="F64" s="492" t="s">
        <v>125</v>
      </c>
      <c r="G64" s="493"/>
      <c r="H64" s="493"/>
      <c r="I64" s="493"/>
      <c r="J64" s="493"/>
      <c r="K64" s="493"/>
      <c r="L64" s="493"/>
      <c r="M64" s="494"/>
      <c r="N64" s="195" t="s">
        <v>116</v>
      </c>
      <c r="O64" s="202" t="s">
        <v>175</v>
      </c>
      <c r="P64" s="495" t="s">
        <v>150</v>
      </c>
      <c r="Q64" s="496"/>
      <c r="R64" s="495" t="s">
        <v>290</v>
      </c>
      <c r="S64" s="497"/>
      <c r="T64" s="497"/>
      <c r="U64" s="496"/>
      <c r="V64" s="498" t="s">
        <v>125</v>
      </c>
      <c r="W64" s="498"/>
      <c r="X64" s="498"/>
      <c r="Y64" s="498"/>
      <c r="Z64" s="498"/>
      <c r="AA64" s="498"/>
      <c r="AB64" s="498"/>
      <c r="AC64" s="498"/>
      <c r="AD64" s="499"/>
    </row>
    <row r="65" spans="1:32" ht="27" customHeight="1">
      <c r="A65" s="490"/>
      <c r="B65" s="491"/>
      <c r="C65" s="196"/>
      <c r="D65" s="196"/>
      <c r="E65" s="196"/>
      <c r="F65" s="492"/>
      <c r="G65" s="493"/>
      <c r="H65" s="493"/>
      <c r="I65" s="493"/>
      <c r="J65" s="493"/>
      <c r="K65" s="493"/>
      <c r="L65" s="493"/>
      <c r="M65" s="494"/>
      <c r="N65" s="195" t="s">
        <v>116</v>
      </c>
      <c r="O65" s="202" t="s">
        <v>132</v>
      </c>
      <c r="P65" s="495" t="s">
        <v>130</v>
      </c>
      <c r="Q65" s="496"/>
      <c r="R65" s="495" t="s">
        <v>158</v>
      </c>
      <c r="S65" s="497"/>
      <c r="T65" s="497"/>
      <c r="U65" s="496"/>
      <c r="V65" s="498" t="s">
        <v>120</v>
      </c>
      <c r="W65" s="498"/>
      <c r="X65" s="498"/>
      <c r="Y65" s="498"/>
      <c r="Z65" s="498"/>
      <c r="AA65" s="498"/>
      <c r="AB65" s="498"/>
      <c r="AC65" s="498"/>
      <c r="AD65" s="499"/>
    </row>
    <row r="66" spans="1:32" ht="27" customHeight="1">
      <c r="A66" s="500"/>
      <c r="B66" s="501"/>
      <c r="C66" s="197"/>
      <c r="D66" s="197"/>
      <c r="E66" s="196"/>
      <c r="F66" s="492"/>
      <c r="G66" s="493"/>
      <c r="H66" s="493"/>
      <c r="I66" s="493"/>
      <c r="J66" s="493"/>
      <c r="K66" s="493"/>
      <c r="L66" s="493"/>
      <c r="M66" s="494"/>
      <c r="N66" s="195"/>
      <c r="O66" s="202"/>
      <c r="P66" s="495"/>
      <c r="Q66" s="496"/>
      <c r="R66" s="495"/>
      <c r="S66" s="497"/>
      <c r="T66" s="497"/>
      <c r="U66" s="496"/>
      <c r="V66" s="498"/>
      <c r="W66" s="498"/>
      <c r="X66" s="498"/>
      <c r="Y66" s="498"/>
      <c r="Z66" s="498"/>
      <c r="AA66" s="498"/>
      <c r="AB66" s="498"/>
      <c r="AC66" s="498"/>
      <c r="AD66" s="499"/>
    </row>
    <row r="67" spans="1:32" ht="27" customHeight="1">
      <c r="A67" s="500"/>
      <c r="B67" s="501"/>
      <c r="C67" s="197"/>
      <c r="D67" s="197"/>
      <c r="E67" s="196"/>
      <c r="F67" s="492"/>
      <c r="G67" s="493"/>
      <c r="H67" s="493"/>
      <c r="I67" s="493"/>
      <c r="J67" s="493"/>
      <c r="K67" s="493"/>
      <c r="L67" s="493"/>
      <c r="M67" s="494"/>
      <c r="N67" s="195"/>
      <c r="O67" s="202"/>
      <c r="P67" s="491"/>
      <c r="Q67" s="491"/>
      <c r="R67" s="491"/>
      <c r="S67" s="491"/>
      <c r="T67" s="491"/>
      <c r="U67" s="491"/>
      <c r="V67" s="498"/>
      <c r="W67" s="498"/>
      <c r="X67" s="498"/>
      <c r="Y67" s="498"/>
      <c r="Z67" s="498"/>
      <c r="AA67" s="498"/>
      <c r="AB67" s="498"/>
      <c r="AC67" s="498"/>
      <c r="AD67" s="499"/>
      <c r="AF67" s="84">
        <f>8*3000</f>
        <v>24000</v>
      </c>
    </row>
    <row r="68" spans="1:32" ht="27" customHeight="1" thickBot="1">
      <c r="A68" s="502"/>
      <c r="B68" s="503"/>
      <c r="C68" s="198"/>
      <c r="D68" s="199"/>
      <c r="E68" s="198"/>
      <c r="F68" s="504"/>
      <c r="G68" s="505"/>
      <c r="H68" s="505"/>
      <c r="I68" s="505"/>
      <c r="J68" s="505"/>
      <c r="K68" s="505"/>
      <c r="L68" s="505"/>
      <c r="M68" s="506"/>
      <c r="N68" s="111"/>
      <c r="O68" s="103"/>
      <c r="P68" s="507"/>
      <c r="Q68" s="507"/>
      <c r="R68" s="507"/>
      <c r="S68" s="507"/>
      <c r="T68" s="507"/>
      <c r="U68" s="507"/>
      <c r="V68" s="508"/>
      <c r="W68" s="508"/>
      <c r="X68" s="508"/>
      <c r="Y68" s="508"/>
      <c r="Z68" s="508"/>
      <c r="AA68" s="508"/>
      <c r="AB68" s="508"/>
      <c r="AC68" s="508"/>
      <c r="AD68" s="509"/>
      <c r="AF68" s="84">
        <f>16*3000</f>
        <v>48000</v>
      </c>
    </row>
    <row r="69" spans="1:32" ht="27.75" thickBot="1">
      <c r="A69" s="510" t="s">
        <v>291</v>
      </c>
      <c r="B69" s="510"/>
      <c r="C69" s="510"/>
      <c r="D69" s="510"/>
      <c r="E69" s="510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4">
        <v>24000</v>
      </c>
    </row>
    <row r="70" spans="1:32" ht="29.25" customHeight="1" thickBot="1">
      <c r="A70" s="511" t="s">
        <v>111</v>
      </c>
      <c r="B70" s="512"/>
      <c r="C70" s="200" t="s">
        <v>2</v>
      </c>
      <c r="D70" s="200" t="s">
        <v>37</v>
      </c>
      <c r="E70" s="200" t="s">
        <v>3</v>
      </c>
      <c r="F70" s="512" t="s">
        <v>109</v>
      </c>
      <c r="G70" s="512"/>
      <c r="H70" s="512"/>
      <c r="I70" s="512"/>
      <c r="J70" s="512"/>
      <c r="K70" s="512" t="s">
        <v>39</v>
      </c>
      <c r="L70" s="512"/>
      <c r="M70" s="200" t="s">
        <v>40</v>
      </c>
      <c r="N70" s="512" t="s">
        <v>41</v>
      </c>
      <c r="O70" s="512"/>
      <c r="P70" s="513" t="s">
        <v>42</v>
      </c>
      <c r="Q70" s="514"/>
      <c r="R70" s="513" t="s">
        <v>43</v>
      </c>
      <c r="S70" s="515"/>
      <c r="T70" s="515"/>
      <c r="U70" s="515"/>
      <c r="V70" s="515"/>
      <c r="W70" s="515"/>
      <c r="X70" s="515"/>
      <c r="Y70" s="515"/>
      <c r="Z70" s="515"/>
      <c r="AA70" s="514"/>
      <c r="AB70" s="512" t="s">
        <v>44</v>
      </c>
      <c r="AC70" s="512"/>
      <c r="AD70" s="516"/>
      <c r="AF70" s="84">
        <f>SUM(AF67:AF69)</f>
        <v>96000</v>
      </c>
    </row>
    <row r="71" spans="1:32" ht="25.5" customHeight="1">
      <c r="A71" s="517">
        <v>1</v>
      </c>
      <c r="B71" s="518"/>
      <c r="C71" s="104" t="s">
        <v>203</v>
      </c>
      <c r="D71" s="204"/>
      <c r="E71" s="201" t="s">
        <v>115</v>
      </c>
      <c r="F71" s="519" t="s">
        <v>244</v>
      </c>
      <c r="G71" s="520"/>
      <c r="H71" s="520"/>
      <c r="I71" s="520"/>
      <c r="J71" s="521"/>
      <c r="K71" s="522">
        <v>7301</v>
      </c>
      <c r="L71" s="522"/>
      <c r="M71" s="51" t="s">
        <v>205</v>
      </c>
      <c r="N71" s="523" t="s">
        <v>206</v>
      </c>
      <c r="O71" s="523"/>
      <c r="P71" s="524">
        <v>50</v>
      </c>
      <c r="Q71" s="524"/>
      <c r="R71" s="498"/>
      <c r="S71" s="498"/>
      <c r="T71" s="498"/>
      <c r="U71" s="498"/>
      <c r="V71" s="498"/>
      <c r="W71" s="498"/>
      <c r="X71" s="498"/>
      <c r="Y71" s="498"/>
      <c r="Z71" s="498"/>
      <c r="AA71" s="498"/>
      <c r="AB71" s="522"/>
      <c r="AC71" s="522"/>
      <c r="AD71" s="525"/>
      <c r="AF71" s="50"/>
    </row>
    <row r="72" spans="1:32" ht="25.5" customHeight="1">
      <c r="A72" s="517">
        <v>2</v>
      </c>
      <c r="B72" s="518"/>
      <c r="C72" s="104" t="s">
        <v>112</v>
      </c>
      <c r="D72" s="204"/>
      <c r="E72" s="201" t="s">
        <v>130</v>
      </c>
      <c r="F72" s="519" t="s">
        <v>292</v>
      </c>
      <c r="G72" s="520"/>
      <c r="H72" s="520"/>
      <c r="I72" s="520"/>
      <c r="J72" s="521"/>
      <c r="K72" s="522" t="s">
        <v>147</v>
      </c>
      <c r="L72" s="522"/>
      <c r="M72" s="51" t="s">
        <v>293</v>
      </c>
      <c r="N72" s="523" t="s">
        <v>169</v>
      </c>
      <c r="O72" s="523"/>
      <c r="P72" s="524">
        <v>100</v>
      </c>
      <c r="Q72" s="524"/>
      <c r="R72" s="498"/>
      <c r="S72" s="498"/>
      <c r="T72" s="498"/>
      <c r="U72" s="498"/>
      <c r="V72" s="498"/>
      <c r="W72" s="498"/>
      <c r="X72" s="498"/>
      <c r="Y72" s="498"/>
      <c r="Z72" s="498"/>
      <c r="AA72" s="498"/>
      <c r="AB72" s="522"/>
      <c r="AC72" s="522"/>
      <c r="AD72" s="525"/>
      <c r="AF72" s="50"/>
    </row>
    <row r="73" spans="1:32" ht="25.5" customHeight="1">
      <c r="A73" s="517">
        <v>3</v>
      </c>
      <c r="B73" s="518"/>
      <c r="C73" s="104" t="s">
        <v>203</v>
      </c>
      <c r="D73" s="204"/>
      <c r="E73" s="201" t="s">
        <v>115</v>
      </c>
      <c r="F73" s="519" t="s">
        <v>225</v>
      </c>
      <c r="G73" s="520"/>
      <c r="H73" s="520"/>
      <c r="I73" s="520"/>
      <c r="J73" s="521"/>
      <c r="K73" s="522" t="s">
        <v>227</v>
      </c>
      <c r="L73" s="522"/>
      <c r="M73" s="51" t="s">
        <v>296</v>
      </c>
      <c r="N73" s="523" t="s">
        <v>221</v>
      </c>
      <c r="O73" s="523"/>
      <c r="P73" s="524">
        <v>50</v>
      </c>
      <c r="Q73" s="524"/>
      <c r="R73" s="498"/>
      <c r="S73" s="498"/>
      <c r="T73" s="498"/>
      <c r="U73" s="498"/>
      <c r="V73" s="498"/>
      <c r="W73" s="498"/>
      <c r="X73" s="498"/>
      <c r="Y73" s="498"/>
      <c r="Z73" s="498"/>
      <c r="AA73" s="498"/>
      <c r="AB73" s="522"/>
      <c r="AC73" s="522"/>
      <c r="AD73" s="525"/>
      <c r="AF73" s="50"/>
    </row>
    <row r="74" spans="1:32" ht="25.5" customHeight="1">
      <c r="A74" s="517">
        <v>4</v>
      </c>
      <c r="B74" s="518"/>
      <c r="C74" s="104" t="s">
        <v>203</v>
      </c>
      <c r="D74" s="204"/>
      <c r="E74" s="201" t="s">
        <v>115</v>
      </c>
      <c r="F74" s="519" t="s">
        <v>226</v>
      </c>
      <c r="G74" s="520"/>
      <c r="H74" s="520"/>
      <c r="I74" s="520"/>
      <c r="J74" s="521"/>
      <c r="K74" s="522" t="s">
        <v>227</v>
      </c>
      <c r="L74" s="522"/>
      <c r="M74" s="51" t="s">
        <v>296</v>
      </c>
      <c r="N74" s="523" t="s">
        <v>221</v>
      </c>
      <c r="O74" s="523"/>
      <c r="P74" s="524">
        <v>50</v>
      </c>
      <c r="Q74" s="524"/>
      <c r="R74" s="498"/>
      <c r="S74" s="498"/>
      <c r="T74" s="498"/>
      <c r="U74" s="498"/>
      <c r="V74" s="498"/>
      <c r="W74" s="498"/>
      <c r="X74" s="498"/>
      <c r="Y74" s="498"/>
      <c r="Z74" s="498"/>
      <c r="AA74" s="498"/>
      <c r="AB74" s="522"/>
      <c r="AC74" s="522"/>
      <c r="AD74" s="525"/>
      <c r="AF74" s="50"/>
    </row>
    <row r="75" spans="1:32" ht="25.5" customHeight="1">
      <c r="A75" s="517">
        <v>5</v>
      </c>
      <c r="B75" s="518"/>
      <c r="C75" s="104" t="s">
        <v>112</v>
      </c>
      <c r="D75" s="204"/>
      <c r="E75" s="201" t="s">
        <v>115</v>
      </c>
      <c r="F75" s="519" t="s">
        <v>294</v>
      </c>
      <c r="G75" s="520"/>
      <c r="H75" s="520"/>
      <c r="I75" s="520"/>
      <c r="J75" s="521"/>
      <c r="K75" s="522" t="s">
        <v>227</v>
      </c>
      <c r="L75" s="522"/>
      <c r="M75" s="51" t="s">
        <v>205</v>
      </c>
      <c r="N75" s="523" t="s">
        <v>221</v>
      </c>
      <c r="O75" s="523"/>
      <c r="P75" s="524"/>
      <c r="Q75" s="524"/>
      <c r="R75" s="498" t="s">
        <v>297</v>
      </c>
      <c r="S75" s="498"/>
      <c r="T75" s="498"/>
      <c r="U75" s="498"/>
      <c r="V75" s="498"/>
      <c r="W75" s="498"/>
      <c r="X75" s="498"/>
      <c r="Y75" s="498"/>
      <c r="Z75" s="498"/>
      <c r="AA75" s="498"/>
      <c r="AB75" s="522"/>
      <c r="AC75" s="522"/>
      <c r="AD75" s="525"/>
      <c r="AF75" s="50"/>
    </row>
    <row r="76" spans="1:32" ht="25.5" customHeight="1">
      <c r="A76" s="517">
        <v>6</v>
      </c>
      <c r="B76" s="518"/>
      <c r="C76" s="104" t="s">
        <v>112</v>
      </c>
      <c r="D76" s="204"/>
      <c r="E76" s="201" t="s">
        <v>115</v>
      </c>
      <c r="F76" s="519" t="s">
        <v>295</v>
      </c>
      <c r="G76" s="520"/>
      <c r="H76" s="520"/>
      <c r="I76" s="520"/>
      <c r="J76" s="521"/>
      <c r="K76" s="522" t="s">
        <v>227</v>
      </c>
      <c r="L76" s="522"/>
      <c r="M76" s="51" t="s">
        <v>205</v>
      </c>
      <c r="N76" s="523" t="s">
        <v>221</v>
      </c>
      <c r="O76" s="523"/>
      <c r="P76" s="524">
        <v>50</v>
      </c>
      <c r="Q76" s="524"/>
      <c r="R76" s="498"/>
      <c r="S76" s="498"/>
      <c r="T76" s="498"/>
      <c r="U76" s="498"/>
      <c r="V76" s="498"/>
      <c r="W76" s="498"/>
      <c r="X76" s="498"/>
      <c r="Y76" s="498"/>
      <c r="Z76" s="498"/>
      <c r="AA76" s="498"/>
      <c r="AB76" s="522"/>
      <c r="AC76" s="522"/>
      <c r="AD76" s="525"/>
      <c r="AF76" s="50"/>
    </row>
    <row r="77" spans="1:32" ht="25.5" customHeight="1">
      <c r="A77" s="517">
        <v>7</v>
      </c>
      <c r="B77" s="518"/>
      <c r="C77" s="104"/>
      <c r="D77" s="204"/>
      <c r="E77" s="201"/>
      <c r="F77" s="519"/>
      <c r="G77" s="520"/>
      <c r="H77" s="520"/>
      <c r="I77" s="520"/>
      <c r="J77" s="521"/>
      <c r="K77" s="522"/>
      <c r="L77" s="522"/>
      <c r="M77" s="51"/>
      <c r="N77" s="523"/>
      <c r="O77" s="523"/>
      <c r="P77" s="524"/>
      <c r="Q77" s="524"/>
      <c r="R77" s="498"/>
      <c r="S77" s="498"/>
      <c r="T77" s="498"/>
      <c r="U77" s="498"/>
      <c r="V77" s="498"/>
      <c r="W77" s="498"/>
      <c r="X77" s="498"/>
      <c r="Y77" s="498"/>
      <c r="Z77" s="498"/>
      <c r="AA77" s="498"/>
      <c r="AB77" s="522"/>
      <c r="AC77" s="522"/>
      <c r="AD77" s="525"/>
      <c r="AF77" s="50"/>
    </row>
    <row r="78" spans="1:32" ht="25.5" customHeight="1">
      <c r="A78" s="517">
        <v>8</v>
      </c>
      <c r="B78" s="518"/>
      <c r="C78" s="104"/>
      <c r="D78" s="204"/>
      <c r="E78" s="201"/>
      <c r="F78" s="526"/>
      <c r="G78" s="522"/>
      <c r="H78" s="522"/>
      <c r="I78" s="522"/>
      <c r="J78" s="522"/>
      <c r="K78" s="522"/>
      <c r="L78" s="522"/>
      <c r="M78" s="51"/>
      <c r="N78" s="523"/>
      <c r="O78" s="523"/>
      <c r="P78" s="524"/>
      <c r="Q78" s="524"/>
      <c r="R78" s="498"/>
      <c r="S78" s="498"/>
      <c r="T78" s="498"/>
      <c r="U78" s="498"/>
      <c r="V78" s="498"/>
      <c r="W78" s="498"/>
      <c r="X78" s="498"/>
      <c r="Y78" s="498"/>
      <c r="Z78" s="498"/>
      <c r="AA78" s="498"/>
      <c r="AB78" s="522"/>
      <c r="AC78" s="522"/>
      <c r="AD78" s="525"/>
      <c r="AF78" s="50"/>
    </row>
    <row r="79" spans="1:32" ht="25.5" customHeight="1">
      <c r="A79" s="517">
        <v>9</v>
      </c>
      <c r="B79" s="518"/>
      <c r="C79" s="104"/>
      <c r="D79" s="204"/>
      <c r="E79" s="201"/>
      <c r="F79" s="526"/>
      <c r="G79" s="522"/>
      <c r="H79" s="522"/>
      <c r="I79" s="522"/>
      <c r="J79" s="522"/>
      <c r="K79" s="522"/>
      <c r="L79" s="522"/>
      <c r="M79" s="51"/>
      <c r="N79" s="523"/>
      <c r="O79" s="523"/>
      <c r="P79" s="524"/>
      <c r="Q79" s="524"/>
      <c r="R79" s="498"/>
      <c r="S79" s="498"/>
      <c r="T79" s="498"/>
      <c r="U79" s="498"/>
      <c r="V79" s="498"/>
      <c r="W79" s="498"/>
      <c r="X79" s="498"/>
      <c r="Y79" s="498"/>
      <c r="Z79" s="498"/>
      <c r="AA79" s="498"/>
      <c r="AB79" s="522"/>
      <c r="AC79" s="522"/>
      <c r="AD79" s="525"/>
      <c r="AF79" s="50"/>
    </row>
    <row r="80" spans="1:32" ht="25.5" customHeight="1">
      <c r="A80" s="517">
        <v>10</v>
      </c>
      <c r="B80" s="518"/>
      <c r="C80" s="104"/>
      <c r="D80" s="204"/>
      <c r="E80" s="201"/>
      <c r="F80" s="526"/>
      <c r="G80" s="522"/>
      <c r="H80" s="522"/>
      <c r="I80" s="522"/>
      <c r="J80" s="522"/>
      <c r="K80" s="522"/>
      <c r="L80" s="522"/>
      <c r="M80" s="51"/>
      <c r="N80" s="523"/>
      <c r="O80" s="523"/>
      <c r="P80" s="524"/>
      <c r="Q80" s="524"/>
      <c r="R80" s="498"/>
      <c r="S80" s="498"/>
      <c r="T80" s="498"/>
      <c r="U80" s="498"/>
      <c r="V80" s="498"/>
      <c r="W80" s="498"/>
      <c r="X80" s="498"/>
      <c r="Y80" s="498"/>
      <c r="Z80" s="498"/>
      <c r="AA80" s="498"/>
      <c r="AB80" s="522"/>
      <c r="AC80" s="522"/>
      <c r="AD80" s="525"/>
      <c r="AF80" s="50"/>
    </row>
    <row r="81" spans="1:32" ht="26.25" customHeight="1" thickBot="1">
      <c r="A81" s="527" t="s">
        <v>298</v>
      </c>
      <c r="B81" s="527"/>
      <c r="C81" s="527"/>
      <c r="D81" s="527"/>
      <c r="E81" s="527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528" t="s">
        <v>111</v>
      </c>
      <c r="B82" s="529"/>
      <c r="C82" s="203" t="s">
        <v>2</v>
      </c>
      <c r="D82" s="203" t="s">
        <v>37</v>
      </c>
      <c r="E82" s="203" t="s">
        <v>121</v>
      </c>
      <c r="F82" s="530" t="s">
        <v>38</v>
      </c>
      <c r="G82" s="530"/>
      <c r="H82" s="530"/>
      <c r="I82" s="530"/>
      <c r="J82" s="530"/>
      <c r="K82" s="531" t="s">
        <v>58</v>
      </c>
      <c r="L82" s="532"/>
      <c r="M82" s="532"/>
      <c r="N82" s="532"/>
      <c r="O82" s="532"/>
      <c r="P82" s="532"/>
      <c r="Q82" s="532"/>
      <c r="R82" s="532"/>
      <c r="S82" s="533"/>
      <c r="T82" s="530" t="s">
        <v>49</v>
      </c>
      <c r="U82" s="530"/>
      <c r="V82" s="531" t="s">
        <v>50</v>
      </c>
      <c r="W82" s="533"/>
      <c r="X82" s="532" t="s">
        <v>51</v>
      </c>
      <c r="Y82" s="532"/>
      <c r="Z82" s="532"/>
      <c r="AA82" s="532"/>
      <c r="AB82" s="532"/>
      <c r="AC82" s="532"/>
      <c r="AD82" s="534"/>
      <c r="AF82" s="50"/>
    </row>
    <row r="83" spans="1:32" ht="33.75" customHeight="1">
      <c r="A83" s="543">
        <v>1</v>
      </c>
      <c r="B83" s="544"/>
      <c r="C83" s="205"/>
      <c r="D83" s="205"/>
      <c r="E83" s="65"/>
      <c r="F83" s="545"/>
      <c r="G83" s="546"/>
      <c r="H83" s="546"/>
      <c r="I83" s="546"/>
      <c r="J83" s="547"/>
      <c r="K83" s="548"/>
      <c r="L83" s="549"/>
      <c r="M83" s="549"/>
      <c r="N83" s="549"/>
      <c r="O83" s="549"/>
      <c r="P83" s="549"/>
      <c r="Q83" s="549"/>
      <c r="R83" s="549"/>
      <c r="S83" s="550"/>
      <c r="T83" s="551"/>
      <c r="U83" s="552"/>
      <c r="V83" s="553"/>
      <c r="W83" s="553"/>
      <c r="X83" s="554"/>
      <c r="Y83" s="554"/>
      <c r="Z83" s="554"/>
      <c r="AA83" s="554"/>
      <c r="AB83" s="554"/>
      <c r="AC83" s="554"/>
      <c r="AD83" s="555"/>
      <c r="AF83" s="50"/>
    </row>
    <row r="84" spans="1:32" ht="30" customHeight="1">
      <c r="A84" s="535">
        <f>A83+1</f>
        <v>2</v>
      </c>
      <c r="B84" s="536"/>
      <c r="C84" s="204"/>
      <c r="D84" s="204"/>
      <c r="E84" s="32"/>
      <c r="F84" s="536"/>
      <c r="G84" s="536"/>
      <c r="H84" s="536"/>
      <c r="I84" s="536"/>
      <c r="J84" s="536"/>
      <c r="K84" s="537"/>
      <c r="L84" s="538"/>
      <c r="M84" s="538"/>
      <c r="N84" s="538"/>
      <c r="O84" s="538"/>
      <c r="P84" s="538"/>
      <c r="Q84" s="538"/>
      <c r="R84" s="538"/>
      <c r="S84" s="539"/>
      <c r="T84" s="540"/>
      <c r="U84" s="540"/>
      <c r="V84" s="540"/>
      <c r="W84" s="540"/>
      <c r="X84" s="541"/>
      <c r="Y84" s="541"/>
      <c r="Z84" s="541"/>
      <c r="AA84" s="541"/>
      <c r="AB84" s="541"/>
      <c r="AC84" s="541"/>
      <c r="AD84" s="542"/>
      <c r="AF84" s="50"/>
    </row>
    <row r="85" spans="1:32" ht="30" customHeight="1">
      <c r="A85" s="535">
        <f t="shared" ref="A85:A89" si="20">A84+1</f>
        <v>3</v>
      </c>
      <c r="B85" s="536"/>
      <c r="C85" s="204"/>
      <c r="D85" s="204"/>
      <c r="E85" s="32"/>
      <c r="F85" s="536"/>
      <c r="G85" s="536"/>
      <c r="H85" s="536"/>
      <c r="I85" s="536"/>
      <c r="J85" s="536"/>
      <c r="K85" s="537"/>
      <c r="L85" s="538"/>
      <c r="M85" s="538"/>
      <c r="N85" s="538"/>
      <c r="O85" s="538"/>
      <c r="P85" s="538"/>
      <c r="Q85" s="538"/>
      <c r="R85" s="538"/>
      <c r="S85" s="539"/>
      <c r="T85" s="540"/>
      <c r="U85" s="540"/>
      <c r="V85" s="540"/>
      <c r="W85" s="540"/>
      <c r="X85" s="541"/>
      <c r="Y85" s="541"/>
      <c r="Z85" s="541"/>
      <c r="AA85" s="541"/>
      <c r="AB85" s="541"/>
      <c r="AC85" s="541"/>
      <c r="AD85" s="542"/>
      <c r="AF85" s="50"/>
    </row>
    <row r="86" spans="1:32" ht="30" customHeight="1">
      <c r="A86" s="535">
        <f t="shared" si="20"/>
        <v>4</v>
      </c>
      <c r="B86" s="536"/>
      <c r="C86" s="204"/>
      <c r="D86" s="204"/>
      <c r="E86" s="32"/>
      <c r="F86" s="536"/>
      <c r="G86" s="536"/>
      <c r="H86" s="536"/>
      <c r="I86" s="536"/>
      <c r="J86" s="536"/>
      <c r="K86" s="537"/>
      <c r="L86" s="538"/>
      <c r="M86" s="538"/>
      <c r="N86" s="538"/>
      <c r="O86" s="538"/>
      <c r="P86" s="538"/>
      <c r="Q86" s="538"/>
      <c r="R86" s="538"/>
      <c r="S86" s="539"/>
      <c r="T86" s="540"/>
      <c r="U86" s="540"/>
      <c r="V86" s="540"/>
      <c r="W86" s="540"/>
      <c r="X86" s="541"/>
      <c r="Y86" s="541"/>
      <c r="Z86" s="541"/>
      <c r="AA86" s="541"/>
      <c r="AB86" s="541"/>
      <c r="AC86" s="541"/>
      <c r="AD86" s="542"/>
      <c r="AF86" s="50"/>
    </row>
    <row r="87" spans="1:32" ht="30" customHeight="1">
      <c r="A87" s="535">
        <f t="shared" si="20"/>
        <v>5</v>
      </c>
      <c r="B87" s="536"/>
      <c r="C87" s="204"/>
      <c r="D87" s="204"/>
      <c r="E87" s="32"/>
      <c r="F87" s="536"/>
      <c r="G87" s="536"/>
      <c r="H87" s="536"/>
      <c r="I87" s="536"/>
      <c r="J87" s="536"/>
      <c r="K87" s="537"/>
      <c r="L87" s="538"/>
      <c r="M87" s="538"/>
      <c r="N87" s="538"/>
      <c r="O87" s="538"/>
      <c r="P87" s="538"/>
      <c r="Q87" s="538"/>
      <c r="R87" s="538"/>
      <c r="S87" s="539"/>
      <c r="T87" s="540"/>
      <c r="U87" s="540"/>
      <c r="V87" s="540"/>
      <c r="W87" s="540"/>
      <c r="X87" s="541"/>
      <c r="Y87" s="541"/>
      <c r="Z87" s="541"/>
      <c r="AA87" s="541"/>
      <c r="AB87" s="541"/>
      <c r="AC87" s="541"/>
      <c r="AD87" s="542"/>
      <c r="AF87" s="50"/>
    </row>
    <row r="88" spans="1:32" ht="30" customHeight="1">
      <c r="A88" s="535">
        <f t="shared" si="20"/>
        <v>6</v>
      </c>
      <c r="B88" s="536"/>
      <c r="C88" s="204"/>
      <c r="D88" s="204"/>
      <c r="E88" s="32"/>
      <c r="F88" s="536"/>
      <c r="G88" s="536"/>
      <c r="H88" s="536"/>
      <c r="I88" s="536"/>
      <c r="J88" s="536"/>
      <c r="K88" s="537"/>
      <c r="L88" s="538"/>
      <c r="M88" s="538"/>
      <c r="N88" s="538"/>
      <c r="O88" s="538"/>
      <c r="P88" s="538"/>
      <c r="Q88" s="538"/>
      <c r="R88" s="538"/>
      <c r="S88" s="539"/>
      <c r="T88" s="540"/>
      <c r="U88" s="540"/>
      <c r="V88" s="540"/>
      <c r="W88" s="540"/>
      <c r="X88" s="541"/>
      <c r="Y88" s="541"/>
      <c r="Z88" s="541"/>
      <c r="AA88" s="541"/>
      <c r="AB88" s="541"/>
      <c r="AC88" s="541"/>
      <c r="AD88" s="542"/>
      <c r="AF88" s="50"/>
    </row>
    <row r="89" spans="1:32" ht="30" customHeight="1">
      <c r="A89" s="535">
        <f t="shared" si="20"/>
        <v>7</v>
      </c>
      <c r="B89" s="536"/>
      <c r="C89" s="204"/>
      <c r="D89" s="204"/>
      <c r="E89" s="32"/>
      <c r="F89" s="536"/>
      <c r="G89" s="536"/>
      <c r="H89" s="536"/>
      <c r="I89" s="536"/>
      <c r="J89" s="536"/>
      <c r="K89" s="537"/>
      <c r="L89" s="538"/>
      <c r="M89" s="538"/>
      <c r="N89" s="538"/>
      <c r="O89" s="538"/>
      <c r="P89" s="538"/>
      <c r="Q89" s="538"/>
      <c r="R89" s="538"/>
      <c r="S89" s="539"/>
      <c r="T89" s="540"/>
      <c r="U89" s="540"/>
      <c r="V89" s="540"/>
      <c r="W89" s="540"/>
      <c r="X89" s="541"/>
      <c r="Y89" s="541"/>
      <c r="Z89" s="541"/>
      <c r="AA89" s="541"/>
      <c r="AB89" s="541"/>
      <c r="AC89" s="541"/>
      <c r="AD89" s="542"/>
      <c r="AF89" s="50"/>
    </row>
    <row r="90" spans="1:32" ht="36" thickBot="1">
      <c r="A90" s="527" t="s">
        <v>299</v>
      </c>
      <c r="B90" s="527"/>
      <c r="C90" s="527"/>
      <c r="D90" s="527"/>
      <c r="E90" s="527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556" t="s">
        <v>111</v>
      </c>
      <c r="B91" s="530"/>
      <c r="C91" s="557" t="s">
        <v>52</v>
      </c>
      <c r="D91" s="557"/>
      <c r="E91" s="557" t="s">
        <v>53</v>
      </c>
      <c r="F91" s="557"/>
      <c r="G91" s="557"/>
      <c r="H91" s="557"/>
      <c r="I91" s="557"/>
      <c r="J91" s="557"/>
      <c r="K91" s="557" t="s">
        <v>54</v>
      </c>
      <c r="L91" s="557"/>
      <c r="M91" s="557"/>
      <c r="N91" s="557"/>
      <c r="O91" s="557"/>
      <c r="P91" s="557"/>
      <c r="Q91" s="557"/>
      <c r="R91" s="557"/>
      <c r="S91" s="557"/>
      <c r="T91" s="557" t="s">
        <v>55</v>
      </c>
      <c r="U91" s="557"/>
      <c r="V91" s="557" t="s">
        <v>56</v>
      </c>
      <c r="W91" s="557"/>
      <c r="X91" s="557"/>
      <c r="Y91" s="557" t="s">
        <v>51</v>
      </c>
      <c r="Z91" s="557"/>
      <c r="AA91" s="557"/>
      <c r="AB91" s="557"/>
      <c r="AC91" s="557"/>
      <c r="AD91" s="558"/>
      <c r="AF91" s="50"/>
    </row>
    <row r="92" spans="1:32" ht="30.75" customHeight="1">
      <c r="A92" s="543">
        <v>1</v>
      </c>
      <c r="B92" s="544"/>
      <c r="C92" s="559">
        <v>9</v>
      </c>
      <c r="D92" s="559"/>
      <c r="E92" s="559" t="s">
        <v>127</v>
      </c>
      <c r="F92" s="559"/>
      <c r="G92" s="559"/>
      <c r="H92" s="559"/>
      <c r="I92" s="559"/>
      <c r="J92" s="559"/>
      <c r="K92" s="559" t="s">
        <v>136</v>
      </c>
      <c r="L92" s="559"/>
      <c r="M92" s="559"/>
      <c r="N92" s="559"/>
      <c r="O92" s="559"/>
      <c r="P92" s="559"/>
      <c r="Q92" s="559"/>
      <c r="R92" s="559"/>
      <c r="S92" s="559"/>
      <c r="T92" s="559" t="s">
        <v>128</v>
      </c>
      <c r="U92" s="559"/>
      <c r="V92" s="560" t="s">
        <v>133</v>
      </c>
      <c r="W92" s="560"/>
      <c r="X92" s="560"/>
      <c r="Y92" s="561"/>
      <c r="Z92" s="561"/>
      <c r="AA92" s="561"/>
      <c r="AB92" s="561"/>
      <c r="AC92" s="561"/>
      <c r="AD92" s="562"/>
      <c r="AF92" s="50"/>
    </row>
    <row r="93" spans="1:32" ht="30.75" customHeight="1">
      <c r="A93" s="535">
        <v>2</v>
      </c>
      <c r="B93" s="536"/>
      <c r="C93" s="570"/>
      <c r="D93" s="570"/>
      <c r="E93" s="570"/>
      <c r="F93" s="570"/>
      <c r="G93" s="570"/>
      <c r="H93" s="570"/>
      <c r="I93" s="570"/>
      <c r="J93" s="570"/>
      <c r="K93" s="570"/>
      <c r="L93" s="570"/>
      <c r="M93" s="570"/>
      <c r="N93" s="570"/>
      <c r="O93" s="570"/>
      <c r="P93" s="570"/>
      <c r="Q93" s="570"/>
      <c r="R93" s="570"/>
      <c r="S93" s="570"/>
      <c r="T93" s="571"/>
      <c r="U93" s="571"/>
      <c r="V93" s="572"/>
      <c r="W93" s="572"/>
      <c r="X93" s="572"/>
      <c r="Y93" s="563"/>
      <c r="Z93" s="563"/>
      <c r="AA93" s="563"/>
      <c r="AB93" s="563"/>
      <c r="AC93" s="563"/>
      <c r="AD93" s="564"/>
      <c r="AF93" s="50"/>
    </row>
    <row r="94" spans="1:32" ht="30.75" customHeight="1" thickBot="1">
      <c r="A94" s="565">
        <v>3</v>
      </c>
      <c r="B94" s="566"/>
      <c r="C94" s="567"/>
      <c r="D94" s="567"/>
      <c r="E94" s="567"/>
      <c r="F94" s="567"/>
      <c r="G94" s="567"/>
      <c r="H94" s="567"/>
      <c r="I94" s="567"/>
      <c r="J94" s="567"/>
      <c r="K94" s="567"/>
      <c r="L94" s="567"/>
      <c r="M94" s="567"/>
      <c r="N94" s="567"/>
      <c r="O94" s="567"/>
      <c r="P94" s="567"/>
      <c r="Q94" s="567"/>
      <c r="R94" s="567"/>
      <c r="S94" s="567"/>
      <c r="T94" s="567"/>
      <c r="U94" s="567"/>
      <c r="V94" s="573"/>
      <c r="W94" s="573"/>
      <c r="X94" s="573"/>
      <c r="Y94" s="568"/>
      <c r="Z94" s="568"/>
      <c r="AA94" s="568"/>
      <c r="AB94" s="568"/>
      <c r="AC94" s="568"/>
      <c r="AD94" s="569"/>
      <c r="AF94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4" max="2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699C-0BFD-4869-934C-A6EB6181722D}">
  <dimension ref="A1:AF94"/>
  <sheetViews>
    <sheetView view="pageBreakPreview" topLeftCell="A58" zoomScale="70" zoomScaleNormal="72" zoomScaleSheetLayoutView="70" workbookViewId="0">
      <selection activeCell="C73" sqref="C73:Q7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50" t="s">
        <v>300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1"/>
      <c r="B3" s="451"/>
      <c r="C3" s="451"/>
      <c r="D3" s="451"/>
      <c r="E3" s="451"/>
      <c r="F3" s="451"/>
      <c r="G3" s="45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52" t="s">
        <v>0</v>
      </c>
      <c r="B4" s="454" t="s">
        <v>1</v>
      </c>
      <c r="C4" s="454" t="s">
        <v>2</v>
      </c>
      <c r="D4" s="457" t="s">
        <v>3</v>
      </c>
      <c r="E4" s="459" t="s">
        <v>4</v>
      </c>
      <c r="F4" s="457" t="s">
        <v>5</v>
      </c>
      <c r="G4" s="454" t="s">
        <v>6</v>
      </c>
      <c r="H4" s="460" t="s">
        <v>7</v>
      </c>
      <c r="I4" s="480" t="s">
        <v>8</v>
      </c>
      <c r="J4" s="481"/>
      <c r="K4" s="481"/>
      <c r="L4" s="481"/>
      <c r="M4" s="481"/>
      <c r="N4" s="481"/>
      <c r="O4" s="482"/>
      <c r="P4" s="483" t="s">
        <v>9</v>
      </c>
      <c r="Q4" s="484"/>
      <c r="R4" s="486" t="s">
        <v>10</v>
      </c>
      <c r="S4" s="485"/>
      <c r="T4" s="485"/>
      <c r="U4" s="485"/>
      <c r="V4" s="487"/>
      <c r="W4" s="485" t="s">
        <v>11</v>
      </c>
      <c r="X4" s="485"/>
      <c r="Y4" s="485"/>
      <c r="Z4" s="485"/>
      <c r="AA4" s="487"/>
      <c r="AB4" s="488" t="s">
        <v>12</v>
      </c>
      <c r="AC4" s="462" t="s">
        <v>13</v>
      </c>
      <c r="AD4" s="462" t="s">
        <v>14</v>
      </c>
      <c r="AE4" s="54"/>
    </row>
    <row r="5" spans="1:32" ht="51" customHeight="1" thickBot="1">
      <c r="A5" s="453"/>
      <c r="B5" s="455"/>
      <c r="C5" s="456"/>
      <c r="D5" s="458"/>
      <c r="E5" s="458"/>
      <c r="F5" s="458"/>
      <c r="G5" s="455"/>
      <c r="H5" s="461"/>
      <c r="I5" s="55" t="s">
        <v>15</v>
      </c>
      <c r="J5" s="56" t="s">
        <v>16</v>
      </c>
      <c r="K5" s="219" t="s">
        <v>17</v>
      </c>
      <c r="L5" s="219" t="s">
        <v>18</v>
      </c>
      <c r="M5" s="219" t="s">
        <v>19</v>
      </c>
      <c r="N5" s="21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89"/>
      <c r="AC5" s="463"/>
      <c r="AD5" s="463"/>
      <c r="AE5" s="54"/>
    </row>
    <row r="6" spans="1:32" ht="27" customHeight="1">
      <c r="A6" s="112">
        <v>1</v>
      </c>
      <c r="B6" s="11" t="s">
        <v>57</v>
      </c>
      <c r="C6" s="34" t="s">
        <v>116</v>
      </c>
      <c r="D6" s="52" t="s">
        <v>130</v>
      </c>
      <c r="E6" s="53" t="s">
        <v>158</v>
      </c>
      <c r="F6" s="30" t="s">
        <v>146</v>
      </c>
      <c r="G6" s="12">
        <v>2</v>
      </c>
      <c r="H6" s="13">
        <v>24</v>
      </c>
      <c r="I6" s="31">
        <v>174000</v>
      </c>
      <c r="J6" s="14">
        <v>11916</v>
      </c>
      <c r="K6" s="15">
        <f>L6+2384+8412+9776+8821+8774+10138+6972+8852+4388</f>
        <v>80433</v>
      </c>
      <c r="L6" s="15">
        <f>3262*2+2696*2</f>
        <v>11916</v>
      </c>
      <c r="M6" s="15">
        <f t="shared" ref="M6:M28" si="0">L6-N6</f>
        <v>11916</v>
      </c>
      <c r="N6" s="15">
        <v>0</v>
      </c>
      <c r="O6" s="58">
        <f t="shared" ref="O6:O29" si="1">IF(L6=0,"0",N6/L6)</f>
        <v>0</v>
      </c>
      <c r="P6" s="39">
        <f t="shared" ref="P6:P28" si="2">IF(L6=0,"0",(24-Q6))</f>
        <v>24</v>
      </c>
      <c r="Q6" s="40">
        <f t="shared" ref="Q6:Q28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8" si="4">IF(J6=0,"0",(L6/J6))</f>
        <v>1</v>
      </c>
      <c r="AC6" s="9">
        <f t="shared" ref="AC6:AC28" si="5">IF(P6=0,"0",(P6/24))</f>
        <v>1</v>
      </c>
      <c r="AD6" s="10">
        <f t="shared" ref="AD6:AD28" si="6">AC6*AB6*(1-O6)</f>
        <v>1</v>
      </c>
      <c r="AE6" s="36">
        <f t="shared" ref="AE6:AE28" si="7">$AD$29</f>
        <v>0.47282608695652173</v>
      </c>
      <c r="AF6" s="84">
        <f t="shared" ref="AF6:AF28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148</v>
      </c>
      <c r="E7" s="53" t="s">
        <v>149</v>
      </c>
      <c r="F7" s="30" t="s">
        <v>147</v>
      </c>
      <c r="G7" s="12">
        <v>1</v>
      </c>
      <c r="H7" s="13">
        <v>24</v>
      </c>
      <c r="I7" s="31">
        <v>18000</v>
      </c>
      <c r="J7" s="14">
        <v>6258</v>
      </c>
      <c r="K7" s="15">
        <f>L7+3479+6290+3687+5866+6258</f>
        <v>25580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0.47282608695652173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143</v>
      </c>
      <c r="D8" s="52" t="s">
        <v>124</v>
      </c>
      <c r="E8" s="53" t="s">
        <v>174</v>
      </c>
      <c r="F8" s="30" t="s">
        <v>144</v>
      </c>
      <c r="G8" s="12">
        <v>4</v>
      </c>
      <c r="H8" s="13">
        <v>24</v>
      </c>
      <c r="I8" s="7">
        <v>85000</v>
      </c>
      <c r="J8" s="14">
        <v>29084</v>
      </c>
      <c r="K8" s="15">
        <f>L8+12500+8020+23392+20408</f>
        <v>93404</v>
      </c>
      <c r="L8" s="15">
        <f>3896*4+3375*4</f>
        <v>29084</v>
      </c>
      <c r="M8" s="15">
        <f t="shared" si="0"/>
        <v>29084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0.47282608695652173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116</v>
      </c>
      <c r="D9" s="52" t="s">
        <v>150</v>
      </c>
      <c r="E9" s="53" t="s">
        <v>289</v>
      </c>
      <c r="F9" s="30" t="s">
        <v>301</v>
      </c>
      <c r="G9" s="12">
        <v>1</v>
      </c>
      <c r="H9" s="13">
        <v>24</v>
      </c>
      <c r="I9" s="7">
        <v>500</v>
      </c>
      <c r="J9" s="14">
        <v>1257</v>
      </c>
      <c r="K9" s="15">
        <f>L9</f>
        <v>1257</v>
      </c>
      <c r="L9" s="15">
        <v>1257</v>
      </c>
      <c r="M9" s="15">
        <f t="shared" si="0"/>
        <v>1257</v>
      </c>
      <c r="N9" s="15">
        <v>0</v>
      </c>
      <c r="O9" s="58">
        <f t="shared" si="1"/>
        <v>0</v>
      </c>
      <c r="P9" s="39">
        <f t="shared" si="2"/>
        <v>7</v>
      </c>
      <c r="Q9" s="40">
        <f t="shared" si="3"/>
        <v>17</v>
      </c>
      <c r="R9" s="7"/>
      <c r="S9" s="6"/>
      <c r="T9" s="16"/>
      <c r="U9" s="16"/>
      <c r="V9" s="17"/>
      <c r="W9" s="5">
        <v>17</v>
      </c>
      <c r="X9" s="16"/>
      <c r="Y9" s="16"/>
      <c r="Z9" s="16"/>
      <c r="AA9" s="18"/>
      <c r="AB9" s="8">
        <f t="shared" si="4"/>
        <v>1</v>
      </c>
      <c r="AC9" s="9">
        <f t="shared" si="5"/>
        <v>0.29166666666666669</v>
      </c>
      <c r="AD9" s="10">
        <f t="shared" si="6"/>
        <v>0.29166666666666669</v>
      </c>
      <c r="AE9" s="36">
        <f t="shared" si="7"/>
        <v>0.47282608695652173</v>
      </c>
      <c r="AF9" s="84">
        <f t="shared" si="8"/>
        <v>4</v>
      </c>
    </row>
    <row r="10" spans="1:32" ht="27" customHeight="1">
      <c r="A10" s="96">
        <v>4</v>
      </c>
      <c r="B10" s="11" t="s">
        <v>57</v>
      </c>
      <c r="C10" s="34" t="s">
        <v>116</v>
      </c>
      <c r="D10" s="52" t="s">
        <v>150</v>
      </c>
      <c r="E10" s="53" t="s">
        <v>290</v>
      </c>
      <c r="F10" s="30" t="s">
        <v>301</v>
      </c>
      <c r="G10" s="12">
        <v>1</v>
      </c>
      <c r="H10" s="13">
        <v>24</v>
      </c>
      <c r="I10" s="7">
        <v>4000</v>
      </c>
      <c r="J10" s="14">
        <v>2429</v>
      </c>
      <c r="K10" s="15">
        <f>L10</f>
        <v>2429</v>
      </c>
      <c r="L10" s="15">
        <v>2429</v>
      </c>
      <c r="M10" s="15">
        <f t="shared" ref="M10" si="9">L10-N10</f>
        <v>2429</v>
      </c>
      <c r="N10" s="15">
        <v>0</v>
      </c>
      <c r="O10" s="58">
        <f t="shared" ref="O10" si="10">IF(L10=0,"0",N10/L10)</f>
        <v>0</v>
      </c>
      <c r="P10" s="39">
        <f t="shared" ref="P10" si="11">IF(L10=0,"0",(24-Q10))</f>
        <v>14</v>
      </c>
      <c r="Q10" s="40">
        <f t="shared" ref="Q10" si="12">SUM(R10:AA10)</f>
        <v>10</v>
      </c>
      <c r="R10" s="7"/>
      <c r="S10" s="6"/>
      <c r="T10" s="16">
        <v>10</v>
      </c>
      <c r="U10" s="16"/>
      <c r="V10" s="17"/>
      <c r="W10" s="5"/>
      <c r="X10" s="16"/>
      <c r="Y10" s="16"/>
      <c r="Z10" s="16"/>
      <c r="AA10" s="18"/>
      <c r="AB10" s="8">
        <f t="shared" ref="AB10" si="13">IF(J10=0,"0",(L10/J10))</f>
        <v>1</v>
      </c>
      <c r="AC10" s="9">
        <f t="shared" ref="AC10" si="14">IF(P10=0,"0",(P10/24))</f>
        <v>0.58333333333333337</v>
      </c>
      <c r="AD10" s="10">
        <f t="shared" ref="AD10" si="15">AC10*AB10*(1-O10)</f>
        <v>0.58333333333333337</v>
      </c>
      <c r="AE10" s="36">
        <f t="shared" si="7"/>
        <v>0.47282608695652173</v>
      </c>
      <c r="AF10" s="84">
        <f t="shared" ref="AF10" si="16">A10</f>
        <v>4</v>
      </c>
    </row>
    <row r="11" spans="1:32" ht="27" customHeight="1">
      <c r="A11" s="96">
        <v>5</v>
      </c>
      <c r="B11" s="11" t="s">
        <v>57</v>
      </c>
      <c r="C11" s="11" t="s">
        <v>112</v>
      </c>
      <c r="D11" s="52" t="s">
        <v>142</v>
      </c>
      <c r="E11" s="53" t="s">
        <v>288</v>
      </c>
      <c r="F11" s="30" t="s">
        <v>145</v>
      </c>
      <c r="G11" s="33">
        <v>1</v>
      </c>
      <c r="H11" s="35">
        <v>24</v>
      </c>
      <c r="I11" s="7">
        <v>3000</v>
      </c>
      <c r="J11" s="14">
        <v>3711</v>
      </c>
      <c r="K11" s="15">
        <f>L11</f>
        <v>3711</v>
      </c>
      <c r="L11" s="15">
        <f>511+2687+513</f>
        <v>3711</v>
      </c>
      <c r="M11" s="15">
        <f t="shared" si="0"/>
        <v>3711</v>
      </c>
      <c r="N11" s="15">
        <v>0</v>
      </c>
      <c r="O11" s="58">
        <f t="shared" si="1"/>
        <v>0</v>
      </c>
      <c r="P11" s="39">
        <f t="shared" si="2"/>
        <v>18</v>
      </c>
      <c r="Q11" s="40">
        <f t="shared" si="3"/>
        <v>6</v>
      </c>
      <c r="R11" s="7"/>
      <c r="S11" s="6">
        <v>6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0.75</v>
      </c>
      <c r="AD11" s="10">
        <f t="shared" si="6"/>
        <v>0.75</v>
      </c>
      <c r="AE11" s="36">
        <f t="shared" si="7"/>
        <v>0.47282608695652173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116</v>
      </c>
      <c r="D12" s="52" t="s">
        <v>173</v>
      </c>
      <c r="E12" s="53" t="s">
        <v>172</v>
      </c>
      <c r="F12" s="30" t="s">
        <v>187</v>
      </c>
      <c r="G12" s="33">
        <v>32</v>
      </c>
      <c r="H12" s="35">
        <v>24</v>
      </c>
      <c r="I12" s="7">
        <v>500000</v>
      </c>
      <c r="J12" s="14">
        <v>201480</v>
      </c>
      <c r="K12" s="15">
        <f>L12+133700+100900+15240+109380</f>
        <v>560700</v>
      </c>
      <c r="L12" s="15">
        <f>4797*20+5277*20</f>
        <v>201480</v>
      </c>
      <c r="M12" s="15">
        <f t="shared" si="0"/>
        <v>201480</v>
      </c>
      <c r="N12" s="15">
        <v>0</v>
      </c>
      <c r="O12" s="58">
        <f t="shared" si="1"/>
        <v>0</v>
      </c>
      <c r="P12" s="39">
        <f t="shared" si="2"/>
        <v>20</v>
      </c>
      <c r="Q12" s="40">
        <f t="shared" si="3"/>
        <v>4</v>
      </c>
      <c r="R12" s="7"/>
      <c r="S12" s="6">
        <v>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0.83333333333333337</v>
      </c>
      <c r="AD12" s="10">
        <f t="shared" si="6"/>
        <v>0.83333333333333337</v>
      </c>
      <c r="AE12" s="36">
        <f t="shared" si="7"/>
        <v>0.47282608695652173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116</v>
      </c>
      <c r="D13" s="52" t="s">
        <v>115</v>
      </c>
      <c r="E13" s="53" t="s">
        <v>126</v>
      </c>
      <c r="F13" s="30" t="s">
        <v>167</v>
      </c>
      <c r="G13" s="12">
        <v>1</v>
      </c>
      <c r="H13" s="13">
        <v>22</v>
      </c>
      <c r="I13" s="31">
        <v>100000</v>
      </c>
      <c r="J13" s="5">
        <v>5483</v>
      </c>
      <c r="K13" s="15">
        <f>L13+4676+4488+5126+5538+5283+5334+5466+5473</f>
        <v>46867</v>
      </c>
      <c r="L13" s="15">
        <f>2783+2700</f>
        <v>5483</v>
      </c>
      <c r="M13" s="15">
        <f t="shared" si="0"/>
        <v>5483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0.47282608695652173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143</v>
      </c>
      <c r="D14" s="52" t="s">
        <v>266</v>
      </c>
      <c r="E14" s="53" t="s">
        <v>267</v>
      </c>
      <c r="F14" s="30" t="s">
        <v>131</v>
      </c>
      <c r="G14" s="33">
        <v>1</v>
      </c>
      <c r="H14" s="35">
        <v>24</v>
      </c>
      <c r="I14" s="7">
        <v>5000</v>
      </c>
      <c r="J14" s="14">
        <v>3371</v>
      </c>
      <c r="K14" s="15">
        <f>L14+3371</f>
        <v>3371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0.47282608695652173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156</v>
      </c>
      <c r="F15" s="30" t="s">
        <v>151</v>
      </c>
      <c r="G15" s="33">
        <v>1</v>
      </c>
      <c r="H15" s="35">
        <v>50</v>
      </c>
      <c r="I15" s="7">
        <v>2500</v>
      </c>
      <c r="J15" s="5">
        <v>800</v>
      </c>
      <c r="K15" s="15">
        <f>L15+893+982+1050+800</f>
        <v>3725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0.47282608695652173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116</v>
      </c>
      <c r="D16" s="52" t="s">
        <v>123</v>
      </c>
      <c r="E16" s="53" t="s">
        <v>141</v>
      </c>
      <c r="F16" s="30" t="s">
        <v>135</v>
      </c>
      <c r="G16" s="12">
        <v>4</v>
      </c>
      <c r="H16" s="13">
        <v>24</v>
      </c>
      <c r="I16" s="31">
        <v>12000</v>
      </c>
      <c r="J16" s="14">
        <v>12356</v>
      </c>
      <c r="K16" s="15">
        <f>L16+12356</f>
        <v>12356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0.47282608695652173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143</v>
      </c>
      <c r="D17" s="52" t="s">
        <v>115</v>
      </c>
      <c r="E17" s="53" t="s">
        <v>249</v>
      </c>
      <c r="F17" s="30" t="s">
        <v>144</v>
      </c>
      <c r="G17" s="12">
        <v>2</v>
      </c>
      <c r="H17" s="13">
        <v>24</v>
      </c>
      <c r="I17" s="7">
        <v>30000</v>
      </c>
      <c r="J17" s="14">
        <v>11076</v>
      </c>
      <c r="K17" s="15">
        <f>L17+5366+11376+11380</f>
        <v>39198</v>
      </c>
      <c r="L17" s="15">
        <f>2727*2+2811*2</f>
        <v>11076</v>
      </c>
      <c r="M17" s="15">
        <f t="shared" si="0"/>
        <v>11076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0.47282608695652173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241</v>
      </c>
      <c r="D18" s="52"/>
      <c r="E18" s="53" t="s">
        <v>240</v>
      </c>
      <c r="F18" s="30" t="s">
        <v>302</v>
      </c>
      <c r="G18" s="12">
        <v>1</v>
      </c>
      <c r="H18" s="13">
        <v>24</v>
      </c>
      <c r="I18" s="7">
        <v>5400</v>
      </c>
      <c r="J18" s="14">
        <v>4138</v>
      </c>
      <c r="K18" s="15">
        <f>L18</f>
        <v>4138</v>
      </c>
      <c r="L18" s="15">
        <f>1260+2878</f>
        <v>4138</v>
      </c>
      <c r="M18" s="15">
        <f t="shared" si="0"/>
        <v>4138</v>
      </c>
      <c r="N18" s="15">
        <v>0</v>
      </c>
      <c r="O18" s="58">
        <f t="shared" si="1"/>
        <v>0</v>
      </c>
      <c r="P18" s="39">
        <f t="shared" si="2"/>
        <v>20</v>
      </c>
      <c r="Q18" s="40">
        <f t="shared" si="3"/>
        <v>4</v>
      </c>
      <c r="R18" s="7"/>
      <c r="S18" s="6"/>
      <c r="T18" s="16">
        <v>4</v>
      </c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0.83333333333333337</v>
      </c>
      <c r="AD18" s="10">
        <f t="shared" si="6"/>
        <v>0.83333333333333337</v>
      </c>
      <c r="AE18" s="36">
        <f t="shared" si="7"/>
        <v>0.47282608695652173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112</v>
      </c>
      <c r="D19" s="52" t="s">
        <v>115</v>
      </c>
      <c r="E19" s="53" t="s">
        <v>153</v>
      </c>
      <c r="F19" s="30" t="s">
        <v>131</v>
      </c>
      <c r="G19" s="33">
        <v>2</v>
      </c>
      <c r="H19" s="35">
        <v>24</v>
      </c>
      <c r="I19" s="7">
        <v>27200</v>
      </c>
      <c r="J19" s="14">
        <v>1410</v>
      </c>
      <c r="K19" s="15">
        <f>L19+5049+2711+6081+2649+5790+5789+5593+5282+5781+1410</f>
        <v>46135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0.47282608695652173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142</v>
      </c>
      <c r="E20" s="53" t="s">
        <v>161</v>
      </c>
      <c r="F20" s="30" t="s">
        <v>134</v>
      </c>
      <c r="G20" s="33">
        <v>1</v>
      </c>
      <c r="H20" s="35">
        <v>24</v>
      </c>
      <c r="I20" s="7">
        <v>39000</v>
      </c>
      <c r="J20" s="14">
        <v>5176</v>
      </c>
      <c r="K20" s="15">
        <f>L20+2260+4771+194+2851+3863+3917+3410+3939+5293+1639+3698+3094+5176</f>
        <v>44105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0.47282608695652173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241</v>
      </c>
      <c r="D21" s="52"/>
      <c r="E21" s="53" t="s">
        <v>303</v>
      </c>
      <c r="F21" s="30" t="s">
        <v>268</v>
      </c>
      <c r="G21" s="12" t="s">
        <v>304</v>
      </c>
      <c r="H21" s="13">
        <v>24</v>
      </c>
      <c r="I21" s="7">
        <v>10800</v>
      </c>
      <c r="J21" s="14">
        <v>3976</v>
      </c>
      <c r="K21" s="15">
        <f>L21</f>
        <v>3976</v>
      </c>
      <c r="L21" s="15">
        <f>804+3172</f>
        <v>3976</v>
      </c>
      <c r="M21" s="15">
        <f t="shared" si="0"/>
        <v>3976</v>
      </c>
      <c r="N21" s="15">
        <v>0</v>
      </c>
      <c r="O21" s="58">
        <f t="shared" si="1"/>
        <v>0</v>
      </c>
      <c r="P21" s="39">
        <f t="shared" si="2"/>
        <v>18</v>
      </c>
      <c r="Q21" s="40">
        <f t="shared" si="3"/>
        <v>6</v>
      </c>
      <c r="R21" s="7"/>
      <c r="S21" s="6"/>
      <c r="T21" s="16">
        <v>6</v>
      </c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0.75</v>
      </c>
      <c r="AD21" s="10">
        <f t="shared" si="6"/>
        <v>0.75</v>
      </c>
      <c r="AE21" s="36">
        <f t="shared" si="7"/>
        <v>0.47282608695652173</v>
      </c>
      <c r="AF21" s="84">
        <f t="shared" si="8"/>
        <v>15</v>
      </c>
    </row>
    <row r="22" spans="1:32" ht="27" customHeight="1">
      <c r="A22" s="96">
        <v>16</v>
      </c>
      <c r="B22" s="11" t="s">
        <v>57</v>
      </c>
      <c r="C22" s="11" t="s">
        <v>113</v>
      </c>
      <c r="D22" s="52"/>
      <c r="E22" s="53" t="s">
        <v>139</v>
      </c>
      <c r="F22" s="12" t="s">
        <v>114</v>
      </c>
      <c r="G22" s="12">
        <v>3</v>
      </c>
      <c r="H22" s="35">
        <v>20</v>
      </c>
      <c r="I22" s="7">
        <v>1000000</v>
      </c>
      <c r="J22" s="14">
        <v>34220</v>
      </c>
      <c r="K22" s="15">
        <f t="shared" ref="K22" si="17">L22+62008+65280+66156+31132+60100+67104+64940+66996+38324+18548+31820+33244+32052+33372+27132+34220</f>
        <v>732428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0.47282608695652173</v>
      </c>
      <c r="AF22" s="84">
        <f t="shared" si="8"/>
        <v>16</v>
      </c>
    </row>
    <row r="23" spans="1:32" ht="27" customHeight="1">
      <c r="A23" s="96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0.47282608695652173</v>
      </c>
      <c r="AF23" s="84">
        <f t="shared" si="8"/>
        <v>31</v>
      </c>
    </row>
    <row r="24" spans="1:32" ht="27" customHeight="1">
      <c r="A24" s="96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0.47282608695652173</v>
      </c>
      <c r="AF24" s="84">
        <f t="shared" si="8"/>
        <v>32</v>
      </c>
    </row>
    <row r="25" spans="1:32" ht="27" customHeight="1">
      <c r="A25" s="96">
        <v>33</v>
      </c>
      <c r="B25" s="11" t="s">
        <v>57</v>
      </c>
      <c r="C25" s="11" t="s">
        <v>116</v>
      </c>
      <c r="D25" s="52" t="s">
        <v>152</v>
      </c>
      <c r="E25" s="53" t="s">
        <v>164</v>
      </c>
      <c r="F25" s="12" t="s">
        <v>134</v>
      </c>
      <c r="G25" s="12">
        <v>4</v>
      </c>
      <c r="H25" s="35">
        <v>20</v>
      </c>
      <c r="I25" s="7">
        <v>240000</v>
      </c>
      <c r="J25" s="14">
        <v>26768</v>
      </c>
      <c r="K25" s="15">
        <f>L25+27572+32268+32324+32488+32368+29632+32352+26768</f>
        <v>245772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206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0.47282608695652173</v>
      </c>
      <c r="AF25" s="84">
        <f t="shared" si="8"/>
        <v>33</v>
      </c>
    </row>
    <row r="26" spans="1:32" ht="27" customHeight="1">
      <c r="A26" s="96">
        <v>34</v>
      </c>
      <c r="B26" s="11" t="s">
        <v>57</v>
      </c>
      <c r="C26" s="11" t="s">
        <v>116</v>
      </c>
      <c r="D26" s="52" t="s">
        <v>150</v>
      </c>
      <c r="E26" s="53" t="s">
        <v>165</v>
      </c>
      <c r="F26" s="12" t="s">
        <v>135</v>
      </c>
      <c r="G26" s="12">
        <v>4</v>
      </c>
      <c r="H26" s="35">
        <v>20</v>
      </c>
      <c r="I26" s="7">
        <v>240000</v>
      </c>
      <c r="J26" s="14">
        <v>29132</v>
      </c>
      <c r="K26" s="15">
        <f>L26+24768+29084+29040+29804+27780+4064+26996+28972+25428</f>
        <v>255068</v>
      </c>
      <c r="L26" s="15">
        <f>4283*4+3000*4</f>
        <v>29132</v>
      </c>
      <c r="M26" s="15">
        <f t="shared" si="0"/>
        <v>29132</v>
      </c>
      <c r="N26" s="15">
        <v>0</v>
      </c>
      <c r="O26" s="58">
        <f t="shared" si="1"/>
        <v>0</v>
      </c>
      <c r="P26" s="39">
        <f t="shared" si="2"/>
        <v>24</v>
      </c>
      <c r="Q26" s="40">
        <f t="shared" si="3"/>
        <v>0</v>
      </c>
      <c r="R26" s="7"/>
      <c r="S26" s="6"/>
      <c r="T26" s="16"/>
      <c r="U26" s="16"/>
      <c r="V26" s="206"/>
      <c r="W26" s="5"/>
      <c r="X26" s="16"/>
      <c r="Y26" s="16"/>
      <c r="Z26" s="16"/>
      <c r="AA26" s="18"/>
      <c r="AB26" s="8">
        <f t="shared" si="4"/>
        <v>1</v>
      </c>
      <c r="AC26" s="9">
        <f t="shared" si="5"/>
        <v>1</v>
      </c>
      <c r="AD26" s="10">
        <f t="shared" si="6"/>
        <v>1</v>
      </c>
      <c r="AE26" s="36">
        <f t="shared" si="7"/>
        <v>0.47282608695652173</v>
      </c>
      <c r="AF26" s="84">
        <f t="shared" si="8"/>
        <v>34</v>
      </c>
    </row>
    <row r="27" spans="1:32" ht="27" customHeight="1">
      <c r="A27" s="96">
        <v>35</v>
      </c>
      <c r="B27" s="11" t="s">
        <v>57</v>
      </c>
      <c r="C27" s="11" t="s">
        <v>116</v>
      </c>
      <c r="D27" s="52" t="s">
        <v>123</v>
      </c>
      <c r="E27" s="53" t="s">
        <v>137</v>
      </c>
      <c r="F27" s="12" t="s">
        <v>135</v>
      </c>
      <c r="G27" s="12">
        <v>4</v>
      </c>
      <c r="H27" s="35">
        <v>20</v>
      </c>
      <c r="I27" s="7">
        <v>240000</v>
      </c>
      <c r="J27" s="14">
        <v>29140</v>
      </c>
      <c r="K27" s="15">
        <f>L27+25004+29968+31848+29672+31736+27000+29200+29420</f>
        <v>262988</v>
      </c>
      <c r="L27" s="15">
        <f>4285*4+3000*4</f>
        <v>29140</v>
      </c>
      <c r="M27" s="15">
        <f t="shared" si="0"/>
        <v>29140</v>
      </c>
      <c r="N27" s="15">
        <v>0</v>
      </c>
      <c r="O27" s="58">
        <f t="shared" si="1"/>
        <v>0</v>
      </c>
      <c r="P27" s="39">
        <f t="shared" si="2"/>
        <v>24</v>
      </c>
      <c r="Q27" s="40">
        <f t="shared" si="3"/>
        <v>0</v>
      </c>
      <c r="R27" s="7"/>
      <c r="S27" s="6"/>
      <c r="T27" s="16"/>
      <c r="U27" s="16"/>
      <c r="V27" s="206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1</v>
      </c>
      <c r="AD27" s="10">
        <f t="shared" si="6"/>
        <v>1</v>
      </c>
      <c r="AE27" s="36">
        <f t="shared" si="7"/>
        <v>0.47282608695652173</v>
      </c>
      <c r="AF27" s="84">
        <f t="shared" si="8"/>
        <v>35</v>
      </c>
    </row>
    <row r="28" spans="1:32" ht="27" customHeight="1" thickBot="1">
      <c r="A28" s="96">
        <v>36</v>
      </c>
      <c r="B28" s="11" t="s">
        <v>57</v>
      </c>
      <c r="C28" s="11" t="s">
        <v>116</v>
      </c>
      <c r="D28" s="52" t="s">
        <v>115</v>
      </c>
      <c r="E28" s="53" t="s">
        <v>166</v>
      </c>
      <c r="F28" s="12" t="s">
        <v>122</v>
      </c>
      <c r="G28" s="12">
        <v>4</v>
      </c>
      <c r="H28" s="35">
        <v>20</v>
      </c>
      <c r="I28" s="7">
        <v>240000</v>
      </c>
      <c r="J28" s="14">
        <v>18472</v>
      </c>
      <c r="K28" s="15">
        <f>L28+22152+26340+20956+26812+26716+8020+25080+22728+29132</f>
        <v>226408</v>
      </c>
      <c r="L28" s="15">
        <f>3000*4+1618*4</f>
        <v>18472</v>
      </c>
      <c r="M28" s="15">
        <f t="shared" si="0"/>
        <v>18472</v>
      </c>
      <c r="N28" s="15">
        <v>0</v>
      </c>
      <c r="O28" s="58">
        <f t="shared" si="1"/>
        <v>0</v>
      </c>
      <c r="P28" s="39">
        <f t="shared" si="2"/>
        <v>20</v>
      </c>
      <c r="Q28" s="40">
        <f t="shared" si="3"/>
        <v>4</v>
      </c>
      <c r="R28" s="7"/>
      <c r="S28" s="6">
        <v>4</v>
      </c>
      <c r="T28" s="16"/>
      <c r="U28" s="16"/>
      <c r="V28" s="206"/>
      <c r="W28" s="5"/>
      <c r="X28" s="16"/>
      <c r="Y28" s="16"/>
      <c r="Z28" s="16"/>
      <c r="AA28" s="18"/>
      <c r="AB28" s="8">
        <f t="shared" si="4"/>
        <v>1</v>
      </c>
      <c r="AC28" s="9">
        <f t="shared" si="5"/>
        <v>0.83333333333333337</v>
      </c>
      <c r="AD28" s="10">
        <f t="shared" si="6"/>
        <v>0.83333333333333337</v>
      </c>
      <c r="AE28" s="36">
        <f t="shared" si="7"/>
        <v>0.47282608695652173</v>
      </c>
      <c r="AF28" s="84">
        <f t="shared" si="8"/>
        <v>36</v>
      </c>
    </row>
    <row r="29" spans="1:32" ht="31.5" customHeight="1" thickBot="1">
      <c r="A29" s="464" t="s">
        <v>34</v>
      </c>
      <c r="B29" s="465"/>
      <c r="C29" s="465"/>
      <c r="D29" s="465"/>
      <c r="E29" s="465"/>
      <c r="F29" s="465"/>
      <c r="G29" s="465"/>
      <c r="H29" s="466"/>
      <c r="I29" s="22">
        <f t="shared" ref="I29:N29" si="18">SUM(I6:I28)</f>
        <v>2976400</v>
      </c>
      <c r="J29" s="19">
        <f t="shared" si="18"/>
        <v>441653</v>
      </c>
      <c r="K29" s="20">
        <f t="shared" si="18"/>
        <v>2694049</v>
      </c>
      <c r="L29" s="21">
        <f t="shared" si="18"/>
        <v>351294</v>
      </c>
      <c r="M29" s="20">
        <f t="shared" si="18"/>
        <v>351294</v>
      </c>
      <c r="N29" s="21">
        <f t="shared" si="18"/>
        <v>0</v>
      </c>
      <c r="O29" s="41">
        <f t="shared" si="1"/>
        <v>0</v>
      </c>
      <c r="P29" s="42">
        <f t="shared" ref="P29:AA29" si="19">SUM(P6:P28)</f>
        <v>261</v>
      </c>
      <c r="Q29" s="43">
        <f t="shared" si="19"/>
        <v>291</v>
      </c>
      <c r="R29" s="23">
        <f t="shared" si="19"/>
        <v>0</v>
      </c>
      <c r="S29" s="24">
        <f t="shared" si="19"/>
        <v>62</v>
      </c>
      <c r="T29" s="24">
        <f t="shared" si="19"/>
        <v>20</v>
      </c>
      <c r="U29" s="24">
        <f t="shared" si="19"/>
        <v>0</v>
      </c>
      <c r="V29" s="25">
        <f t="shared" si="19"/>
        <v>72</v>
      </c>
      <c r="W29" s="26">
        <f t="shared" si="19"/>
        <v>89</v>
      </c>
      <c r="X29" s="27">
        <f t="shared" si="19"/>
        <v>0</v>
      </c>
      <c r="Y29" s="27">
        <f t="shared" si="19"/>
        <v>0</v>
      </c>
      <c r="Z29" s="27">
        <f t="shared" si="19"/>
        <v>0</v>
      </c>
      <c r="AA29" s="27">
        <f t="shared" si="19"/>
        <v>48</v>
      </c>
      <c r="AB29" s="28">
        <f>AVERAGE(AB6:AB28)</f>
        <v>0.61904761904761907</v>
      </c>
      <c r="AC29" s="4">
        <f>AVERAGE(AC6:AC28)</f>
        <v>0.47282608695652173</v>
      </c>
      <c r="AD29" s="4">
        <f>AVERAGE(AD6:AD28)</f>
        <v>0.47282608695652173</v>
      </c>
      <c r="AE29" s="29"/>
    </row>
    <row r="30" spans="1:32">
      <c r="T30" s="50" t="s">
        <v>157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160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5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467" t="s">
        <v>45</v>
      </c>
      <c r="B56" s="467"/>
      <c r="C56" s="467"/>
      <c r="D56" s="467"/>
      <c r="E56" s="467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468" t="s">
        <v>305</v>
      </c>
      <c r="B57" s="469"/>
      <c r="C57" s="469"/>
      <c r="D57" s="469"/>
      <c r="E57" s="469"/>
      <c r="F57" s="469"/>
      <c r="G57" s="469"/>
      <c r="H57" s="469"/>
      <c r="I57" s="469"/>
      <c r="J57" s="469"/>
      <c r="K57" s="469"/>
      <c r="L57" s="469"/>
      <c r="M57" s="470"/>
      <c r="N57" s="471" t="s">
        <v>307</v>
      </c>
      <c r="O57" s="472"/>
      <c r="P57" s="472"/>
      <c r="Q57" s="472"/>
      <c r="R57" s="472"/>
      <c r="S57" s="472"/>
      <c r="T57" s="472"/>
      <c r="U57" s="472"/>
      <c r="V57" s="472"/>
      <c r="W57" s="472"/>
      <c r="X57" s="472"/>
      <c r="Y57" s="472"/>
      <c r="Z57" s="472"/>
      <c r="AA57" s="472"/>
      <c r="AB57" s="472"/>
      <c r="AC57" s="472"/>
      <c r="AD57" s="473"/>
    </row>
    <row r="58" spans="1:32" ht="27" customHeight="1">
      <c r="A58" s="474" t="s">
        <v>2</v>
      </c>
      <c r="B58" s="475"/>
      <c r="C58" s="218" t="s">
        <v>46</v>
      </c>
      <c r="D58" s="218" t="s">
        <v>47</v>
      </c>
      <c r="E58" s="218" t="s">
        <v>107</v>
      </c>
      <c r="F58" s="476" t="s">
        <v>106</v>
      </c>
      <c r="G58" s="477"/>
      <c r="H58" s="477"/>
      <c r="I58" s="477"/>
      <c r="J58" s="477"/>
      <c r="K58" s="477"/>
      <c r="L58" s="477"/>
      <c r="M58" s="478"/>
      <c r="N58" s="67" t="s">
        <v>110</v>
      </c>
      <c r="O58" s="218" t="s">
        <v>46</v>
      </c>
      <c r="P58" s="476" t="s">
        <v>47</v>
      </c>
      <c r="Q58" s="479"/>
      <c r="R58" s="476" t="s">
        <v>38</v>
      </c>
      <c r="S58" s="477"/>
      <c r="T58" s="477"/>
      <c r="U58" s="479"/>
      <c r="V58" s="476" t="s">
        <v>48</v>
      </c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490" t="s">
        <v>116</v>
      </c>
      <c r="B59" s="491"/>
      <c r="C59" s="214" t="s">
        <v>132</v>
      </c>
      <c r="D59" s="214" t="s">
        <v>130</v>
      </c>
      <c r="E59" s="214" t="s">
        <v>158</v>
      </c>
      <c r="F59" s="492" t="s">
        <v>120</v>
      </c>
      <c r="G59" s="493"/>
      <c r="H59" s="493"/>
      <c r="I59" s="493"/>
      <c r="J59" s="493"/>
      <c r="K59" s="493"/>
      <c r="L59" s="493"/>
      <c r="M59" s="494"/>
      <c r="N59" s="217" t="s">
        <v>143</v>
      </c>
      <c r="O59" s="211" t="s">
        <v>259</v>
      </c>
      <c r="P59" s="495" t="s">
        <v>260</v>
      </c>
      <c r="Q59" s="496"/>
      <c r="R59" s="495" t="s">
        <v>258</v>
      </c>
      <c r="S59" s="497"/>
      <c r="T59" s="497"/>
      <c r="U59" s="496"/>
      <c r="V59" s="498" t="s">
        <v>120</v>
      </c>
      <c r="W59" s="498"/>
      <c r="X59" s="498"/>
      <c r="Y59" s="498"/>
      <c r="Z59" s="498"/>
      <c r="AA59" s="498"/>
      <c r="AB59" s="498"/>
      <c r="AC59" s="498"/>
      <c r="AD59" s="499"/>
    </row>
    <row r="60" spans="1:32" ht="27" customHeight="1">
      <c r="A60" s="500" t="s">
        <v>241</v>
      </c>
      <c r="B60" s="501"/>
      <c r="C60" s="213" t="s">
        <v>129</v>
      </c>
      <c r="D60" s="213"/>
      <c r="E60" s="214" t="s">
        <v>303</v>
      </c>
      <c r="F60" s="492" t="s">
        <v>125</v>
      </c>
      <c r="G60" s="493"/>
      <c r="H60" s="493"/>
      <c r="I60" s="493"/>
      <c r="J60" s="493"/>
      <c r="K60" s="493"/>
      <c r="L60" s="493"/>
      <c r="M60" s="494"/>
      <c r="N60" s="217" t="s">
        <v>112</v>
      </c>
      <c r="O60" s="211" t="s">
        <v>169</v>
      </c>
      <c r="P60" s="495" t="s">
        <v>148</v>
      </c>
      <c r="Q60" s="496"/>
      <c r="R60" s="495" t="s">
        <v>308</v>
      </c>
      <c r="S60" s="497"/>
      <c r="T60" s="497"/>
      <c r="U60" s="496"/>
      <c r="V60" s="498" t="s">
        <v>125</v>
      </c>
      <c r="W60" s="498"/>
      <c r="X60" s="498"/>
      <c r="Y60" s="498"/>
      <c r="Z60" s="498"/>
      <c r="AA60" s="498"/>
      <c r="AB60" s="498"/>
      <c r="AC60" s="498"/>
      <c r="AD60" s="499"/>
    </row>
    <row r="61" spans="1:32" ht="27" customHeight="1">
      <c r="A61" s="500" t="s">
        <v>116</v>
      </c>
      <c r="B61" s="501"/>
      <c r="C61" s="213" t="s">
        <v>198</v>
      </c>
      <c r="D61" s="213" t="s">
        <v>173</v>
      </c>
      <c r="E61" s="214" t="s">
        <v>172</v>
      </c>
      <c r="F61" s="492" t="s">
        <v>271</v>
      </c>
      <c r="G61" s="493"/>
      <c r="H61" s="493"/>
      <c r="I61" s="493"/>
      <c r="J61" s="493"/>
      <c r="K61" s="493"/>
      <c r="L61" s="493"/>
      <c r="M61" s="494"/>
      <c r="N61" s="217" t="s">
        <v>143</v>
      </c>
      <c r="O61" s="211" t="s">
        <v>239</v>
      </c>
      <c r="P61" s="495" t="s">
        <v>115</v>
      </c>
      <c r="Q61" s="496"/>
      <c r="R61" s="495" t="s">
        <v>309</v>
      </c>
      <c r="S61" s="497"/>
      <c r="T61" s="497"/>
      <c r="U61" s="496"/>
      <c r="V61" s="498" t="s">
        <v>125</v>
      </c>
      <c r="W61" s="498"/>
      <c r="X61" s="498"/>
      <c r="Y61" s="498"/>
      <c r="Z61" s="498"/>
      <c r="AA61" s="498"/>
      <c r="AB61" s="498"/>
      <c r="AC61" s="498"/>
      <c r="AD61" s="499"/>
    </row>
    <row r="62" spans="1:32" ht="27" customHeight="1">
      <c r="A62" s="500" t="s">
        <v>143</v>
      </c>
      <c r="B62" s="501"/>
      <c r="C62" s="213" t="s">
        <v>193</v>
      </c>
      <c r="D62" s="213" t="s">
        <v>140</v>
      </c>
      <c r="E62" s="214" t="s">
        <v>174</v>
      </c>
      <c r="F62" s="492" t="s">
        <v>120</v>
      </c>
      <c r="G62" s="493"/>
      <c r="H62" s="493"/>
      <c r="I62" s="493"/>
      <c r="J62" s="493"/>
      <c r="K62" s="493"/>
      <c r="L62" s="493"/>
      <c r="M62" s="494"/>
      <c r="N62" s="217" t="s">
        <v>112</v>
      </c>
      <c r="O62" s="211" t="s">
        <v>221</v>
      </c>
      <c r="P62" s="495" t="s">
        <v>142</v>
      </c>
      <c r="Q62" s="496"/>
      <c r="R62" s="495" t="s">
        <v>161</v>
      </c>
      <c r="S62" s="497"/>
      <c r="T62" s="497"/>
      <c r="U62" s="496"/>
      <c r="V62" s="498" t="s">
        <v>120</v>
      </c>
      <c r="W62" s="498"/>
      <c r="X62" s="498"/>
      <c r="Y62" s="498"/>
      <c r="Z62" s="498"/>
      <c r="AA62" s="498"/>
      <c r="AB62" s="498"/>
      <c r="AC62" s="498"/>
      <c r="AD62" s="499"/>
    </row>
    <row r="63" spans="1:32" ht="27" customHeight="1">
      <c r="A63" s="500" t="s">
        <v>116</v>
      </c>
      <c r="B63" s="501"/>
      <c r="C63" s="213" t="s">
        <v>175</v>
      </c>
      <c r="D63" s="213" t="s">
        <v>150</v>
      </c>
      <c r="E63" s="214" t="s">
        <v>289</v>
      </c>
      <c r="F63" s="492" t="s">
        <v>306</v>
      </c>
      <c r="G63" s="493"/>
      <c r="H63" s="493"/>
      <c r="I63" s="493"/>
      <c r="J63" s="493"/>
      <c r="K63" s="493"/>
      <c r="L63" s="493"/>
      <c r="M63" s="494"/>
      <c r="N63" s="217"/>
      <c r="O63" s="211"/>
      <c r="P63" s="495"/>
      <c r="Q63" s="496"/>
      <c r="R63" s="495"/>
      <c r="S63" s="497"/>
      <c r="T63" s="497"/>
      <c r="U63" s="496"/>
      <c r="V63" s="498"/>
      <c r="W63" s="498"/>
      <c r="X63" s="498"/>
      <c r="Y63" s="498"/>
      <c r="Z63" s="498"/>
      <c r="AA63" s="498"/>
      <c r="AB63" s="498"/>
      <c r="AC63" s="498"/>
      <c r="AD63" s="499"/>
    </row>
    <row r="64" spans="1:32" ht="27" customHeight="1">
      <c r="A64" s="500" t="s">
        <v>116</v>
      </c>
      <c r="B64" s="501"/>
      <c r="C64" s="213" t="s">
        <v>175</v>
      </c>
      <c r="D64" s="213" t="s">
        <v>150</v>
      </c>
      <c r="E64" s="214" t="s">
        <v>290</v>
      </c>
      <c r="F64" s="492" t="s">
        <v>306</v>
      </c>
      <c r="G64" s="493"/>
      <c r="H64" s="493"/>
      <c r="I64" s="493"/>
      <c r="J64" s="493"/>
      <c r="K64" s="493"/>
      <c r="L64" s="493"/>
      <c r="M64" s="494"/>
      <c r="N64" s="217"/>
      <c r="O64" s="211"/>
      <c r="P64" s="495"/>
      <c r="Q64" s="496"/>
      <c r="R64" s="495"/>
      <c r="S64" s="497"/>
      <c r="T64" s="497"/>
      <c r="U64" s="496"/>
      <c r="V64" s="498"/>
      <c r="W64" s="498"/>
      <c r="X64" s="498"/>
      <c r="Y64" s="498"/>
      <c r="Z64" s="498"/>
      <c r="AA64" s="498"/>
      <c r="AB64" s="498"/>
      <c r="AC64" s="498"/>
      <c r="AD64" s="499"/>
    </row>
    <row r="65" spans="1:32" ht="27" customHeight="1">
      <c r="A65" s="490" t="s">
        <v>112</v>
      </c>
      <c r="B65" s="491"/>
      <c r="C65" s="214" t="s">
        <v>277</v>
      </c>
      <c r="D65" s="214" t="s">
        <v>142</v>
      </c>
      <c r="E65" s="214" t="s">
        <v>288</v>
      </c>
      <c r="F65" s="492" t="s">
        <v>125</v>
      </c>
      <c r="G65" s="493"/>
      <c r="H65" s="493"/>
      <c r="I65" s="493"/>
      <c r="J65" s="493"/>
      <c r="K65" s="493"/>
      <c r="L65" s="493"/>
      <c r="M65" s="494"/>
      <c r="N65" s="217"/>
      <c r="O65" s="211"/>
      <c r="P65" s="495"/>
      <c r="Q65" s="496"/>
      <c r="R65" s="495"/>
      <c r="S65" s="497"/>
      <c r="T65" s="497"/>
      <c r="U65" s="496"/>
      <c r="V65" s="498"/>
      <c r="W65" s="498"/>
      <c r="X65" s="498"/>
      <c r="Y65" s="498"/>
      <c r="Z65" s="498"/>
      <c r="AA65" s="498"/>
      <c r="AB65" s="498"/>
      <c r="AC65" s="498"/>
      <c r="AD65" s="499"/>
    </row>
    <row r="66" spans="1:32" ht="27" customHeight="1">
      <c r="A66" s="500" t="s">
        <v>241</v>
      </c>
      <c r="B66" s="501"/>
      <c r="C66" s="213" t="s">
        <v>256</v>
      </c>
      <c r="D66" s="213"/>
      <c r="E66" s="214" t="s">
        <v>240</v>
      </c>
      <c r="F66" s="492" t="s">
        <v>125</v>
      </c>
      <c r="G66" s="493"/>
      <c r="H66" s="493"/>
      <c r="I66" s="493"/>
      <c r="J66" s="493"/>
      <c r="K66" s="493"/>
      <c r="L66" s="493"/>
      <c r="M66" s="494"/>
      <c r="N66" s="217"/>
      <c r="O66" s="211"/>
      <c r="P66" s="495"/>
      <c r="Q66" s="496"/>
      <c r="R66" s="495"/>
      <c r="S66" s="497"/>
      <c r="T66" s="497"/>
      <c r="U66" s="496"/>
      <c r="V66" s="498"/>
      <c r="W66" s="498"/>
      <c r="X66" s="498"/>
      <c r="Y66" s="498"/>
      <c r="Z66" s="498"/>
      <c r="AA66" s="498"/>
      <c r="AB66" s="498"/>
      <c r="AC66" s="498"/>
      <c r="AD66" s="499"/>
    </row>
    <row r="67" spans="1:32" ht="27" customHeight="1">
      <c r="A67" s="500"/>
      <c r="B67" s="501"/>
      <c r="C67" s="213"/>
      <c r="D67" s="213"/>
      <c r="E67" s="214"/>
      <c r="F67" s="492"/>
      <c r="G67" s="493"/>
      <c r="H67" s="493"/>
      <c r="I67" s="493"/>
      <c r="J67" s="493"/>
      <c r="K67" s="493"/>
      <c r="L67" s="493"/>
      <c r="M67" s="494"/>
      <c r="N67" s="217"/>
      <c r="O67" s="211"/>
      <c r="P67" s="491"/>
      <c r="Q67" s="491"/>
      <c r="R67" s="491"/>
      <c r="S67" s="491"/>
      <c r="T67" s="491"/>
      <c r="U67" s="491"/>
      <c r="V67" s="498"/>
      <c r="W67" s="498"/>
      <c r="X67" s="498"/>
      <c r="Y67" s="498"/>
      <c r="Z67" s="498"/>
      <c r="AA67" s="498"/>
      <c r="AB67" s="498"/>
      <c r="AC67" s="498"/>
      <c r="AD67" s="499"/>
      <c r="AF67" s="84">
        <f>8*3000</f>
        <v>24000</v>
      </c>
    </row>
    <row r="68" spans="1:32" ht="27" customHeight="1" thickBot="1">
      <c r="A68" s="502"/>
      <c r="B68" s="503"/>
      <c r="C68" s="215"/>
      <c r="D68" s="216"/>
      <c r="E68" s="215"/>
      <c r="F68" s="504"/>
      <c r="G68" s="505"/>
      <c r="H68" s="505"/>
      <c r="I68" s="505"/>
      <c r="J68" s="505"/>
      <c r="K68" s="505"/>
      <c r="L68" s="505"/>
      <c r="M68" s="506"/>
      <c r="N68" s="111"/>
      <c r="O68" s="103"/>
      <c r="P68" s="507"/>
      <c r="Q68" s="507"/>
      <c r="R68" s="507"/>
      <c r="S68" s="507"/>
      <c r="T68" s="507"/>
      <c r="U68" s="507"/>
      <c r="V68" s="508"/>
      <c r="W68" s="508"/>
      <c r="X68" s="508"/>
      <c r="Y68" s="508"/>
      <c r="Z68" s="508"/>
      <c r="AA68" s="508"/>
      <c r="AB68" s="508"/>
      <c r="AC68" s="508"/>
      <c r="AD68" s="509"/>
      <c r="AF68" s="84">
        <f>16*3000</f>
        <v>48000</v>
      </c>
    </row>
    <row r="69" spans="1:32" ht="27.75" thickBot="1">
      <c r="A69" s="510" t="s">
        <v>310</v>
      </c>
      <c r="B69" s="510"/>
      <c r="C69" s="510"/>
      <c r="D69" s="510"/>
      <c r="E69" s="510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4">
        <v>24000</v>
      </c>
    </row>
    <row r="70" spans="1:32" ht="29.25" customHeight="1" thickBot="1">
      <c r="A70" s="511" t="s">
        <v>111</v>
      </c>
      <c r="B70" s="512"/>
      <c r="C70" s="212" t="s">
        <v>2</v>
      </c>
      <c r="D70" s="212" t="s">
        <v>37</v>
      </c>
      <c r="E70" s="212" t="s">
        <v>3</v>
      </c>
      <c r="F70" s="512" t="s">
        <v>109</v>
      </c>
      <c r="G70" s="512"/>
      <c r="H70" s="512"/>
      <c r="I70" s="512"/>
      <c r="J70" s="512"/>
      <c r="K70" s="512" t="s">
        <v>39</v>
      </c>
      <c r="L70" s="512"/>
      <c r="M70" s="212" t="s">
        <v>40</v>
      </c>
      <c r="N70" s="512" t="s">
        <v>41</v>
      </c>
      <c r="O70" s="512"/>
      <c r="P70" s="513" t="s">
        <v>42</v>
      </c>
      <c r="Q70" s="514"/>
      <c r="R70" s="513" t="s">
        <v>43</v>
      </c>
      <c r="S70" s="515"/>
      <c r="T70" s="515"/>
      <c r="U70" s="515"/>
      <c r="V70" s="515"/>
      <c r="W70" s="515"/>
      <c r="X70" s="515"/>
      <c r="Y70" s="515"/>
      <c r="Z70" s="515"/>
      <c r="AA70" s="514"/>
      <c r="AB70" s="512" t="s">
        <v>44</v>
      </c>
      <c r="AC70" s="512"/>
      <c r="AD70" s="516"/>
      <c r="AF70" s="84">
        <f>SUM(AF67:AF69)</f>
        <v>96000</v>
      </c>
    </row>
    <row r="71" spans="1:32" ht="25.5" customHeight="1">
      <c r="A71" s="517">
        <v>1</v>
      </c>
      <c r="B71" s="518"/>
      <c r="C71" s="104" t="s">
        <v>112</v>
      </c>
      <c r="D71" s="207"/>
      <c r="E71" s="210" t="s">
        <v>148</v>
      </c>
      <c r="F71" s="519" t="s">
        <v>311</v>
      </c>
      <c r="G71" s="520"/>
      <c r="H71" s="520"/>
      <c r="I71" s="520"/>
      <c r="J71" s="521"/>
      <c r="K71" s="522" t="s">
        <v>147</v>
      </c>
      <c r="L71" s="522"/>
      <c r="M71" s="51" t="s">
        <v>205</v>
      </c>
      <c r="N71" s="523" t="s">
        <v>169</v>
      </c>
      <c r="O71" s="523"/>
      <c r="P71" s="524">
        <v>300</v>
      </c>
      <c r="Q71" s="524"/>
      <c r="R71" s="498" t="s">
        <v>312</v>
      </c>
      <c r="S71" s="498"/>
      <c r="T71" s="498"/>
      <c r="U71" s="498"/>
      <c r="V71" s="498"/>
      <c r="W71" s="498"/>
      <c r="X71" s="498"/>
      <c r="Y71" s="498"/>
      <c r="Z71" s="498"/>
      <c r="AA71" s="498"/>
      <c r="AB71" s="522"/>
      <c r="AC71" s="522"/>
      <c r="AD71" s="525"/>
      <c r="AF71" s="50"/>
    </row>
    <row r="72" spans="1:32" ht="25.5" customHeight="1">
      <c r="A72" s="517">
        <v>2</v>
      </c>
      <c r="B72" s="518"/>
      <c r="C72" s="104" t="s">
        <v>112</v>
      </c>
      <c r="D72" s="207"/>
      <c r="E72" s="210" t="s">
        <v>314</v>
      </c>
      <c r="F72" s="519" t="s">
        <v>313</v>
      </c>
      <c r="G72" s="520"/>
      <c r="H72" s="520"/>
      <c r="I72" s="520"/>
      <c r="J72" s="521"/>
      <c r="K72" s="522" t="s">
        <v>146</v>
      </c>
      <c r="L72" s="522"/>
      <c r="M72" s="51" t="s">
        <v>205</v>
      </c>
      <c r="N72" s="523" t="s">
        <v>169</v>
      </c>
      <c r="O72" s="523"/>
      <c r="P72" s="524">
        <v>800</v>
      </c>
      <c r="Q72" s="524"/>
      <c r="R72" s="498" t="s">
        <v>315</v>
      </c>
      <c r="S72" s="498"/>
      <c r="T72" s="498"/>
      <c r="U72" s="498"/>
      <c r="V72" s="498"/>
      <c r="W72" s="498"/>
      <c r="X72" s="498"/>
      <c r="Y72" s="498"/>
      <c r="Z72" s="498"/>
      <c r="AA72" s="498"/>
      <c r="AB72" s="522"/>
      <c r="AC72" s="522"/>
      <c r="AD72" s="525"/>
      <c r="AF72" s="50"/>
    </row>
    <row r="73" spans="1:32" ht="25.5" customHeight="1">
      <c r="A73" s="517">
        <v>3</v>
      </c>
      <c r="B73" s="518"/>
      <c r="C73" s="104" t="s">
        <v>203</v>
      </c>
      <c r="D73" s="207"/>
      <c r="E73" s="210" t="s">
        <v>115</v>
      </c>
      <c r="F73" s="519" t="s">
        <v>244</v>
      </c>
      <c r="G73" s="520"/>
      <c r="H73" s="520"/>
      <c r="I73" s="520"/>
      <c r="J73" s="521"/>
      <c r="K73" s="522">
        <v>7301</v>
      </c>
      <c r="L73" s="522"/>
      <c r="M73" s="51" t="s">
        <v>178</v>
      </c>
      <c r="N73" s="523" t="s">
        <v>206</v>
      </c>
      <c r="O73" s="523"/>
      <c r="P73" s="524">
        <v>50</v>
      </c>
      <c r="Q73" s="524"/>
      <c r="R73" s="498"/>
      <c r="S73" s="498"/>
      <c r="T73" s="498"/>
      <c r="U73" s="498"/>
      <c r="V73" s="498"/>
      <c r="W73" s="498"/>
      <c r="X73" s="498"/>
      <c r="Y73" s="498"/>
      <c r="Z73" s="498"/>
      <c r="AA73" s="498"/>
      <c r="AB73" s="522"/>
      <c r="AC73" s="522"/>
      <c r="AD73" s="525"/>
      <c r="AF73" s="50"/>
    </row>
    <row r="74" spans="1:32" ht="25.5" customHeight="1">
      <c r="A74" s="517">
        <v>4</v>
      </c>
      <c r="B74" s="518"/>
      <c r="C74" s="104" t="s">
        <v>112</v>
      </c>
      <c r="D74" s="207"/>
      <c r="E74" s="210" t="s">
        <v>317</v>
      </c>
      <c r="F74" s="519" t="s">
        <v>316</v>
      </c>
      <c r="G74" s="520"/>
      <c r="H74" s="520"/>
      <c r="I74" s="520"/>
      <c r="J74" s="521"/>
      <c r="K74" s="522" t="s">
        <v>145</v>
      </c>
      <c r="L74" s="522"/>
      <c r="M74" s="51" t="s">
        <v>205</v>
      </c>
      <c r="N74" s="523" t="s">
        <v>286</v>
      </c>
      <c r="O74" s="523"/>
      <c r="P74" s="524">
        <v>800</v>
      </c>
      <c r="Q74" s="524"/>
      <c r="R74" s="498"/>
      <c r="S74" s="498"/>
      <c r="T74" s="498"/>
      <c r="U74" s="498"/>
      <c r="V74" s="498"/>
      <c r="W74" s="498"/>
      <c r="X74" s="498"/>
      <c r="Y74" s="498"/>
      <c r="Z74" s="498"/>
      <c r="AA74" s="498"/>
      <c r="AB74" s="522"/>
      <c r="AC74" s="522"/>
      <c r="AD74" s="525"/>
      <c r="AF74" s="50"/>
    </row>
    <row r="75" spans="1:32" ht="25.5" customHeight="1">
      <c r="A75" s="517">
        <v>5</v>
      </c>
      <c r="B75" s="518"/>
      <c r="C75" s="104"/>
      <c r="D75" s="207"/>
      <c r="E75" s="210"/>
      <c r="F75" s="519"/>
      <c r="G75" s="520"/>
      <c r="H75" s="520"/>
      <c r="I75" s="520"/>
      <c r="J75" s="521"/>
      <c r="K75" s="522"/>
      <c r="L75" s="522"/>
      <c r="M75" s="51"/>
      <c r="N75" s="523"/>
      <c r="O75" s="523"/>
      <c r="P75" s="524"/>
      <c r="Q75" s="524"/>
      <c r="R75" s="498"/>
      <c r="S75" s="498"/>
      <c r="T75" s="498"/>
      <c r="U75" s="498"/>
      <c r="V75" s="498"/>
      <c r="W75" s="498"/>
      <c r="X75" s="498"/>
      <c r="Y75" s="498"/>
      <c r="Z75" s="498"/>
      <c r="AA75" s="498"/>
      <c r="AB75" s="522"/>
      <c r="AC75" s="522"/>
      <c r="AD75" s="525"/>
      <c r="AF75" s="50"/>
    </row>
    <row r="76" spans="1:32" ht="25.5" customHeight="1">
      <c r="A76" s="517">
        <v>6</v>
      </c>
      <c r="B76" s="518"/>
      <c r="C76" s="104"/>
      <c r="D76" s="207"/>
      <c r="E76" s="210"/>
      <c r="F76" s="519"/>
      <c r="G76" s="520"/>
      <c r="H76" s="520"/>
      <c r="I76" s="520"/>
      <c r="J76" s="521"/>
      <c r="K76" s="522"/>
      <c r="L76" s="522"/>
      <c r="M76" s="51"/>
      <c r="N76" s="523"/>
      <c r="O76" s="523"/>
      <c r="P76" s="524"/>
      <c r="Q76" s="524"/>
      <c r="R76" s="498"/>
      <c r="S76" s="498"/>
      <c r="T76" s="498"/>
      <c r="U76" s="498"/>
      <c r="V76" s="498"/>
      <c r="W76" s="498"/>
      <c r="X76" s="498"/>
      <c r="Y76" s="498"/>
      <c r="Z76" s="498"/>
      <c r="AA76" s="498"/>
      <c r="AB76" s="522"/>
      <c r="AC76" s="522"/>
      <c r="AD76" s="525"/>
      <c r="AF76" s="50"/>
    </row>
    <row r="77" spans="1:32" ht="25.5" customHeight="1">
      <c r="A77" s="517">
        <v>7</v>
      </c>
      <c r="B77" s="518"/>
      <c r="C77" s="104"/>
      <c r="D77" s="207"/>
      <c r="E77" s="210"/>
      <c r="F77" s="519"/>
      <c r="G77" s="520"/>
      <c r="H77" s="520"/>
      <c r="I77" s="520"/>
      <c r="J77" s="521"/>
      <c r="K77" s="522"/>
      <c r="L77" s="522"/>
      <c r="M77" s="51"/>
      <c r="N77" s="523"/>
      <c r="O77" s="523"/>
      <c r="P77" s="524"/>
      <c r="Q77" s="524"/>
      <c r="R77" s="498"/>
      <c r="S77" s="498"/>
      <c r="T77" s="498"/>
      <c r="U77" s="498"/>
      <c r="V77" s="498"/>
      <c r="W77" s="498"/>
      <c r="X77" s="498"/>
      <c r="Y77" s="498"/>
      <c r="Z77" s="498"/>
      <c r="AA77" s="498"/>
      <c r="AB77" s="522"/>
      <c r="AC77" s="522"/>
      <c r="AD77" s="525"/>
      <c r="AF77" s="50"/>
    </row>
    <row r="78" spans="1:32" ht="25.5" customHeight="1">
      <c r="A78" s="517">
        <v>8</v>
      </c>
      <c r="B78" s="518"/>
      <c r="C78" s="104"/>
      <c r="D78" s="207"/>
      <c r="E78" s="210"/>
      <c r="F78" s="526"/>
      <c r="G78" s="522"/>
      <c r="H78" s="522"/>
      <c r="I78" s="522"/>
      <c r="J78" s="522"/>
      <c r="K78" s="522"/>
      <c r="L78" s="522"/>
      <c r="M78" s="51"/>
      <c r="N78" s="523"/>
      <c r="O78" s="523"/>
      <c r="P78" s="524"/>
      <c r="Q78" s="524"/>
      <c r="R78" s="498"/>
      <c r="S78" s="498"/>
      <c r="T78" s="498"/>
      <c r="U78" s="498"/>
      <c r="V78" s="498"/>
      <c r="W78" s="498"/>
      <c r="X78" s="498"/>
      <c r="Y78" s="498"/>
      <c r="Z78" s="498"/>
      <c r="AA78" s="498"/>
      <c r="AB78" s="522"/>
      <c r="AC78" s="522"/>
      <c r="AD78" s="525"/>
      <c r="AF78" s="50"/>
    </row>
    <row r="79" spans="1:32" ht="25.5" customHeight="1">
      <c r="A79" s="517">
        <v>9</v>
      </c>
      <c r="B79" s="518"/>
      <c r="C79" s="104"/>
      <c r="D79" s="207"/>
      <c r="E79" s="210"/>
      <c r="F79" s="526"/>
      <c r="G79" s="522"/>
      <c r="H79" s="522"/>
      <c r="I79" s="522"/>
      <c r="J79" s="522"/>
      <c r="K79" s="522"/>
      <c r="L79" s="522"/>
      <c r="M79" s="51"/>
      <c r="N79" s="523"/>
      <c r="O79" s="523"/>
      <c r="P79" s="524"/>
      <c r="Q79" s="524"/>
      <c r="R79" s="498"/>
      <c r="S79" s="498"/>
      <c r="T79" s="498"/>
      <c r="U79" s="498"/>
      <c r="V79" s="498"/>
      <c r="W79" s="498"/>
      <c r="X79" s="498"/>
      <c r="Y79" s="498"/>
      <c r="Z79" s="498"/>
      <c r="AA79" s="498"/>
      <c r="AB79" s="522"/>
      <c r="AC79" s="522"/>
      <c r="AD79" s="525"/>
      <c r="AF79" s="50"/>
    </row>
    <row r="80" spans="1:32" ht="25.5" customHeight="1">
      <c r="A80" s="517">
        <v>10</v>
      </c>
      <c r="B80" s="518"/>
      <c r="C80" s="104"/>
      <c r="D80" s="207"/>
      <c r="E80" s="210"/>
      <c r="F80" s="526"/>
      <c r="G80" s="522"/>
      <c r="H80" s="522"/>
      <c r="I80" s="522"/>
      <c r="J80" s="522"/>
      <c r="K80" s="522"/>
      <c r="L80" s="522"/>
      <c r="M80" s="51"/>
      <c r="N80" s="523"/>
      <c r="O80" s="523"/>
      <c r="P80" s="524"/>
      <c r="Q80" s="524"/>
      <c r="R80" s="498"/>
      <c r="S80" s="498"/>
      <c r="T80" s="498"/>
      <c r="U80" s="498"/>
      <c r="V80" s="498"/>
      <c r="W80" s="498"/>
      <c r="X80" s="498"/>
      <c r="Y80" s="498"/>
      <c r="Z80" s="498"/>
      <c r="AA80" s="498"/>
      <c r="AB80" s="522"/>
      <c r="AC80" s="522"/>
      <c r="AD80" s="525"/>
      <c r="AF80" s="50"/>
    </row>
    <row r="81" spans="1:32" ht="26.25" customHeight="1" thickBot="1">
      <c r="A81" s="527" t="s">
        <v>318</v>
      </c>
      <c r="B81" s="527"/>
      <c r="C81" s="527"/>
      <c r="D81" s="527"/>
      <c r="E81" s="527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528" t="s">
        <v>111</v>
      </c>
      <c r="B82" s="529"/>
      <c r="C82" s="209" t="s">
        <v>2</v>
      </c>
      <c r="D82" s="209" t="s">
        <v>37</v>
      </c>
      <c r="E82" s="209" t="s">
        <v>121</v>
      </c>
      <c r="F82" s="530" t="s">
        <v>38</v>
      </c>
      <c r="G82" s="530"/>
      <c r="H82" s="530"/>
      <c r="I82" s="530"/>
      <c r="J82" s="530"/>
      <c r="K82" s="531" t="s">
        <v>58</v>
      </c>
      <c r="L82" s="532"/>
      <c r="M82" s="532"/>
      <c r="N82" s="532"/>
      <c r="O82" s="532"/>
      <c r="P82" s="532"/>
      <c r="Q82" s="532"/>
      <c r="R82" s="532"/>
      <c r="S82" s="533"/>
      <c r="T82" s="530" t="s">
        <v>49</v>
      </c>
      <c r="U82" s="530"/>
      <c r="V82" s="531" t="s">
        <v>50</v>
      </c>
      <c r="W82" s="533"/>
      <c r="X82" s="532" t="s">
        <v>51</v>
      </c>
      <c r="Y82" s="532"/>
      <c r="Z82" s="532"/>
      <c r="AA82" s="532"/>
      <c r="AB82" s="532"/>
      <c r="AC82" s="532"/>
      <c r="AD82" s="534"/>
      <c r="AF82" s="50"/>
    </row>
    <row r="83" spans="1:32" ht="33.75" customHeight="1">
      <c r="A83" s="543">
        <v>1</v>
      </c>
      <c r="B83" s="544"/>
      <c r="C83" s="208"/>
      <c r="D83" s="208"/>
      <c r="E83" s="65"/>
      <c r="F83" s="545"/>
      <c r="G83" s="546"/>
      <c r="H83" s="546"/>
      <c r="I83" s="546"/>
      <c r="J83" s="547"/>
      <c r="K83" s="548"/>
      <c r="L83" s="549"/>
      <c r="M83" s="549"/>
      <c r="N83" s="549"/>
      <c r="O83" s="549"/>
      <c r="P83" s="549"/>
      <c r="Q83" s="549"/>
      <c r="R83" s="549"/>
      <c r="S83" s="550"/>
      <c r="T83" s="551"/>
      <c r="U83" s="552"/>
      <c r="V83" s="553"/>
      <c r="W83" s="553"/>
      <c r="X83" s="554"/>
      <c r="Y83" s="554"/>
      <c r="Z83" s="554"/>
      <c r="AA83" s="554"/>
      <c r="AB83" s="554"/>
      <c r="AC83" s="554"/>
      <c r="AD83" s="555"/>
      <c r="AF83" s="50"/>
    </row>
    <row r="84" spans="1:32" ht="30" customHeight="1">
      <c r="A84" s="535">
        <f>A83+1</f>
        <v>2</v>
      </c>
      <c r="B84" s="536"/>
      <c r="C84" s="207"/>
      <c r="D84" s="207"/>
      <c r="E84" s="32"/>
      <c r="F84" s="536"/>
      <c r="G84" s="536"/>
      <c r="H84" s="536"/>
      <c r="I84" s="536"/>
      <c r="J84" s="536"/>
      <c r="K84" s="537"/>
      <c r="L84" s="538"/>
      <c r="M84" s="538"/>
      <c r="N84" s="538"/>
      <c r="O84" s="538"/>
      <c r="P84" s="538"/>
      <c r="Q84" s="538"/>
      <c r="R84" s="538"/>
      <c r="S84" s="539"/>
      <c r="T84" s="540"/>
      <c r="U84" s="540"/>
      <c r="V84" s="540"/>
      <c r="W84" s="540"/>
      <c r="X84" s="541"/>
      <c r="Y84" s="541"/>
      <c r="Z84" s="541"/>
      <c r="AA84" s="541"/>
      <c r="AB84" s="541"/>
      <c r="AC84" s="541"/>
      <c r="AD84" s="542"/>
      <c r="AF84" s="50"/>
    </row>
    <row r="85" spans="1:32" ht="30" customHeight="1">
      <c r="A85" s="535">
        <f t="shared" ref="A85:A89" si="20">A84+1</f>
        <v>3</v>
      </c>
      <c r="B85" s="536"/>
      <c r="C85" s="207"/>
      <c r="D85" s="207"/>
      <c r="E85" s="32"/>
      <c r="F85" s="536"/>
      <c r="G85" s="536"/>
      <c r="H85" s="536"/>
      <c r="I85" s="536"/>
      <c r="J85" s="536"/>
      <c r="K85" s="537"/>
      <c r="L85" s="538"/>
      <c r="M85" s="538"/>
      <c r="N85" s="538"/>
      <c r="O85" s="538"/>
      <c r="P85" s="538"/>
      <c r="Q85" s="538"/>
      <c r="R85" s="538"/>
      <c r="S85" s="539"/>
      <c r="T85" s="540"/>
      <c r="U85" s="540"/>
      <c r="V85" s="540"/>
      <c r="W85" s="540"/>
      <c r="X85" s="541"/>
      <c r="Y85" s="541"/>
      <c r="Z85" s="541"/>
      <c r="AA85" s="541"/>
      <c r="AB85" s="541"/>
      <c r="AC85" s="541"/>
      <c r="AD85" s="542"/>
      <c r="AF85" s="50"/>
    </row>
    <row r="86" spans="1:32" ht="30" customHeight="1">
      <c r="A86" s="535">
        <f t="shared" si="20"/>
        <v>4</v>
      </c>
      <c r="B86" s="536"/>
      <c r="C86" s="207"/>
      <c r="D86" s="207"/>
      <c r="E86" s="32"/>
      <c r="F86" s="536"/>
      <c r="G86" s="536"/>
      <c r="H86" s="536"/>
      <c r="I86" s="536"/>
      <c r="J86" s="536"/>
      <c r="K86" s="537"/>
      <c r="L86" s="538"/>
      <c r="M86" s="538"/>
      <c r="N86" s="538"/>
      <c r="O86" s="538"/>
      <c r="P86" s="538"/>
      <c r="Q86" s="538"/>
      <c r="R86" s="538"/>
      <c r="S86" s="539"/>
      <c r="T86" s="540"/>
      <c r="U86" s="540"/>
      <c r="V86" s="540"/>
      <c r="W86" s="540"/>
      <c r="X86" s="541"/>
      <c r="Y86" s="541"/>
      <c r="Z86" s="541"/>
      <c r="AA86" s="541"/>
      <c r="AB86" s="541"/>
      <c r="AC86" s="541"/>
      <c r="AD86" s="542"/>
      <c r="AF86" s="50"/>
    </row>
    <row r="87" spans="1:32" ht="30" customHeight="1">
      <c r="A87" s="535">
        <f t="shared" si="20"/>
        <v>5</v>
      </c>
      <c r="B87" s="536"/>
      <c r="C87" s="207"/>
      <c r="D87" s="207"/>
      <c r="E87" s="32"/>
      <c r="F87" s="536"/>
      <c r="G87" s="536"/>
      <c r="H87" s="536"/>
      <c r="I87" s="536"/>
      <c r="J87" s="536"/>
      <c r="K87" s="537"/>
      <c r="L87" s="538"/>
      <c r="M87" s="538"/>
      <c r="N87" s="538"/>
      <c r="O87" s="538"/>
      <c r="P87" s="538"/>
      <c r="Q87" s="538"/>
      <c r="R87" s="538"/>
      <c r="S87" s="539"/>
      <c r="T87" s="540"/>
      <c r="U87" s="540"/>
      <c r="V87" s="540"/>
      <c r="W87" s="540"/>
      <c r="X87" s="541"/>
      <c r="Y87" s="541"/>
      <c r="Z87" s="541"/>
      <c r="AA87" s="541"/>
      <c r="AB87" s="541"/>
      <c r="AC87" s="541"/>
      <c r="AD87" s="542"/>
      <c r="AF87" s="50"/>
    </row>
    <row r="88" spans="1:32" ht="30" customHeight="1">
      <c r="A88" s="535">
        <f t="shared" si="20"/>
        <v>6</v>
      </c>
      <c r="B88" s="536"/>
      <c r="C88" s="207"/>
      <c r="D88" s="207"/>
      <c r="E88" s="32"/>
      <c r="F88" s="536"/>
      <c r="G88" s="536"/>
      <c r="H88" s="536"/>
      <c r="I88" s="536"/>
      <c r="J88" s="536"/>
      <c r="K88" s="537"/>
      <c r="L88" s="538"/>
      <c r="M88" s="538"/>
      <c r="N88" s="538"/>
      <c r="O88" s="538"/>
      <c r="P88" s="538"/>
      <c r="Q88" s="538"/>
      <c r="R88" s="538"/>
      <c r="S88" s="539"/>
      <c r="T88" s="540"/>
      <c r="U88" s="540"/>
      <c r="V88" s="540"/>
      <c r="W88" s="540"/>
      <c r="X88" s="541"/>
      <c r="Y88" s="541"/>
      <c r="Z88" s="541"/>
      <c r="AA88" s="541"/>
      <c r="AB88" s="541"/>
      <c r="AC88" s="541"/>
      <c r="AD88" s="542"/>
      <c r="AF88" s="50"/>
    </row>
    <row r="89" spans="1:32" ht="30" customHeight="1">
      <c r="A89" s="535">
        <f t="shared" si="20"/>
        <v>7</v>
      </c>
      <c r="B89" s="536"/>
      <c r="C89" s="207"/>
      <c r="D89" s="207"/>
      <c r="E89" s="32"/>
      <c r="F89" s="536"/>
      <c r="G89" s="536"/>
      <c r="H89" s="536"/>
      <c r="I89" s="536"/>
      <c r="J89" s="536"/>
      <c r="K89" s="537"/>
      <c r="L89" s="538"/>
      <c r="M89" s="538"/>
      <c r="N89" s="538"/>
      <c r="O89" s="538"/>
      <c r="P89" s="538"/>
      <c r="Q89" s="538"/>
      <c r="R89" s="538"/>
      <c r="S89" s="539"/>
      <c r="T89" s="540"/>
      <c r="U89" s="540"/>
      <c r="V89" s="540"/>
      <c r="W89" s="540"/>
      <c r="X89" s="541"/>
      <c r="Y89" s="541"/>
      <c r="Z89" s="541"/>
      <c r="AA89" s="541"/>
      <c r="AB89" s="541"/>
      <c r="AC89" s="541"/>
      <c r="AD89" s="542"/>
      <c r="AF89" s="50"/>
    </row>
    <row r="90" spans="1:32" ht="36" thickBot="1">
      <c r="A90" s="527" t="s">
        <v>319</v>
      </c>
      <c r="B90" s="527"/>
      <c r="C90" s="527"/>
      <c r="D90" s="527"/>
      <c r="E90" s="527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556" t="s">
        <v>111</v>
      </c>
      <c r="B91" s="530"/>
      <c r="C91" s="557" t="s">
        <v>52</v>
      </c>
      <c r="D91" s="557"/>
      <c r="E91" s="557" t="s">
        <v>53</v>
      </c>
      <c r="F91" s="557"/>
      <c r="G91" s="557"/>
      <c r="H91" s="557"/>
      <c r="I91" s="557"/>
      <c r="J91" s="557"/>
      <c r="K91" s="557" t="s">
        <v>54</v>
      </c>
      <c r="L91" s="557"/>
      <c r="M91" s="557"/>
      <c r="N91" s="557"/>
      <c r="O91" s="557"/>
      <c r="P91" s="557"/>
      <c r="Q91" s="557"/>
      <c r="R91" s="557"/>
      <c r="S91" s="557"/>
      <c r="T91" s="557" t="s">
        <v>55</v>
      </c>
      <c r="U91" s="557"/>
      <c r="V91" s="557" t="s">
        <v>56</v>
      </c>
      <c r="W91" s="557"/>
      <c r="X91" s="557"/>
      <c r="Y91" s="557" t="s">
        <v>51</v>
      </c>
      <c r="Z91" s="557"/>
      <c r="AA91" s="557"/>
      <c r="AB91" s="557"/>
      <c r="AC91" s="557"/>
      <c r="AD91" s="558"/>
      <c r="AF91" s="50"/>
    </row>
    <row r="92" spans="1:32" ht="30.75" customHeight="1">
      <c r="A92" s="543">
        <v>1</v>
      </c>
      <c r="B92" s="544"/>
      <c r="C92" s="559">
        <v>9</v>
      </c>
      <c r="D92" s="559"/>
      <c r="E92" s="559" t="s">
        <v>127</v>
      </c>
      <c r="F92" s="559"/>
      <c r="G92" s="559"/>
      <c r="H92" s="559"/>
      <c r="I92" s="559"/>
      <c r="J92" s="559"/>
      <c r="K92" s="559" t="s">
        <v>136</v>
      </c>
      <c r="L92" s="559"/>
      <c r="M92" s="559"/>
      <c r="N92" s="559"/>
      <c r="O92" s="559"/>
      <c r="P92" s="559"/>
      <c r="Q92" s="559"/>
      <c r="R92" s="559"/>
      <c r="S92" s="559"/>
      <c r="T92" s="559" t="s">
        <v>128</v>
      </c>
      <c r="U92" s="559"/>
      <c r="V92" s="560" t="s">
        <v>133</v>
      </c>
      <c r="W92" s="560"/>
      <c r="X92" s="560"/>
      <c r="Y92" s="561"/>
      <c r="Z92" s="561"/>
      <c r="AA92" s="561"/>
      <c r="AB92" s="561"/>
      <c r="AC92" s="561"/>
      <c r="AD92" s="562"/>
      <c r="AF92" s="50"/>
    </row>
    <row r="93" spans="1:32" ht="30.75" customHeight="1">
      <c r="A93" s="535">
        <v>2</v>
      </c>
      <c r="B93" s="536"/>
      <c r="C93" s="570"/>
      <c r="D93" s="570"/>
      <c r="E93" s="570"/>
      <c r="F93" s="570"/>
      <c r="G93" s="570"/>
      <c r="H93" s="570"/>
      <c r="I93" s="570"/>
      <c r="J93" s="570"/>
      <c r="K93" s="570"/>
      <c r="L93" s="570"/>
      <c r="M93" s="570"/>
      <c r="N93" s="570"/>
      <c r="O93" s="570"/>
      <c r="P93" s="570"/>
      <c r="Q93" s="570"/>
      <c r="R93" s="570"/>
      <c r="S93" s="570"/>
      <c r="T93" s="571"/>
      <c r="U93" s="571"/>
      <c r="V93" s="572"/>
      <c r="W93" s="572"/>
      <c r="X93" s="572"/>
      <c r="Y93" s="563"/>
      <c r="Z93" s="563"/>
      <c r="AA93" s="563"/>
      <c r="AB93" s="563"/>
      <c r="AC93" s="563"/>
      <c r="AD93" s="564"/>
      <c r="AF93" s="50"/>
    </row>
    <row r="94" spans="1:32" ht="30.75" customHeight="1" thickBot="1">
      <c r="A94" s="565">
        <v>3</v>
      </c>
      <c r="B94" s="566"/>
      <c r="C94" s="567"/>
      <c r="D94" s="567"/>
      <c r="E94" s="567"/>
      <c r="F94" s="567"/>
      <c r="G94" s="567"/>
      <c r="H94" s="567"/>
      <c r="I94" s="567"/>
      <c r="J94" s="567"/>
      <c r="K94" s="567"/>
      <c r="L94" s="567"/>
      <c r="M94" s="567"/>
      <c r="N94" s="567"/>
      <c r="O94" s="567"/>
      <c r="P94" s="567"/>
      <c r="Q94" s="567"/>
      <c r="R94" s="567"/>
      <c r="S94" s="567"/>
      <c r="T94" s="567"/>
      <c r="U94" s="567"/>
      <c r="V94" s="573"/>
      <c r="W94" s="573"/>
      <c r="X94" s="573"/>
      <c r="Y94" s="568"/>
      <c r="Z94" s="568"/>
      <c r="AA94" s="568"/>
      <c r="AB94" s="568"/>
      <c r="AC94" s="568"/>
      <c r="AD94" s="569"/>
      <c r="AF94" s="50"/>
    </row>
  </sheetData>
  <mergeCells count="232"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4" max="29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E372-163D-4305-8030-CD2CF25C0477}">
  <dimension ref="A1:AF98"/>
  <sheetViews>
    <sheetView view="pageBreakPreview" zoomScale="70" zoomScaleNormal="72" zoomScaleSheetLayoutView="70" workbookViewId="0">
      <selection activeCell="A95" sqref="A95:B9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50" t="s">
        <v>320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1"/>
      <c r="B3" s="451"/>
      <c r="C3" s="451"/>
      <c r="D3" s="451"/>
      <c r="E3" s="451"/>
      <c r="F3" s="451"/>
      <c r="G3" s="45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52" t="s">
        <v>0</v>
      </c>
      <c r="B4" s="454" t="s">
        <v>1</v>
      </c>
      <c r="C4" s="454" t="s">
        <v>2</v>
      </c>
      <c r="D4" s="457" t="s">
        <v>3</v>
      </c>
      <c r="E4" s="459" t="s">
        <v>4</v>
      </c>
      <c r="F4" s="457" t="s">
        <v>5</v>
      </c>
      <c r="G4" s="454" t="s">
        <v>6</v>
      </c>
      <c r="H4" s="460" t="s">
        <v>7</v>
      </c>
      <c r="I4" s="480" t="s">
        <v>8</v>
      </c>
      <c r="J4" s="481"/>
      <c r="K4" s="481"/>
      <c r="L4" s="481"/>
      <c r="M4" s="481"/>
      <c r="N4" s="481"/>
      <c r="O4" s="482"/>
      <c r="P4" s="483" t="s">
        <v>9</v>
      </c>
      <c r="Q4" s="484"/>
      <c r="R4" s="486" t="s">
        <v>10</v>
      </c>
      <c r="S4" s="485"/>
      <c r="T4" s="485"/>
      <c r="U4" s="485"/>
      <c r="V4" s="487"/>
      <c r="W4" s="485" t="s">
        <v>11</v>
      </c>
      <c r="X4" s="485"/>
      <c r="Y4" s="485"/>
      <c r="Z4" s="485"/>
      <c r="AA4" s="487"/>
      <c r="AB4" s="488" t="s">
        <v>12</v>
      </c>
      <c r="AC4" s="462" t="s">
        <v>13</v>
      </c>
      <c r="AD4" s="462" t="s">
        <v>14</v>
      </c>
      <c r="AE4" s="54"/>
    </row>
    <row r="5" spans="1:32" ht="51" customHeight="1" thickBot="1">
      <c r="A5" s="453"/>
      <c r="B5" s="455"/>
      <c r="C5" s="456"/>
      <c r="D5" s="458"/>
      <c r="E5" s="458"/>
      <c r="F5" s="458"/>
      <c r="G5" s="455"/>
      <c r="H5" s="461"/>
      <c r="I5" s="55" t="s">
        <v>15</v>
      </c>
      <c r="J5" s="56" t="s">
        <v>16</v>
      </c>
      <c r="K5" s="220" t="s">
        <v>17</v>
      </c>
      <c r="L5" s="220" t="s">
        <v>18</v>
      </c>
      <c r="M5" s="220" t="s">
        <v>19</v>
      </c>
      <c r="N5" s="22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89"/>
      <c r="AC5" s="463"/>
      <c r="AD5" s="463"/>
      <c r="AE5" s="54"/>
    </row>
    <row r="6" spans="1:32" ht="27" customHeight="1">
      <c r="A6" s="112">
        <v>1</v>
      </c>
      <c r="B6" s="11" t="s">
        <v>57</v>
      </c>
      <c r="C6" s="34" t="s">
        <v>116</v>
      </c>
      <c r="D6" s="52" t="s">
        <v>130</v>
      </c>
      <c r="E6" s="53" t="s">
        <v>158</v>
      </c>
      <c r="F6" s="30" t="s">
        <v>146</v>
      </c>
      <c r="G6" s="12">
        <v>2</v>
      </c>
      <c r="H6" s="13">
        <v>24</v>
      </c>
      <c r="I6" s="31">
        <v>174000</v>
      </c>
      <c r="J6" s="14">
        <v>2738</v>
      </c>
      <c r="K6" s="15">
        <f>L6+2384+8412+9776+8821+8774+10138+6972+8852+4388+11916</f>
        <v>83171</v>
      </c>
      <c r="L6" s="15">
        <f>1369*2</f>
        <v>2738</v>
      </c>
      <c r="M6" s="15">
        <f t="shared" ref="M6:M32" si="0">L6-N6</f>
        <v>2738</v>
      </c>
      <c r="N6" s="15">
        <v>0</v>
      </c>
      <c r="O6" s="58">
        <f t="shared" ref="O6:O33" si="1">IF(L6=0,"0",N6/L6)</f>
        <v>0</v>
      </c>
      <c r="P6" s="39">
        <f t="shared" ref="P6:P32" si="2">IF(L6=0,"0",(24-Q6))</f>
        <v>6</v>
      </c>
      <c r="Q6" s="40">
        <f t="shared" ref="Q6:Q32" si="3">SUM(R6:AA6)</f>
        <v>18</v>
      </c>
      <c r="R6" s="7"/>
      <c r="S6" s="6">
        <v>18</v>
      </c>
      <c r="T6" s="16"/>
      <c r="U6" s="16"/>
      <c r="V6" s="17"/>
      <c r="W6" s="5"/>
      <c r="X6" s="16"/>
      <c r="Y6" s="16"/>
      <c r="Z6" s="16"/>
      <c r="AA6" s="18"/>
      <c r="AB6" s="8">
        <f t="shared" ref="AB6:AB32" si="4">IF(J6=0,"0",(L6/J6))</f>
        <v>1</v>
      </c>
      <c r="AC6" s="9">
        <f t="shared" ref="AC6:AC32" si="5">IF(P6=0,"0",(P6/24))</f>
        <v>0.25</v>
      </c>
      <c r="AD6" s="10">
        <f t="shared" ref="AD6:AD32" si="6">AC6*AB6*(1-O6)</f>
        <v>0.25</v>
      </c>
      <c r="AE6" s="36">
        <f t="shared" ref="AE6:AE32" si="7">$AD$33</f>
        <v>0.34567901234567905</v>
      </c>
      <c r="AF6" s="84">
        <f t="shared" ref="AF6:AF32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148</v>
      </c>
      <c r="E7" s="53" t="s">
        <v>308</v>
      </c>
      <c r="F7" s="30" t="s">
        <v>147</v>
      </c>
      <c r="G7" s="12">
        <v>1</v>
      </c>
      <c r="H7" s="13">
        <v>24</v>
      </c>
      <c r="I7" s="31">
        <v>300</v>
      </c>
      <c r="J7" s="14">
        <v>632</v>
      </c>
      <c r="K7" s="15">
        <f>L7</f>
        <v>632</v>
      </c>
      <c r="L7" s="15">
        <f>632</f>
        <v>632</v>
      </c>
      <c r="M7" s="15">
        <f t="shared" si="0"/>
        <v>632</v>
      </c>
      <c r="N7" s="15">
        <v>0</v>
      </c>
      <c r="O7" s="58">
        <f t="shared" si="1"/>
        <v>0</v>
      </c>
      <c r="P7" s="39">
        <f t="shared" si="2"/>
        <v>3</v>
      </c>
      <c r="Q7" s="40">
        <f t="shared" si="3"/>
        <v>21</v>
      </c>
      <c r="R7" s="7"/>
      <c r="S7" s="6"/>
      <c r="T7" s="16"/>
      <c r="U7" s="16"/>
      <c r="V7" s="17"/>
      <c r="W7" s="5">
        <v>21</v>
      </c>
      <c r="X7" s="16"/>
      <c r="Y7" s="16"/>
      <c r="Z7" s="16"/>
      <c r="AA7" s="18"/>
      <c r="AB7" s="8">
        <f t="shared" si="4"/>
        <v>1</v>
      </c>
      <c r="AC7" s="9">
        <f t="shared" si="5"/>
        <v>0.125</v>
      </c>
      <c r="AD7" s="10">
        <f t="shared" si="6"/>
        <v>0.125</v>
      </c>
      <c r="AE7" s="36">
        <f t="shared" si="7"/>
        <v>0.34567901234567905</v>
      </c>
      <c r="AF7" s="84">
        <f t="shared" si="8"/>
        <v>2</v>
      </c>
    </row>
    <row r="8" spans="1:32" ht="27" customHeight="1">
      <c r="A8" s="112">
        <v>2</v>
      </c>
      <c r="B8" s="11" t="s">
        <v>57</v>
      </c>
      <c r="C8" s="34" t="s">
        <v>112</v>
      </c>
      <c r="D8" s="52" t="s">
        <v>148</v>
      </c>
      <c r="E8" s="53" t="s">
        <v>311</v>
      </c>
      <c r="F8" s="30" t="s">
        <v>147</v>
      </c>
      <c r="G8" s="12">
        <v>1</v>
      </c>
      <c r="H8" s="13">
        <v>24</v>
      </c>
      <c r="I8" s="31">
        <v>300</v>
      </c>
      <c r="J8" s="14">
        <v>371</v>
      </c>
      <c r="K8" s="15">
        <f>L8</f>
        <v>371</v>
      </c>
      <c r="L8" s="15">
        <v>371</v>
      </c>
      <c r="M8" s="15">
        <f t="shared" ref="M8" si="9">L8-N8</f>
        <v>371</v>
      </c>
      <c r="N8" s="15">
        <v>0</v>
      </c>
      <c r="O8" s="58">
        <f t="shared" ref="O8" si="10">IF(L8=0,"0",N8/L8)</f>
        <v>0</v>
      </c>
      <c r="P8" s="39">
        <f t="shared" ref="P8" si="11">IF(L8=0,"0",(24-Q8))</f>
        <v>2</v>
      </c>
      <c r="Q8" s="40">
        <f t="shared" ref="Q8" si="12">SUM(R8:AA8)</f>
        <v>22</v>
      </c>
      <c r="R8" s="7"/>
      <c r="S8" s="6"/>
      <c r="T8" s="16"/>
      <c r="U8" s="16"/>
      <c r="V8" s="17"/>
      <c r="W8" s="5">
        <v>22</v>
      </c>
      <c r="X8" s="16"/>
      <c r="Y8" s="16"/>
      <c r="Z8" s="16"/>
      <c r="AA8" s="18"/>
      <c r="AB8" s="8">
        <f t="shared" ref="AB8" si="13">IF(J8=0,"0",(L8/J8))</f>
        <v>1</v>
      </c>
      <c r="AC8" s="9">
        <f t="shared" ref="AC8" si="14">IF(P8=0,"0",(P8/24))</f>
        <v>8.3333333333333329E-2</v>
      </c>
      <c r="AD8" s="10">
        <f t="shared" ref="AD8" si="15">AC8*AB8*(1-O8)</f>
        <v>8.3333333333333329E-2</v>
      </c>
      <c r="AE8" s="36">
        <f t="shared" si="7"/>
        <v>0.34567901234567905</v>
      </c>
      <c r="AF8" s="84">
        <f t="shared" ref="AF8" si="16">A8</f>
        <v>2</v>
      </c>
    </row>
    <row r="9" spans="1:32" ht="27" customHeight="1">
      <c r="A9" s="96">
        <v>3</v>
      </c>
      <c r="B9" s="11" t="s">
        <v>57</v>
      </c>
      <c r="C9" s="34" t="s">
        <v>143</v>
      </c>
      <c r="D9" s="52" t="s">
        <v>124</v>
      </c>
      <c r="E9" s="53" t="s">
        <v>174</v>
      </c>
      <c r="F9" s="30" t="s">
        <v>144</v>
      </c>
      <c r="G9" s="12">
        <v>4</v>
      </c>
      <c r="H9" s="13">
        <v>24</v>
      </c>
      <c r="I9" s="7">
        <v>85000</v>
      </c>
      <c r="J9" s="14">
        <v>30608</v>
      </c>
      <c r="K9" s="15">
        <f>L9+12500+8020+23392+20408+29084</f>
        <v>124012</v>
      </c>
      <c r="L9" s="15">
        <f>3784*4+3868*4</f>
        <v>30608</v>
      </c>
      <c r="M9" s="15">
        <f t="shared" si="0"/>
        <v>30608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0.34567901234567905</v>
      </c>
      <c r="AF9" s="84">
        <f t="shared" si="8"/>
        <v>3</v>
      </c>
    </row>
    <row r="10" spans="1:32" ht="27" customHeight="1">
      <c r="A10" s="96">
        <v>4</v>
      </c>
      <c r="B10" s="11" t="s">
        <v>57</v>
      </c>
      <c r="C10" s="34" t="s">
        <v>116</v>
      </c>
      <c r="D10" s="52" t="s">
        <v>150</v>
      </c>
      <c r="E10" s="53" t="s">
        <v>290</v>
      </c>
      <c r="F10" s="30" t="s">
        <v>301</v>
      </c>
      <c r="G10" s="12">
        <v>1</v>
      </c>
      <c r="H10" s="13">
        <v>24</v>
      </c>
      <c r="I10" s="7">
        <v>4000</v>
      </c>
      <c r="J10" s="14">
        <v>859</v>
      </c>
      <c r="K10" s="15">
        <f>L10+2429</f>
        <v>3288</v>
      </c>
      <c r="L10" s="15">
        <f>859</f>
        <v>859</v>
      </c>
      <c r="M10" s="15">
        <f t="shared" si="0"/>
        <v>859</v>
      </c>
      <c r="N10" s="15">
        <v>0</v>
      </c>
      <c r="O10" s="58">
        <f t="shared" si="1"/>
        <v>0</v>
      </c>
      <c r="P10" s="39">
        <f t="shared" si="2"/>
        <v>4</v>
      </c>
      <c r="Q10" s="40">
        <f t="shared" si="3"/>
        <v>20</v>
      </c>
      <c r="R10" s="7"/>
      <c r="S10" s="6">
        <v>20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0.16666666666666666</v>
      </c>
      <c r="AD10" s="10">
        <f t="shared" si="6"/>
        <v>0.16666666666666666</v>
      </c>
      <c r="AE10" s="36">
        <f t="shared" si="7"/>
        <v>0.34567901234567905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11" t="s">
        <v>112</v>
      </c>
      <c r="D11" s="52" t="s">
        <v>115</v>
      </c>
      <c r="E11" s="53" t="s">
        <v>321</v>
      </c>
      <c r="F11" s="30" t="s">
        <v>145</v>
      </c>
      <c r="G11" s="33">
        <v>1</v>
      </c>
      <c r="H11" s="35">
        <v>24</v>
      </c>
      <c r="I11" s="7">
        <v>300</v>
      </c>
      <c r="J11" s="14">
        <v>475</v>
      </c>
      <c r="K11" s="15">
        <f>L11</f>
        <v>475</v>
      </c>
      <c r="L11" s="15">
        <v>475</v>
      </c>
      <c r="M11" s="15">
        <f t="shared" si="0"/>
        <v>475</v>
      </c>
      <c r="N11" s="15">
        <v>0</v>
      </c>
      <c r="O11" s="58">
        <f t="shared" si="1"/>
        <v>0</v>
      </c>
      <c r="P11" s="39">
        <f t="shared" si="2"/>
        <v>3</v>
      </c>
      <c r="Q11" s="40">
        <f t="shared" si="3"/>
        <v>21</v>
      </c>
      <c r="R11" s="7"/>
      <c r="S11" s="6">
        <v>4</v>
      </c>
      <c r="T11" s="16"/>
      <c r="U11" s="16"/>
      <c r="V11" s="17"/>
      <c r="W11" s="5">
        <v>17</v>
      </c>
      <c r="X11" s="16"/>
      <c r="Y11" s="16"/>
      <c r="Z11" s="16"/>
      <c r="AA11" s="18"/>
      <c r="AB11" s="8">
        <f t="shared" si="4"/>
        <v>1</v>
      </c>
      <c r="AC11" s="9">
        <f t="shared" si="5"/>
        <v>0.125</v>
      </c>
      <c r="AD11" s="10">
        <f t="shared" si="6"/>
        <v>0.125</v>
      </c>
      <c r="AE11" s="36">
        <f t="shared" si="7"/>
        <v>0.34567901234567905</v>
      </c>
      <c r="AF11" s="84">
        <f t="shared" si="8"/>
        <v>5</v>
      </c>
    </row>
    <row r="12" spans="1:32" ht="27" customHeight="1">
      <c r="A12" s="96">
        <v>5</v>
      </c>
      <c r="B12" s="11" t="s">
        <v>57</v>
      </c>
      <c r="C12" s="11" t="s">
        <v>112</v>
      </c>
      <c r="D12" s="52" t="s">
        <v>123</v>
      </c>
      <c r="E12" s="53" t="s">
        <v>322</v>
      </c>
      <c r="F12" s="30" t="s">
        <v>145</v>
      </c>
      <c r="G12" s="33">
        <v>1</v>
      </c>
      <c r="H12" s="35">
        <v>24</v>
      </c>
      <c r="I12" s="7">
        <v>300</v>
      </c>
      <c r="J12" s="14">
        <v>417</v>
      </c>
      <c r="K12" s="15">
        <f>L12</f>
        <v>417</v>
      </c>
      <c r="L12" s="15">
        <v>417</v>
      </c>
      <c r="M12" s="15">
        <f t="shared" ref="M12" si="17">L12-N12</f>
        <v>417</v>
      </c>
      <c r="N12" s="15">
        <v>0</v>
      </c>
      <c r="O12" s="58">
        <f t="shared" ref="O12" si="18">IF(L12=0,"0",N12/L12)</f>
        <v>0</v>
      </c>
      <c r="P12" s="39">
        <f t="shared" ref="P12" si="19">IF(L12=0,"0",(24-Q12))</f>
        <v>3</v>
      </c>
      <c r="Q12" s="40">
        <f t="shared" ref="Q12" si="20">SUM(R12:AA12)</f>
        <v>21</v>
      </c>
      <c r="R12" s="7"/>
      <c r="S12" s="6"/>
      <c r="T12" s="16"/>
      <c r="U12" s="16"/>
      <c r="V12" s="17"/>
      <c r="W12" s="5">
        <v>21</v>
      </c>
      <c r="X12" s="16"/>
      <c r="Y12" s="16"/>
      <c r="Z12" s="16"/>
      <c r="AA12" s="18"/>
      <c r="AB12" s="8">
        <f t="shared" ref="AB12" si="21">IF(J12=0,"0",(L12/J12))</f>
        <v>1</v>
      </c>
      <c r="AC12" s="9">
        <f t="shared" ref="AC12" si="22">IF(P12=0,"0",(P12/24))</f>
        <v>0.125</v>
      </c>
      <c r="AD12" s="10">
        <f t="shared" ref="AD12" si="23">AC12*AB12*(1-O12)</f>
        <v>0.125</v>
      </c>
      <c r="AE12" s="36">
        <f t="shared" si="7"/>
        <v>0.34567901234567905</v>
      </c>
      <c r="AF12" s="84">
        <f t="shared" ref="AF12" si="24">A12</f>
        <v>5</v>
      </c>
    </row>
    <row r="13" spans="1:32" ht="27" customHeight="1">
      <c r="A13" s="96">
        <v>6</v>
      </c>
      <c r="B13" s="11" t="s">
        <v>57</v>
      </c>
      <c r="C13" s="11" t="s">
        <v>116</v>
      </c>
      <c r="D13" s="52" t="s">
        <v>124</v>
      </c>
      <c r="E13" s="53" t="s">
        <v>323</v>
      </c>
      <c r="F13" s="30" t="s">
        <v>134</v>
      </c>
      <c r="G13" s="33">
        <v>1</v>
      </c>
      <c r="H13" s="35">
        <v>24</v>
      </c>
      <c r="I13" s="7">
        <v>50000</v>
      </c>
      <c r="J13" s="14">
        <v>2000</v>
      </c>
      <c r="K13" s="15">
        <f>L13</f>
        <v>0</v>
      </c>
      <c r="L13" s="15">
        <f>0</f>
        <v>0</v>
      </c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>
        <v>24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0.34567901234567905</v>
      </c>
      <c r="AF13" s="84">
        <f t="shared" si="8"/>
        <v>6</v>
      </c>
    </row>
    <row r="14" spans="1:32" ht="27" customHeight="1">
      <c r="A14" s="96">
        <v>7</v>
      </c>
      <c r="B14" s="11" t="s">
        <v>57</v>
      </c>
      <c r="C14" s="34" t="s">
        <v>116</v>
      </c>
      <c r="D14" s="52" t="s">
        <v>115</v>
      </c>
      <c r="E14" s="53" t="s">
        <v>126</v>
      </c>
      <c r="F14" s="30" t="s">
        <v>167</v>
      </c>
      <c r="G14" s="12">
        <v>1</v>
      </c>
      <c r="H14" s="13">
        <v>22</v>
      </c>
      <c r="I14" s="31">
        <v>100000</v>
      </c>
      <c r="J14" s="5">
        <v>5485</v>
      </c>
      <c r="K14" s="15">
        <f>L14+4676+4488+5126+5538+5283+5334+5466+5473+5483</f>
        <v>52352</v>
      </c>
      <c r="L14" s="15">
        <f>2711+2774</f>
        <v>5485</v>
      </c>
      <c r="M14" s="15">
        <f t="shared" si="0"/>
        <v>5485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 t="shared" si="6"/>
        <v>1</v>
      </c>
      <c r="AE14" s="36">
        <f t="shared" si="7"/>
        <v>0.34567901234567905</v>
      </c>
      <c r="AF14" s="84">
        <f t="shared" si="8"/>
        <v>7</v>
      </c>
    </row>
    <row r="15" spans="1:32" ht="27" customHeight="1">
      <c r="A15" s="96">
        <v>8</v>
      </c>
      <c r="B15" s="11" t="s">
        <v>57</v>
      </c>
      <c r="C15" s="11" t="s">
        <v>143</v>
      </c>
      <c r="D15" s="52" t="s">
        <v>266</v>
      </c>
      <c r="E15" s="53" t="s">
        <v>267</v>
      </c>
      <c r="F15" s="30" t="s">
        <v>131</v>
      </c>
      <c r="G15" s="33">
        <v>1</v>
      </c>
      <c r="H15" s="35">
        <v>24</v>
      </c>
      <c r="I15" s="7">
        <v>5000</v>
      </c>
      <c r="J15" s="14">
        <v>2491</v>
      </c>
      <c r="K15" s="15">
        <f>L15+3371</f>
        <v>5862</v>
      </c>
      <c r="L15" s="15">
        <f>2491</f>
        <v>2491</v>
      </c>
      <c r="M15" s="15">
        <f t="shared" si="0"/>
        <v>2491</v>
      </c>
      <c r="N15" s="15">
        <v>0</v>
      </c>
      <c r="O15" s="58">
        <f t="shared" si="1"/>
        <v>0</v>
      </c>
      <c r="P15" s="39">
        <f t="shared" si="2"/>
        <v>12</v>
      </c>
      <c r="Q15" s="40">
        <f t="shared" si="3"/>
        <v>12</v>
      </c>
      <c r="R15" s="7"/>
      <c r="S15" s="6">
        <v>12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0.5</v>
      </c>
      <c r="AD15" s="10">
        <f t="shared" si="6"/>
        <v>0.5</v>
      </c>
      <c r="AE15" s="36">
        <f t="shared" si="7"/>
        <v>0.34567901234567905</v>
      </c>
      <c r="AF15" s="84">
        <f t="shared" si="8"/>
        <v>8</v>
      </c>
    </row>
    <row r="16" spans="1:32" ht="27" customHeight="1">
      <c r="A16" s="105">
        <v>9</v>
      </c>
      <c r="B16" s="11" t="s">
        <v>57</v>
      </c>
      <c r="C16" s="34" t="s">
        <v>112</v>
      </c>
      <c r="D16" s="52" t="s">
        <v>115</v>
      </c>
      <c r="E16" s="53" t="s">
        <v>156</v>
      </c>
      <c r="F16" s="30" t="s">
        <v>151</v>
      </c>
      <c r="G16" s="33">
        <v>1</v>
      </c>
      <c r="H16" s="35">
        <v>50</v>
      </c>
      <c r="I16" s="7">
        <v>2500</v>
      </c>
      <c r="J16" s="5">
        <v>800</v>
      </c>
      <c r="K16" s="15">
        <f>L16+893+982+1050+800</f>
        <v>3725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0.34567901234567905</v>
      </c>
      <c r="AF16" s="84">
        <f t="shared" si="8"/>
        <v>9</v>
      </c>
    </row>
    <row r="17" spans="1:32" ht="27" customHeight="1">
      <c r="A17" s="95">
        <v>10</v>
      </c>
      <c r="B17" s="11" t="s">
        <v>57</v>
      </c>
      <c r="C17" s="34" t="s">
        <v>116</v>
      </c>
      <c r="D17" s="52" t="s">
        <v>123</v>
      </c>
      <c r="E17" s="53" t="s">
        <v>141</v>
      </c>
      <c r="F17" s="30" t="s">
        <v>135</v>
      </c>
      <c r="G17" s="12">
        <v>4</v>
      </c>
      <c r="H17" s="13">
        <v>24</v>
      </c>
      <c r="I17" s="31">
        <v>12000</v>
      </c>
      <c r="J17" s="14">
        <v>12356</v>
      </c>
      <c r="K17" s="15">
        <f>L17+12356</f>
        <v>12356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0.34567901234567905</v>
      </c>
      <c r="AF17" s="84">
        <f t="shared" si="8"/>
        <v>10</v>
      </c>
    </row>
    <row r="18" spans="1:32" ht="30" customHeight="1">
      <c r="A18" s="112">
        <v>11</v>
      </c>
      <c r="B18" s="11" t="s">
        <v>57</v>
      </c>
      <c r="C18" s="34" t="s">
        <v>143</v>
      </c>
      <c r="D18" s="52" t="s">
        <v>115</v>
      </c>
      <c r="E18" s="53" t="s">
        <v>324</v>
      </c>
      <c r="F18" s="30" t="s">
        <v>144</v>
      </c>
      <c r="G18" s="12">
        <v>2</v>
      </c>
      <c r="H18" s="13">
        <v>24</v>
      </c>
      <c r="I18" s="7">
        <v>20000</v>
      </c>
      <c r="J18" s="14">
        <v>2314</v>
      </c>
      <c r="K18" s="15">
        <f>L18</f>
        <v>2314</v>
      </c>
      <c r="L18" s="15">
        <f>1157*2</f>
        <v>2314</v>
      </c>
      <c r="M18" s="15">
        <f t="shared" si="0"/>
        <v>2314</v>
      </c>
      <c r="N18" s="15">
        <v>0</v>
      </c>
      <c r="O18" s="58">
        <f t="shared" si="1"/>
        <v>0</v>
      </c>
      <c r="P18" s="39">
        <f t="shared" si="2"/>
        <v>6</v>
      </c>
      <c r="Q18" s="40">
        <f t="shared" si="3"/>
        <v>18</v>
      </c>
      <c r="R18" s="7"/>
      <c r="S18" s="6">
        <v>18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0.25</v>
      </c>
      <c r="AD18" s="10">
        <f t="shared" si="6"/>
        <v>0.25</v>
      </c>
      <c r="AE18" s="36">
        <f t="shared" si="7"/>
        <v>0.34567901234567905</v>
      </c>
      <c r="AF18" s="84">
        <f t="shared" si="8"/>
        <v>11</v>
      </c>
    </row>
    <row r="19" spans="1:32" ht="30" customHeight="1">
      <c r="A19" s="112">
        <v>11</v>
      </c>
      <c r="B19" s="11" t="s">
        <v>57</v>
      </c>
      <c r="C19" s="34" t="s">
        <v>241</v>
      </c>
      <c r="D19" s="52"/>
      <c r="E19" s="53" t="s">
        <v>325</v>
      </c>
      <c r="F19" s="30" t="s">
        <v>268</v>
      </c>
      <c r="G19" s="12">
        <v>2</v>
      </c>
      <c r="H19" s="13">
        <v>24</v>
      </c>
      <c r="I19" s="7">
        <v>6000</v>
      </c>
      <c r="J19" s="14">
        <v>5374</v>
      </c>
      <c r="K19" s="15">
        <f>L19</f>
        <v>5374</v>
      </c>
      <c r="L19" s="15">
        <f>2687*2</f>
        <v>5374</v>
      </c>
      <c r="M19" s="15">
        <f t="shared" ref="M19" si="25">L19-N19</f>
        <v>5374</v>
      </c>
      <c r="N19" s="15">
        <v>0</v>
      </c>
      <c r="O19" s="58">
        <f t="shared" ref="O19" si="26">IF(L19=0,"0",N19/L19)</f>
        <v>0</v>
      </c>
      <c r="P19" s="39">
        <f t="shared" ref="P19" si="27">IF(L19=0,"0",(24-Q19))</f>
        <v>14</v>
      </c>
      <c r="Q19" s="40">
        <f t="shared" ref="Q19" si="28">SUM(R19:AA19)</f>
        <v>10</v>
      </c>
      <c r="R19" s="7"/>
      <c r="S19" s="6"/>
      <c r="T19" s="16">
        <v>10</v>
      </c>
      <c r="U19" s="16"/>
      <c r="V19" s="17"/>
      <c r="W19" s="5"/>
      <c r="X19" s="16"/>
      <c r="Y19" s="16"/>
      <c r="Z19" s="16"/>
      <c r="AA19" s="18"/>
      <c r="AB19" s="8">
        <f t="shared" ref="AB19" si="29">IF(J19=0,"0",(L19/J19))</f>
        <v>1</v>
      </c>
      <c r="AC19" s="9">
        <f t="shared" ref="AC19" si="30">IF(P19=0,"0",(P19/24))</f>
        <v>0.58333333333333337</v>
      </c>
      <c r="AD19" s="10">
        <f t="shared" ref="AD19" si="31">AC19*AB19*(1-O19)</f>
        <v>0.58333333333333337</v>
      </c>
      <c r="AE19" s="36">
        <f t="shared" si="7"/>
        <v>0.34567901234567905</v>
      </c>
      <c r="AF19" s="84">
        <f t="shared" ref="AF19" si="32">A19</f>
        <v>11</v>
      </c>
    </row>
    <row r="20" spans="1:32" ht="30" customHeight="1">
      <c r="A20" s="95">
        <v>12</v>
      </c>
      <c r="B20" s="11" t="s">
        <v>57</v>
      </c>
      <c r="C20" s="34" t="s">
        <v>241</v>
      </c>
      <c r="D20" s="52"/>
      <c r="E20" s="53" t="s">
        <v>240</v>
      </c>
      <c r="F20" s="30" t="s">
        <v>302</v>
      </c>
      <c r="G20" s="12">
        <v>1</v>
      </c>
      <c r="H20" s="13">
        <v>24</v>
      </c>
      <c r="I20" s="7">
        <v>5400</v>
      </c>
      <c r="J20" s="14">
        <v>2116</v>
      </c>
      <c r="K20" s="15">
        <f>L20+4138</f>
        <v>6254</v>
      </c>
      <c r="L20" s="15">
        <v>2116</v>
      </c>
      <c r="M20" s="15">
        <f t="shared" si="0"/>
        <v>2116</v>
      </c>
      <c r="N20" s="15">
        <v>0</v>
      </c>
      <c r="O20" s="58">
        <f t="shared" si="1"/>
        <v>0</v>
      </c>
      <c r="P20" s="39">
        <f t="shared" si="2"/>
        <v>7</v>
      </c>
      <c r="Q20" s="40">
        <f t="shared" si="3"/>
        <v>17</v>
      </c>
      <c r="R20" s="7"/>
      <c r="S20" s="6">
        <v>17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0.29166666666666669</v>
      </c>
      <c r="AD20" s="10">
        <f t="shared" si="6"/>
        <v>0.29166666666666669</v>
      </c>
      <c r="AE20" s="36">
        <f t="shared" si="7"/>
        <v>0.34567901234567905</v>
      </c>
      <c r="AF20" s="84">
        <f t="shared" si="8"/>
        <v>12</v>
      </c>
    </row>
    <row r="21" spans="1:32" ht="30" customHeight="1">
      <c r="A21" s="95">
        <v>12</v>
      </c>
      <c r="B21" s="11" t="s">
        <v>57</v>
      </c>
      <c r="C21" s="34" t="s">
        <v>241</v>
      </c>
      <c r="D21" s="52"/>
      <c r="E21" s="53" t="s">
        <v>326</v>
      </c>
      <c r="F21" s="30" t="s">
        <v>302</v>
      </c>
      <c r="G21" s="12">
        <v>1</v>
      </c>
      <c r="H21" s="13">
        <v>24</v>
      </c>
      <c r="I21" s="7">
        <v>500</v>
      </c>
      <c r="J21" s="14">
        <v>650</v>
      </c>
      <c r="K21" s="15">
        <f>L21</f>
        <v>650</v>
      </c>
      <c r="L21" s="15">
        <v>650</v>
      </c>
      <c r="M21" s="15">
        <f t="shared" ref="M21" si="33">L21-N21</f>
        <v>650</v>
      </c>
      <c r="N21" s="15">
        <v>0</v>
      </c>
      <c r="O21" s="58">
        <f t="shared" ref="O21" si="34">IF(L21=0,"0",N21/L21)</f>
        <v>0</v>
      </c>
      <c r="P21" s="39">
        <f t="shared" ref="P21" si="35">IF(L21=0,"0",(24-Q21))</f>
        <v>4</v>
      </c>
      <c r="Q21" s="40">
        <f t="shared" ref="Q21" si="36">SUM(R21:AA21)</f>
        <v>20</v>
      </c>
      <c r="R21" s="7"/>
      <c r="S21" s="6"/>
      <c r="T21" s="16"/>
      <c r="U21" s="16"/>
      <c r="V21" s="17"/>
      <c r="W21" s="5">
        <v>20</v>
      </c>
      <c r="X21" s="16"/>
      <c r="Y21" s="16"/>
      <c r="Z21" s="16"/>
      <c r="AA21" s="18"/>
      <c r="AB21" s="8">
        <f t="shared" ref="AB21" si="37">IF(J21=0,"0",(L21/J21))</f>
        <v>1</v>
      </c>
      <c r="AC21" s="9">
        <f t="shared" ref="AC21" si="38">IF(P21=0,"0",(P21/24))</f>
        <v>0.16666666666666666</v>
      </c>
      <c r="AD21" s="10">
        <f t="shared" ref="AD21" si="39">AC21*AB21*(1-O21)</f>
        <v>0.16666666666666666</v>
      </c>
      <c r="AE21" s="36">
        <f t="shared" si="7"/>
        <v>0.34567901234567905</v>
      </c>
      <c r="AF21" s="84">
        <f t="shared" ref="AF21" si="40">A21</f>
        <v>12</v>
      </c>
    </row>
    <row r="22" spans="1:32" ht="27" customHeight="1">
      <c r="A22" s="96">
        <v>13</v>
      </c>
      <c r="B22" s="11" t="s">
        <v>57</v>
      </c>
      <c r="C22" s="11" t="s">
        <v>112</v>
      </c>
      <c r="D22" s="52" t="s">
        <v>152</v>
      </c>
      <c r="E22" s="53" t="s">
        <v>327</v>
      </c>
      <c r="F22" s="30" t="s">
        <v>131</v>
      </c>
      <c r="G22" s="33">
        <v>1</v>
      </c>
      <c r="H22" s="35">
        <v>24</v>
      </c>
      <c r="I22" s="7">
        <v>300</v>
      </c>
      <c r="J22" s="14">
        <v>300</v>
      </c>
      <c r="K22" s="15">
        <f>L22</f>
        <v>300</v>
      </c>
      <c r="L22" s="15">
        <f>300</f>
        <v>300</v>
      </c>
      <c r="M22" s="15">
        <f t="shared" si="0"/>
        <v>300</v>
      </c>
      <c r="N22" s="15">
        <v>0</v>
      </c>
      <c r="O22" s="58">
        <f t="shared" si="1"/>
        <v>0</v>
      </c>
      <c r="P22" s="39">
        <f t="shared" si="2"/>
        <v>3</v>
      </c>
      <c r="Q22" s="40">
        <f t="shared" si="3"/>
        <v>21</v>
      </c>
      <c r="R22" s="7"/>
      <c r="S22" s="6"/>
      <c r="T22" s="16"/>
      <c r="U22" s="16"/>
      <c r="V22" s="17"/>
      <c r="W22" s="5">
        <v>21</v>
      </c>
      <c r="X22" s="16"/>
      <c r="Y22" s="16"/>
      <c r="Z22" s="16"/>
      <c r="AA22" s="18"/>
      <c r="AB22" s="8">
        <f t="shared" si="4"/>
        <v>1</v>
      </c>
      <c r="AC22" s="9">
        <f t="shared" si="5"/>
        <v>0.125</v>
      </c>
      <c r="AD22" s="10">
        <f t="shared" si="6"/>
        <v>0.125</v>
      </c>
      <c r="AE22" s="36">
        <f t="shared" si="7"/>
        <v>0.34567901234567905</v>
      </c>
      <c r="AF22" s="84">
        <f t="shared" si="8"/>
        <v>13</v>
      </c>
    </row>
    <row r="23" spans="1:32" ht="27" customHeight="1">
      <c r="A23" s="96">
        <v>13</v>
      </c>
      <c r="B23" s="11" t="s">
        <v>57</v>
      </c>
      <c r="C23" s="11" t="s">
        <v>112</v>
      </c>
      <c r="D23" s="52" t="s">
        <v>314</v>
      </c>
      <c r="E23" s="53" t="s">
        <v>313</v>
      </c>
      <c r="F23" s="30" t="s">
        <v>328</v>
      </c>
      <c r="G23" s="33">
        <v>2</v>
      </c>
      <c r="H23" s="35">
        <v>24</v>
      </c>
      <c r="I23" s="7">
        <v>800</v>
      </c>
      <c r="J23" s="14">
        <v>800</v>
      </c>
      <c r="K23" s="15">
        <f>L23</f>
        <v>800</v>
      </c>
      <c r="L23" s="15">
        <v>800</v>
      </c>
      <c r="M23" s="15">
        <f t="shared" ref="M23" si="41">L23-N23</f>
        <v>800</v>
      </c>
      <c r="N23" s="15">
        <v>0</v>
      </c>
      <c r="O23" s="58">
        <f t="shared" ref="O23" si="42">IF(L23=0,"0",N23/L23)</f>
        <v>0</v>
      </c>
      <c r="P23" s="39">
        <f t="shared" ref="P23" si="43">IF(L23=0,"0",(24-Q23))</f>
        <v>4</v>
      </c>
      <c r="Q23" s="40">
        <f t="shared" ref="Q23" si="44">SUM(R23:AA23)</f>
        <v>20</v>
      </c>
      <c r="R23" s="7"/>
      <c r="S23" s="6"/>
      <c r="T23" s="16"/>
      <c r="U23" s="16"/>
      <c r="V23" s="17"/>
      <c r="W23" s="5">
        <v>20</v>
      </c>
      <c r="X23" s="16"/>
      <c r="Y23" s="16"/>
      <c r="Z23" s="16"/>
      <c r="AA23" s="18"/>
      <c r="AB23" s="8">
        <f t="shared" ref="AB23" si="45">IF(J23=0,"0",(L23/J23))</f>
        <v>1</v>
      </c>
      <c r="AC23" s="9">
        <f t="shared" ref="AC23" si="46">IF(P23=0,"0",(P23/24))</f>
        <v>0.16666666666666666</v>
      </c>
      <c r="AD23" s="10">
        <f t="shared" ref="AD23" si="47">AC23*AB23*(1-O23)</f>
        <v>0.16666666666666666</v>
      </c>
      <c r="AE23" s="36">
        <f t="shared" si="7"/>
        <v>0.34567901234567905</v>
      </c>
      <c r="AF23" s="84">
        <f t="shared" ref="AF23" si="48">A23</f>
        <v>13</v>
      </c>
    </row>
    <row r="24" spans="1:32" ht="27" customHeight="1">
      <c r="A24" s="96">
        <v>14</v>
      </c>
      <c r="B24" s="11" t="s">
        <v>57</v>
      </c>
      <c r="C24" s="11" t="s">
        <v>112</v>
      </c>
      <c r="D24" s="52" t="s">
        <v>142</v>
      </c>
      <c r="E24" s="53" t="s">
        <v>161</v>
      </c>
      <c r="F24" s="30" t="s">
        <v>134</v>
      </c>
      <c r="G24" s="33">
        <v>1</v>
      </c>
      <c r="H24" s="35">
        <v>24</v>
      </c>
      <c r="I24" s="7">
        <v>31000</v>
      </c>
      <c r="J24" s="14">
        <v>5079</v>
      </c>
      <c r="K24" s="15">
        <f>L24</f>
        <v>5079</v>
      </c>
      <c r="L24" s="15">
        <f>2330+2749</f>
        <v>5079</v>
      </c>
      <c r="M24" s="15">
        <f t="shared" si="0"/>
        <v>5079</v>
      </c>
      <c r="N24" s="15">
        <v>0</v>
      </c>
      <c r="O24" s="58">
        <f t="shared" si="1"/>
        <v>0</v>
      </c>
      <c r="P24" s="39">
        <f t="shared" si="2"/>
        <v>24</v>
      </c>
      <c r="Q24" s="40">
        <f t="shared" si="3"/>
        <v>0</v>
      </c>
      <c r="R24" s="7"/>
      <c r="S24" s="6"/>
      <c r="T24" s="16"/>
      <c r="U24" s="16"/>
      <c r="V24" s="17"/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1</v>
      </c>
      <c r="AD24" s="10">
        <f t="shared" si="6"/>
        <v>1</v>
      </c>
      <c r="AE24" s="36">
        <f t="shared" si="7"/>
        <v>0.34567901234567905</v>
      </c>
      <c r="AF24" s="84">
        <f t="shared" si="8"/>
        <v>14</v>
      </c>
    </row>
    <row r="25" spans="1:32" ht="30" customHeight="1">
      <c r="A25" s="112">
        <v>15</v>
      </c>
      <c r="B25" s="11" t="s">
        <v>57</v>
      </c>
      <c r="C25" s="34" t="s">
        <v>241</v>
      </c>
      <c r="D25" s="52"/>
      <c r="E25" s="53" t="s">
        <v>303</v>
      </c>
      <c r="F25" s="30" t="s">
        <v>268</v>
      </c>
      <c r="G25" s="12" t="s">
        <v>304</v>
      </c>
      <c r="H25" s="13">
        <v>24</v>
      </c>
      <c r="I25" s="7">
        <v>10800</v>
      </c>
      <c r="J25" s="14">
        <v>6044</v>
      </c>
      <c r="K25" s="15">
        <f>L25+3976</f>
        <v>10020</v>
      </c>
      <c r="L25" s="15">
        <f>3233+2811</f>
        <v>6044</v>
      </c>
      <c r="M25" s="15">
        <f t="shared" si="0"/>
        <v>6044</v>
      </c>
      <c r="N25" s="15">
        <v>0</v>
      </c>
      <c r="O25" s="58">
        <f t="shared" si="1"/>
        <v>0</v>
      </c>
      <c r="P25" s="39">
        <f t="shared" si="2"/>
        <v>24</v>
      </c>
      <c r="Q25" s="40">
        <f t="shared" si="3"/>
        <v>0</v>
      </c>
      <c r="R25" s="7"/>
      <c r="S25" s="6"/>
      <c r="T25" s="16"/>
      <c r="U25" s="16"/>
      <c r="V25" s="17"/>
      <c r="W25" s="5"/>
      <c r="X25" s="16"/>
      <c r="Y25" s="16"/>
      <c r="Z25" s="16"/>
      <c r="AA25" s="18"/>
      <c r="AB25" s="8">
        <f t="shared" si="4"/>
        <v>1</v>
      </c>
      <c r="AC25" s="9">
        <f t="shared" si="5"/>
        <v>1</v>
      </c>
      <c r="AD25" s="10">
        <f t="shared" si="6"/>
        <v>1</v>
      </c>
      <c r="AE25" s="36">
        <f t="shared" si="7"/>
        <v>0.34567901234567905</v>
      </c>
      <c r="AF25" s="84">
        <f t="shared" si="8"/>
        <v>15</v>
      </c>
    </row>
    <row r="26" spans="1:32" ht="27" customHeight="1">
      <c r="A26" s="96">
        <v>16</v>
      </c>
      <c r="B26" s="11" t="s">
        <v>57</v>
      </c>
      <c r="C26" s="11" t="s">
        <v>113</v>
      </c>
      <c r="D26" s="52"/>
      <c r="E26" s="53" t="s">
        <v>139</v>
      </c>
      <c r="F26" s="12" t="s">
        <v>114</v>
      </c>
      <c r="G26" s="12">
        <v>3</v>
      </c>
      <c r="H26" s="35">
        <v>20</v>
      </c>
      <c r="I26" s="7">
        <v>1000000</v>
      </c>
      <c r="J26" s="14">
        <v>34220</v>
      </c>
      <c r="K26" s="15">
        <f t="shared" ref="K26" si="49">L26+62008+65280+66156+31132+60100+67104+64940+66996+38324+18548+31820+33244+32052+33372+27132+34220</f>
        <v>732428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7">
        <v>24</v>
      </c>
      <c r="W26" s="5"/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0.34567901234567905</v>
      </c>
      <c r="AF26" s="84">
        <f t="shared" si="8"/>
        <v>16</v>
      </c>
    </row>
    <row r="27" spans="1:32" ht="27" customHeight="1">
      <c r="A27" s="96">
        <v>31</v>
      </c>
      <c r="B27" s="11" t="s">
        <v>57</v>
      </c>
      <c r="C27" s="11"/>
      <c r="D27" s="52"/>
      <c r="E27" s="53"/>
      <c r="F27" s="12"/>
      <c r="G27" s="12"/>
      <c r="H27" s="35">
        <v>20</v>
      </c>
      <c r="I27" s="7"/>
      <c r="J27" s="14">
        <v>0</v>
      </c>
      <c r="K27" s="15">
        <f>L27</f>
        <v>0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7">
        <v>24</v>
      </c>
      <c r="W27" s="5"/>
      <c r="X27" s="16"/>
      <c r="Y27" s="16"/>
      <c r="Z27" s="16"/>
      <c r="AA27" s="18"/>
      <c r="AB27" s="8" t="str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0.34567901234567905</v>
      </c>
      <c r="AF27" s="84">
        <f t="shared" si="8"/>
        <v>31</v>
      </c>
    </row>
    <row r="28" spans="1:32" ht="27" customHeight="1">
      <c r="A28" s="96">
        <v>32</v>
      </c>
      <c r="B28" s="11" t="s">
        <v>57</v>
      </c>
      <c r="C28" s="11"/>
      <c r="D28" s="52"/>
      <c r="E28" s="53"/>
      <c r="F28" s="12"/>
      <c r="G28" s="12"/>
      <c r="H28" s="35">
        <v>20</v>
      </c>
      <c r="I28" s="7"/>
      <c r="J28" s="14">
        <v>0</v>
      </c>
      <c r="K28" s="15">
        <f>L28</f>
        <v>0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7">
        <v>24</v>
      </c>
      <c r="W28" s="5"/>
      <c r="X28" s="16"/>
      <c r="Y28" s="16"/>
      <c r="Z28" s="16"/>
      <c r="AA28" s="18"/>
      <c r="AB28" s="8" t="str">
        <f t="shared" si="4"/>
        <v>0</v>
      </c>
      <c r="AC28" s="9">
        <f t="shared" si="5"/>
        <v>0</v>
      </c>
      <c r="AD28" s="10">
        <f t="shared" si="6"/>
        <v>0</v>
      </c>
      <c r="AE28" s="36">
        <f t="shared" si="7"/>
        <v>0.34567901234567905</v>
      </c>
      <c r="AF28" s="84">
        <f t="shared" si="8"/>
        <v>32</v>
      </c>
    </row>
    <row r="29" spans="1:32" ht="27" customHeight="1">
      <c r="A29" s="96">
        <v>33</v>
      </c>
      <c r="B29" s="11" t="s">
        <v>57</v>
      </c>
      <c r="C29" s="11" t="s">
        <v>116</v>
      </c>
      <c r="D29" s="52" t="s">
        <v>150</v>
      </c>
      <c r="E29" s="53" t="s">
        <v>163</v>
      </c>
      <c r="F29" s="12" t="s">
        <v>145</v>
      </c>
      <c r="G29" s="12">
        <v>1</v>
      </c>
      <c r="H29" s="35">
        <v>20</v>
      </c>
      <c r="I29" s="7">
        <v>60000</v>
      </c>
      <c r="J29" s="14">
        <v>4387</v>
      </c>
      <c r="K29" s="15">
        <f>L29</f>
        <v>4387</v>
      </c>
      <c r="L29" s="15">
        <v>4387</v>
      </c>
      <c r="M29" s="15">
        <f t="shared" si="0"/>
        <v>4387</v>
      </c>
      <c r="N29" s="15">
        <v>0</v>
      </c>
      <c r="O29" s="58">
        <f t="shared" si="1"/>
        <v>0</v>
      </c>
      <c r="P29" s="39">
        <f t="shared" si="2"/>
        <v>19</v>
      </c>
      <c r="Q29" s="40">
        <f t="shared" si="3"/>
        <v>5</v>
      </c>
      <c r="R29" s="7"/>
      <c r="S29" s="6"/>
      <c r="T29" s="16">
        <v>5</v>
      </c>
      <c r="U29" s="16"/>
      <c r="V29" s="206"/>
      <c r="W29" s="5"/>
      <c r="X29" s="16"/>
      <c r="Y29" s="16"/>
      <c r="Z29" s="16"/>
      <c r="AA29" s="18"/>
      <c r="AB29" s="8">
        <f t="shared" si="4"/>
        <v>1</v>
      </c>
      <c r="AC29" s="9">
        <f t="shared" si="5"/>
        <v>0.79166666666666663</v>
      </c>
      <c r="AD29" s="10">
        <f t="shared" si="6"/>
        <v>0.79166666666666663</v>
      </c>
      <c r="AE29" s="36">
        <f t="shared" si="7"/>
        <v>0.34567901234567905</v>
      </c>
      <c r="AF29" s="84">
        <f t="shared" si="8"/>
        <v>33</v>
      </c>
    </row>
    <row r="30" spans="1:32" ht="27" customHeight="1">
      <c r="A30" s="96">
        <v>34</v>
      </c>
      <c r="B30" s="11" t="s">
        <v>57</v>
      </c>
      <c r="C30" s="11" t="s">
        <v>116</v>
      </c>
      <c r="D30" s="52" t="s">
        <v>150</v>
      </c>
      <c r="E30" s="53" t="s">
        <v>165</v>
      </c>
      <c r="F30" s="12" t="s">
        <v>135</v>
      </c>
      <c r="G30" s="12">
        <v>4</v>
      </c>
      <c r="H30" s="35">
        <v>20</v>
      </c>
      <c r="I30" s="7">
        <v>240000</v>
      </c>
      <c r="J30" s="14">
        <v>9988</v>
      </c>
      <c r="K30" s="15">
        <f>L30+24768+29084+29040+29804+27780+4064+26996+28972+25428+29132</f>
        <v>265056</v>
      </c>
      <c r="L30" s="15">
        <f>2497*4</f>
        <v>9988</v>
      </c>
      <c r="M30" s="15">
        <f t="shared" si="0"/>
        <v>9988</v>
      </c>
      <c r="N30" s="15">
        <v>0</v>
      </c>
      <c r="O30" s="58">
        <f t="shared" si="1"/>
        <v>0</v>
      </c>
      <c r="P30" s="39">
        <f t="shared" si="2"/>
        <v>7</v>
      </c>
      <c r="Q30" s="40">
        <f t="shared" si="3"/>
        <v>17</v>
      </c>
      <c r="R30" s="7"/>
      <c r="S30" s="6"/>
      <c r="T30" s="16"/>
      <c r="U30" s="16"/>
      <c r="V30" s="206"/>
      <c r="W30" s="5">
        <v>17</v>
      </c>
      <c r="X30" s="16"/>
      <c r="Y30" s="16"/>
      <c r="Z30" s="16"/>
      <c r="AA30" s="18"/>
      <c r="AB30" s="8">
        <f t="shared" si="4"/>
        <v>1</v>
      </c>
      <c r="AC30" s="9">
        <f t="shared" si="5"/>
        <v>0.29166666666666669</v>
      </c>
      <c r="AD30" s="10">
        <f t="shared" si="6"/>
        <v>0.29166666666666669</v>
      </c>
      <c r="AE30" s="36">
        <f t="shared" si="7"/>
        <v>0.34567901234567905</v>
      </c>
      <c r="AF30" s="84">
        <f t="shared" si="8"/>
        <v>34</v>
      </c>
    </row>
    <row r="31" spans="1:32" ht="27" customHeight="1">
      <c r="A31" s="96">
        <v>35</v>
      </c>
      <c r="B31" s="11" t="s">
        <v>57</v>
      </c>
      <c r="C31" s="11" t="s">
        <v>116</v>
      </c>
      <c r="D31" s="52" t="s">
        <v>123</v>
      </c>
      <c r="E31" s="53" t="s">
        <v>137</v>
      </c>
      <c r="F31" s="12" t="s">
        <v>135</v>
      </c>
      <c r="G31" s="12">
        <v>4</v>
      </c>
      <c r="H31" s="35">
        <v>20</v>
      </c>
      <c r="I31" s="7">
        <v>240000</v>
      </c>
      <c r="J31" s="14">
        <v>11600</v>
      </c>
      <c r="K31" s="15">
        <f>L31+25004+29968+31848+29672+31736+27000+29200+29420+29140</f>
        <v>274588</v>
      </c>
      <c r="L31" s="15">
        <f>2900*4</f>
        <v>11600</v>
      </c>
      <c r="M31" s="15">
        <f t="shared" si="0"/>
        <v>11600</v>
      </c>
      <c r="N31" s="15">
        <v>0</v>
      </c>
      <c r="O31" s="58">
        <f t="shared" si="1"/>
        <v>0</v>
      </c>
      <c r="P31" s="39">
        <f t="shared" si="2"/>
        <v>9</v>
      </c>
      <c r="Q31" s="40">
        <f t="shared" si="3"/>
        <v>15</v>
      </c>
      <c r="R31" s="7"/>
      <c r="S31" s="6"/>
      <c r="T31" s="16"/>
      <c r="U31" s="16"/>
      <c r="V31" s="206"/>
      <c r="W31" s="5">
        <v>15</v>
      </c>
      <c r="X31" s="16"/>
      <c r="Y31" s="16"/>
      <c r="Z31" s="16"/>
      <c r="AA31" s="18"/>
      <c r="AB31" s="8">
        <f t="shared" si="4"/>
        <v>1</v>
      </c>
      <c r="AC31" s="9">
        <f t="shared" si="5"/>
        <v>0.375</v>
      </c>
      <c r="AD31" s="10">
        <f t="shared" si="6"/>
        <v>0.375</v>
      </c>
      <c r="AE31" s="36">
        <f t="shared" si="7"/>
        <v>0.34567901234567905</v>
      </c>
      <c r="AF31" s="84">
        <f t="shared" si="8"/>
        <v>35</v>
      </c>
    </row>
    <row r="32" spans="1:32" ht="27" customHeight="1" thickBot="1">
      <c r="A32" s="96">
        <v>36</v>
      </c>
      <c r="B32" s="11" t="s">
        <v>57</v>
      </c>
      <c r="C32" s="11" t="s">
        <v>116</v>
      </c>
      <c r="D32" s="52" t="s">
        <v>115</v>
      </c>
      <c r="E32" s="53" t="s">
        <v>166</v>
      </c>
      <c r="F32" s="12" t="s">
        <v>122</v>
      </c>
      <c r="G32" s="12">
        <v>4</v>
      </c>
      <c r="H32" s="35">
        <v>20</v>
      </c>
      <c r="I32" s="7">
        <v>240000</v>
      </c>
      <c r="J32" s="14">
        <v>23996</v>
      </c>
      <c r="K32" s="15">
        <f>L32+22152+26340+20956+26812+26716+8020+25080+22728+29132+18472</f>
        <v>250404</v>
      </c>
      <c r="L32" s="15">
        <f>1929*4+4070*4</f>
        <v>23996</v>
      </c>
      <c r="M32" s="15">
        <f t="shared" si="0"/>
        <v>23996</v>
      </c>
      <c r="N32" s="15">
        <v>0</v>
      </c>
      <c r="O32" s="58">
        <f t="shared" si="1"/>
        <v>0</v>
      </c>
      <c r="P32" s="39">
        <f t="shared" si="2"/>
        <v>22</v>
      </c>
      <c r="Q32" s="40">
        <f t="shared" si="3"/>
        <v>2</v>
      </c>
      <c r="R32" s="7"/>
      <c r="S32" s="6">
        <v>2</v>
      </c>
      <c r="T32" s="16"/>
      <c r="U32" s="16"/>
      <c r="V32" s="206"/>
      <c r="W32" s="5"/>
      <c r="X32" s="16"/>
      <c r="Y32" s="16"/>
      <c r="Z32" s="16"/>
      <c r="AA32" s="18"/>
      <c r="AB32" s="8">
        <f t="shared" si="4"/>
        <v>1</v>
      </c>
      <c r="AC32" s="9">
        <f t="shared" si="5"/>
        <v>0.91666666666666663</v>
      </c>
      <c r="AD32" s="10">
        <f t="shared" si="6"/>
        <v>0.91666666666666663</v>
      </c>
      <c r="AE32" s="36">
        <f t="shared" si="7"/>
        <v>0.34567901234567905</v>
      </c>
      <c r="AF32" s="84">
        <f t="shared" si="8"/>
        <v>36</v>
      </c>
    </row>
    <row r="33" spans="1:32" ht="31.5" customHeight="1" thickBot="1">
      <c r="A33" s="464" t="s">
        <v>34</v>
      </c>
      <c r="B33" s="465"/>
      <c r="C33" s="465"/>
      <c r="D33" s="465"/>
      <c r="E33" s="465"/>
      <c r="F33" s="465"/>
      <c r="G33" s="465"/>
      <c r="H33" s="466"/>
      <c r="I33" s="22">
        <f t="shared" ref="I33:N33" si="50">SUM(I6:I32)</f>
        <v>2288500</v>
      </c>
      <c r="J33" s="19">
        <f t="shared" si="50"/>
        <v>166100</v>
      </c>
      <c r="K33" s="20">
        <f t="shared" si="50"/>
        <v>1844315</v>
      </c>
      <c r="L33" s="21">
        <f t="shared" si="50"/>
        <v>116724</v>
      </c>
      <c r="M33" s="20">
        <f t="shared" si="50"/>
        <v>116724</v>
      </c>
      <c r="N33" s="21">
        <f t="shared" si="50"/>
        <v>0</v>
      </c>
      <c r="O33" s="41">
        <f t="shared" si="1"/>
        <v>0</v>
      </c>
      <c r="P33" s="42">
        <f t="shared" ref="P33:AA33" si="51">SUM(P6:P32)</f>
        <v>224</v>
      </c>
      <c r="Q33" s="43">
        <f t="shared" si="51"/>
        <v>424</v>
      </c>
      <c r="R33" s="23">
        <f t="shared" si="51"/>
        <v>0</v>
      </c>
      <c r="S33" s="24">
        <f t="shared" si="51"/>
        <v>115</v>
      </c>
      <c r="T33" s="24">
        <f t="shared" si="51"/>
        <v>15</v>
      </c>
      <c r="U33" s="24">
        <f t="shared" si="51"/>
        <v>0</v>
      </c>
      <c r="V33" s="25">
        <f t="shared" si="51"/>
        <v>72</v>
      </c>
      <c r="W33" s="26">
        <f t="shared" si="51"/>
        <v>222</v>
      </c>
      <c r="X33" s="27">
        <f t="shared" si="51"/>
        <v>0</v>
      </c>
      <c r="Y33" s="27">
        <f t="shared" si="51"/>
        <v>0</v>
      </c>
      <c r="Z33" s="27">
        <f t="shared" si="51"/>
        <v>0</v>
      </c>
      <c r="AA33" s="27">
        <f t="shared" si="51"/>
        <v>0</v>
      </c>
      <c r="AB33" s="28">
        <f>AVERAGE(AB6:AB32)</f>
        <v>0.84</v>
      </c>
      <c r="AC33" s="4">
        <f>AVERAGE(AC6:AC32)</f>
        <v>0.34567901234567905</v>
      </c>
      <c r="AD33" s="4">
        <f>AVERAGE(AD6:AD32)</f>
        <v>0.34567901234567905</v>
      </c>
      <c r="AE33" s="29"/>
    </row>
    <row r="34" spans="1:32">
      <c r="T34" s="50" t="s">
        <v>157</v>
      </c>
    </row>
    <row r="35" spans="1:32" ht="18.75">
      <c r="A35" s="2"/>
      <c r="B35" s="2" t="s">
        <v>35</v>
      </c>
      <c r="C35" s="2"/>
      <c r="D35" s="2"/>
      <c r="E35" s="2"/>
      <c r="F35" s="2"/>
      <c r="G35" s="2"/>
      <c r="H35" s="3"/>
      <c r="I35" s="3"/>
      <c r="J35" s="2"/>
      <c r="K35" s="2"/>
      <c r="L35" s="2"/>
      <c r="M35" s="2"/>
      <c r="N35" s="2" t="s">
        <v>36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1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>
      <c r="A41" s="49"/>
      <c r="B41" s="49" t="s">
        <v>160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spans="1:3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</row>
    <row r="43" spans="1:32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</row>
    <row r="44" spans="1:32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85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14.2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7">
      <c r="A50" s="59"/>
      <c r="B50" s="59"/>
      <c r="C50" s="59"/>
      <c r="D50" s="59"/>
      <c r="E50" s="59"/>
      <c r="F50" s="37"/>
      <c r="G50" s="37"/>
      <c r="H50" s="38"/>
      <c r="I50" s="38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F50" s="50"/>
    </row>
    <row r="51" spans="1:32" ht="29.25" customHeight="1">
      <c r="A51" s="60"/>
      <c r="B51" s="60"/>
      <c r="C51" s="61"/>
      <c r="D51" s="61"/>
      <c r="E51" s="61"/>
      <c r="F51" s="60"/>
      <c r="G51" s="60"/>
      <c r="H51" s="60"/>
      <c r="I51" s="60"/>
      <c r="J51" s="60"/>
      <c r="K51" s="60"/>
      <c r="L51" s="60"/>
      <c r="M51" s="61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29.25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29.25" customHeight="1">
      <c r="A56" s="60"/>
      <c r="B56" s="60"/>
      <c r="C56" s="62"/>
      <c r="D56" s="61"/>
      <c r="E56" s="61"/>
      <c r="F56" s="60"/>
      <c r="G56" s="60"/>
      <c r="H56" s="60"/>
      <c r="I56" s="60"/>
      <c r="J56" s="60"/>
      <c r="K56" s="60"/>
      <c r="L56" s="60"/>
      <c r="M56" s="62"/>
      <c r="N56" s="60"/>
      <c r="O56" s="60"/>
      <c r="P56" s="63"/>
      <c r="Q56" s="63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0"/>
      <c r="AC56" s="60"/>
      <c r="AD56" s="60"/>
      <c r="AF56" s="50"/>
    </row>
    <row r="57" spans="1:32" ht="29.25" customHeight="1">
      <c r="A57" s="60"/>
      <c r="B57" s="60"/>
      <c r="C57" s="62"/>
      <c r="D57" s="61"/>
      <c r="E57" s="61"/>
      <c r="F57" s="60"/>
      <c r="G57" s="60"/>
      <c r="H57" s="60"/>
      <c r="I57" s="60"/>
      <c r="J57" s="60"/>
      <c r="K57" s="60"/>
      <c r="L57" s="60"/>
      <c r="M57" s="62"/>
      <c r="N57" s="60"/>
      <c r="O57" s="60"/>
      <c r="P57" s="63"/>
      <c r="Q57" s="63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0"/>
      <c r="AC57" s="60"/>
      <c r="AD57" s="60"/>
      <c r="AF57" s="50"/>
    </row>
    <row r="58" spans="1:32" ht="29.25" customHeight="1">
      <c r="A58" s="60"/>
      <c r="B58" s="60"/>
      <c r="C58" s="62"/>
      <c r="D58" s="61"/>
      <c r="E58" s="61"/>
      <c r="F58" s="60"/>
      <c r="G58" s="60"/>
      <c r="H58" s="60"/>
      <c r="I58" s="60"/>
      <c r="J58" s="60"/>
      <c r="K58" s="60"/>
      <c r="L58" s="60"/>
      <c r="M58" s="62"/>
      <c r="N58" s="60"/>
      <c r="O58" s="60"/>
      <c r="P58" s="63"/>
      <c r="Q58" s="63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0"/>
      <c r="AC58" s="60"/>
      <c r="AD58" s="60"/>
      <c r="AF58" s="50"/>
    </row>
    <row r="59" spans="1:32" ht="14.25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F59" s="50"/>
    </row>
    <row r="60" spans="1:32" ht="36" thickBot="1">
      <c r="A60" s="467" t="s">
        <v>45</v>
      </c>
      <c r="B60" s="467"/>
      <c r="C60" s="467"/>
      <c r="D60" s="467"/>
      <c r="E60" s="467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F60" s="50"/>
    </row>
    <row r="61" spans="1:32" ht="26.25" thickBot="1">
      <c r="A61" s="468" t="s">
        <v>329</v>
      </c>
      <c r="B61" s="469"/>
      <c r="C61" s="469"/>
      <c r="D61" s="469"/>
      <c r="E61" s="469"/>
      <c r="F61" s="469"/>
      <c r="G61" s="469"/>
      <c r="H61" s="469"/>
      <c r="I61" s="469"/>
      <c r="J61" s="469"/>
      <c r="K61" s="469"/>
      <c r="L61" s="469"/>
      <c r="M61" s="470"/>
      <c r="N61" s="471" t="s">
        <v>337</v>
      </c>
      <c r="O61" s="472"/>
      <c r="P61" s="472"/>
      <c r="Q61" s="472"/>
      <c r="R61" s="472"/>
      <c r="S61" s="472"/>
      <c r="T61" s="472"/>
      <c r="U61" s="472"/>
      <c r="V61" s="472"/>
      <c r="W61" s="472"/>
      <c r="X61" s="472"/>
      <c r="Y61" s="472"/>
      <c r="Z61" s="472"/>
      <c r="AA61" s="472"/>
      <c r="AB61" s="472"/>
      <c r="AC61" s="472"/>
      <c r="AD61" s="473"/>
    </row>
    <row r="62" spans="1:32" ht="27" customHeight="1">
      <c r="A62" s="474" t="s">
        <v>2</v>
      </c>
      <c r="B62" s="475"/>
      <c r="C62" s="221" t="s">
        <v>46</v>
      </c>
      <c r="D62" s="221" t="s">
        <v>47</v>
      </c>
      <c r="E62" s="221" t="s">
        <v>107</v>
      </c>
      <c r="F62" s="476" t="s">
        <v>106</v>
      </c>
      <c r="G62" s="477"/>
      <c r="H62" s="477"/>
      <c r="I62" s="477"/>
      <c r="J62" s="477"/>
      <c r="K62" s="477"/>
      <c r="L62" s="477"/>
      <c r="M62" s="478"/>
      <c r="N62" s="67" t="s">
        <v>110</v>
      </c>
      <c r="O62" s="221" t="s">
        <v>46</v>
      </c>
      <c r="P62" s="476" t="s">
        <v>47</v>
      </c>
      <c r="Q62" s="479"/>
      <c r="R62" s="476" t="s">
        <v>38</v>
      </c>
      <c r="S62" s="477"/>
      <c r="T62" s="477"/>
      <c r="U62" s="479"/>
      <c r="V62" s="476" t="s">
        <v>48</v>
      </c>
      <c r="W62" s="477"/>
      <c r="X62" s="477"/>
      <c r="Y62" s="477"/>
      <c r="Z62" s="477"/>
      <c r="AA62" s="477"/>
      <c r="AB62" s="477"/>
      <c r="AC62" s="477"/>
      <c r="AD62" s="478"/>
    </row>
    <row r="63" spans="1:32" ht="27" customHeight="1">
      <c r="A63" s="490" t="s">
        <v>116</v>
      </c>
      <c r="B63" s="491"/>
      <c r="C63" s="223" t="s">
        <v>132</v>
      </c>
      <c r="D63" s="223" t="s">
        <v>130</v>
      </c>
      <c r="E63" s="223" t="s">
        <v>158</v>
      </c>
      <c r="F63" s="492" t="s">
        <v>283</v>
      </c>
      <c r="G63" s="493"/>
      <c r="H63" s="493"/>
      <c r="I63" s="493"/>
      <c r="J63" s="493"/>
      <c r="K63" s="493"/>
      <c r="L63" s="493"/>
      <c r="M63" s="494"/>
      <c r="N63" s="222" t="s">
        <v>116</v>
      </c>
      <c r="O63" s="229" t="s">
        <v>132</v>
      </c>
      <c r="P63" s="495" t="s">
        <v>130</v>
      </c>
      <c r="Q63" s="496"/>
      <c r="R63" s="495" t="s">
        <v>158</v>
      </c>
      <c r="S63" s="497"/>
      <c r="T63" s="497"/>
      <c r="U63" s="496"/>
      <c r="V63" s="498" t="s">
        <v>120</v>
      </c>
      <c r="W63" s="498"/>
      <c r="X63" s="498"/>
      <c r="Y63" s="498"/>
      <c r="Z63" s="498"/>
      <c r="AA63" s="498"/>
      <c r="AB63" s="498"/>
      <c r="AC63" s="498"/>
      <c r="AD63" s="499"/>
    </row>
    <row r="64" spans="1:32" ht="27" customHeight="1">
      <c r="A64" s="500" t="s">
        <v>116</v>
      </c>
      <c r="B64" s="501"/>
      <c r="C64" s="224" t="s">
        <v>198</v>
      </c>
      <c r="D64" s="224" t="s">
        <v>140</v>
      </c>
      <c r="E64" s="223" t="s">
        <v>323</v>
      </c>
      <c r="F64" s="492" t="s">
        <v>330</v>
      </c>
      <c r="G64" s="493"/>
      <c r="H64" s="493"/>
      <c r="I64" s="493"/>
      <c r="J64" s="493"/>
      <c r="K64" s="493"/>
      <c r="L64" s="493"/>
      <c r="M64" s="494"/>
      <c r="N64" s="222" t="s">
        <v>143</v>
      </c>
      <c r="O64" s="229" t="s">
        <v>169</v>
      </c>
      <c r="P64" s="495" t="s">
        <v>150</v>
      </c>
      <c r="Q64" s="496"/>
      <c r="R64" s="495" t="s">
        <v>338</v>
      </c>
      <c r="S64" s="497"/>
      <c r="T64" s="497"/>
      <c r="U64" s="496"/>
      <c r="V64" s="498" t="s">
        <v>125</v>
      </c>
      <c r="W64" s="498"/>
      <c r="X64" s="498"/>
      <c r="Y64" s="498"/>
      <c r="Z64" s="498"/>
      <c r="AA64" s="498"/>
      <c r="AB64" s="498"/>
      <c r="AC64" s="498"/>
      <c r="AD64" s="499"/>
    </row>
    <row r="65" spans="1:32" ht="27" customHeight="1">
      <c r="A65" s="500" t="s">
        <v>112</v>
      </c>
      <c r="B65" s="501"/>
      <c r="C65" s="224" t="s">
        <v>169</v>
      </c>
      <c r="D65" s="224" t="s">
        <v>148</v>
      </c>
      <c r="E65" s="223" t="s">
        <v>311</v>
      </c>
      <c r="F65" s="492" t="s">
        <v>125</v>
      </c>
      <c r="G65" s="493"/>
      <c r="H65" s="493"/>
      <c r="I65" s="493"/>
      <c r="J65" s="493"/>
      <c r="K65" s="493"/>
      <c r="L65" s="493"/>
      <c r="M65" s="494"/>
      <c r="N65" s="222" t="s">
        <v>143</v>
      </c>
      <c r="O65" s="229" t="s">
        <v>239</v>
      </c>
      <c r="P65" s="495" t="s">
        <v>115</v>
      </c>
      <c r="Q65" s="496"/>
      <c r="R65" s="495" t="s">
        <v>309</v>
      </c>
      <c r="S65" s="497"/>
      <c r="T65" s="497"/>
      <c r="U65" s="496"/>
      <c r="V65" s="498" t="s">
        <v>120</v>
      </c>
      <c r="W65" s="498"/>
      <c r="X65" s="498"/>
      <c r="Y65" s="498"/>
      <c r="Z65" s="498"/>
      <c r="AA65" s="498"/>
      <c r="AB65" s="498"/>
      <c r="AC65" s="498"/>
      <c r="AD65" s="499"/>
    </row>
    <row r="66" spans="1:32" ht="27" customHeight="1">
      <c r="A66" s="500" t="s">
        <v>112</v>
      </c>
      <c r="B66" s="501"/>
      <c r="C66" s="224" t="s">
        <v>169</v>
      </c>
      <c r="D66" s="224" t="s">
        <v>148</v>
      </c>
      <c r="E66" s="223" t="s">
        <v>308</v>
      </c>
      <c r="F66" s="492" t="s">
        <v>125</v>
      </c>
      <c r="G66" s="493"/>
      <c r="H66" s="493"/>
      <c r="I66" s="493"/>
      <c r="J66" s="493"/>
      <c r="K66" s="493"/>
      <c r="L66" s="493"/>
      <c r="M66" s="494"/>
      <c r="N66" s="222" t="s">
        <v>116</v>
      </c>
      <c r="O66" s="229" t="s">
        <v>175</v>
      </c>
      <c r="P66" s="495" t="s">
        <v>150</v>
      </c>
      <c r="Q66" s="496"/>
      <c r="R66" s="495" t="s">
        <v>290</v>
      </c>
      <c r="S66" s="497"/>
      <c r="T66" s="497"/>
      <c r="U66" s="496"/>
      <c r="V66" s="498" t="s">
        <v>120</v>
      </c>
      <c r="W66" s="498"/>
      <c r="X66" s="498"/>
      <c r="Y66" s="498"/>
      <c r="Z66" s="498"/>
      <c r="AA66" s="498"/>
      <c r="AB66" s="498"/>
      <c r="AC66" s="498"/>
      <c r="AD66" s="499"/>
    </row>
    <row r="67" spans="1:32" ht="27" customHeight="1">
      <c r="A67" s="500" t="s">
        <v>116</v>
      </c>
      <c r="B67" s="501"/>
      <c r="C67" s="224" t="s">
        <v>175</v>
      </c>
      <c r="D67" s="224" t="s">
        <v>150</v>
      </c>
      <c r="E67" s="223" t="s">
        <v>290</v>
      </c>
      <c r="F67" s="492" t="s">
        <v>331</v>
      </c>
      <c r="G67" s="493"/>
      <c r="H67" s="493"/>
      <c r="I67" s="493"/>
      <c r="J67" s="493"/>
      <c r="K67" s="493"/>
      <c r="L67" s="493"/>
      <c r="M67" s="494"/>
      <c r="N67" s="222" t="s">
        <v>116</v>
      </c>
      <c r="O67" s="229" t="s">
        <v>198</v>
      </c>
      <c r="P67" s="495" t="s">
        <v>140</v>
      </c>
      <c r="Q67" s="496"/>
      <c r="R67" s="495" t="s">
        <v>323</v>
      </c>
      <c r="S67" s="497"/>
      <c r="T67" s="497"/>
      <c r="U67" s="496"/>
      <c r="V67" s="498" t="s">
        <v>120</v>
      </c>
      <c r="W67" s="498"/>
      <c r="X67" s="498"/>
      <c r="Y67" s="498"/>
      <c r="Z67" s="498"/>
      <c r="AA67" s="498"/>
      <c r="AB67" s="498"/>
      <c r="AC67" s="498"/>
      <c r="AD67" s="499"/>
    </row>
    <row r="68" spans="1:32" ht="27" customHeight="1">
      <c r="A68" s="500" t="s">
        <v>143</v>
      </c>
      <c r="B68" s="501"/>
      <c r="C68" s="224" t="s">
        <v>259</v>
      </c>
      <c r="D68" s="224" t="s">
        <v>267</v>
      </c>
      <c r="E68" s="223" t="s">
        <v>258</v>
      </c>
      <c r="F68" s="492" t="s">
        <v>332</v>
      </c>
      <c r="G68" s="493"/>
      <c r="H68" s="493"/>
      <c r="I68" s="493"/>
      <c r="J68" s="493"/>
      <c r="K68" s="493"/>
      <c r="L68" s="493"/>
      <c r="M68" s="494"/>
      <c r="N68" s="222" t="s">
        <v>143</v>
      </c>
      <c r="O68" s="229" t="s">
        <v>256</v>
      </c>
      <c r="P68" s="495" t="s">
        <v>150</v>
      </c>
      <c r="Q68" s="496"/>
      <c r="R68" s="495" t="s">
        <v>339</v>
      </c>
      <c r="S68" s="497"/>
      <c r="T68" s="497"/>
      <c r="U68" s="496"/>
      <c r="V68" s="498" t="s">
        <v>120</v>
      </c>
      <c r="W68" s="498"/>
      <c r="X68" s="498"/>
      <c r="Y68" s="498"/>
      <c r="Z68" s="498"/>
      <c r="AA68" s="498"/>
      <c r="AB68" s="498"/>
      <c r="AC68" s="498"/>
      <c r="AD68" s="499"/>
    </row>
    <row r="69" spans="1:32" ht="27" customHeight="1">
      <c r="A69" s="490" t="s">
        <v>112</v>
      </c>
      <c r="B69" s="491"/>
      <c r="C69" s="223" t="s">
        <v>277</v>
      </c>
      <c r="D69" s="223" t="s">
        <v>115</v>
      </c>
      <c r="E69" s="223" t="s">
        <v>321</v>
      </c>
      <c r="F69" s="492" t="s">
        <v>333</v>
      </c>
      <c r="G69" s="493"/>
      <c r="H69" s="493"/>
      <c r="I69" s="493"/>
      <c r="J69" s="493"/>
      <c r="K69" s="493"/>
      <c r="L69" s="493"/>
      <c r="M69" s="494"/>
      <c r="N69" s="222" t="s">
        <v>143</v>
      </c>
      <c r="O69" s="229" t="s">
        <v>286</v>
      </c>
      <c r="P69" s="495"/>
      <c r="Q69" s="496"/>
      <c r="R69" s="495" t="s">
        <v>340</v>
      </c>
      <c r="S69" s="497"/>
      <c r="T69" s="497"/>
      <c r="U69" s="496"/>
      <c r="V69" s="498" t="s">
        <v>120</v>
      </c>
      <c r="W69" s="498"/>
      <c r="X69" s="498"/>
      <c r="Y69" s="498"/>
      <c r="Z69" s="498"/>
      <c r="AA69" s="498"/>
      <c r="AB69" s="498"/>
      <c r="AC69" s="498"/>
      <c r="AD69" s="499"/>
    </row>
    <row r="70" spans="1:32" ht="27" customHeight="1">
      <c r="A70" s="500" t="s">
        <v>112</v>
      </c>
      <c r="B70" s="501"/>
      <c r="C70" s="224" t="s">
        <v>277</v>
      </c>
      <c r="D70" s="224" t="s">
        <v>123</v>
      </c>
      <c r="E70" s="223" t="s">
        <v>322</v>
      </c>
      <c r="F70" s="492" t="s">
        <v>125</v>
      </c>
      <c r="G70" s="493"/>
      <c r="H70" s="493"/>
      <c r="I70" s="493"/>
      <c r="J70" s="493"/>
      <c r="K70" s="493"/>
      <c r="L70" s="493"/>
      <c r="M70" s="494"/>
      <c r="N70" s="222"/>
      <c r="O70" s="229"/>
      <c r="P70" s="495"/>
      <c r="Q70" s="496"/>
      <c r="R70" s="495"/>
      <c r="S70" s="497"/>
      <c r="T70" s="497"/>
      <c r="U70" s="496"/>
      <c r="V70" s="498"/>
      <c r="W70" s="498"/>
      <c r="X70" s="498"/>
      <c r="Y70" s="498"/>
      <c r="Z70" s="498"/>
      <c r="AA70" s="498"/>
      <c r="AB70" s="498"/>
      <c r="AC70" s="498"/>
      <c r="AD70" s="499"/>
    </row>
    <row r="71" spans="1:32" ht="27" customHeight="1">
      <c r="A71" s="500" t="s">
        <v>112</v>
      </c>
      <c r="B71" s="501"/>
      <c r="C71" s="224" t="s">
        <v>286</v>
      </c>
      <c r="D71" s="224" t="s">
        <v>152</v>
      </c>
      <c r="E71" s="223" t="s">
        <v>334</v>
      </c>
      <c r="F71" s="492" t="s">
        <v>335</v>
      </c>
      <c r="G71" s="493"/>
      <c r="H71" s="493"/>
      <c r="I71" s="493"/>
      <c r="J71" s="493"/>
      <c r="K71" s="493"/>
      <c r="L71" s="493"/>
      <c r="M71" s="494"/>
      <c r="N71" s="222"/>
      <c r="O71" s="229"/>
      <c r="P71" s="491"/>
      <c r="Q71" s="491"/>
      <c r="R71" s="491"/>
      <c r="S71" s="491"/>
      <c r="T71" s="491"/>
      <c r="U71" s="491"/>
      <c r="V71" s="498"/>
      <c r="W71" s="498"/>
      <c r="X71" s="498"/>
      <c r="Y71" s="498"/>
      <c r="Z71" s="498"/>
      <c r="AA71" s="498"/>
      <c r="AB71" s="498"/>
      <c r="AC71" s="498"/>
      <c r="AD71" s="499"/>
      <c r="AF71" s="84">
        <f>8*3000</f>
        <v>24000</v>
      </c>
    </row>
    <row r="72" spans="1:32" ht="27" customHeight="1" thickBot="1">
      <c r="A72" s="502" t="s">
        <v>112</v>
      </c>
      <c r="B72" s="503"/>
      <c r="C72" s="225" t="s">
        <v>286</v>
      </c>
      <c r="D72" s="226" t="s">
        <v>314</v>
      </c>
      <c r="E72" s="225" t="s">
        <v>313</v>
      </c>
      <c r="F72" s="504" t="s">
        <v>336</v>
      </c>
      <c r="G72" s="505"/>
      <c r="H72" s="505"/>
      <c r="I72" s="505"/>
      <c r="J72" s="505"/>
      <c r="K72" s="505"/>
      <c r="L72" s="505"/>
      <c r="M72" s="506"/>
      <c r="N72" s="111"/>
      <c r="O72" s="103"/>
      <c r="P72" s="507"/>
      <c r="Q72" s="507"/>
      <c r="R72" s="507"/>
      <c r="S72" s="507"/>
      <c r="T72" s="507"/>
      <c r="U72" s="507"/>
      <c r="V72" s="508"/>
      <c r="W72" s="508"/>
      <c r="X72" s="508"/>
      <c r="Y72" s="508"/>
      <c r="Z72" s="508"/>
      <c r="AA72" s="508"/>
      <c r="AB72" s="508"/>
      <c r="AC72" s="508"/>
      <c r="AD72" s="509"/>
      <c r="AF72" s="84">
        <f>16*3000</f>
        <v>48000</v>
      </c>
    </row>
    <row r="73" spans="1:32" ht="27.75" thickBot="1">
      <c r="A73" s="510" t="s">
        <v>341</v>
      </c>
      <c r="B73" s="510"/>
      <c r="C73" s="510"/>
      <c r="D73" s="510"/>
      <c r="E73" s="510"/>
      <c r="F73" s="37"/>
      <c r="G73" s="37"/>
      <c r="H73" s="38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F73" s="84">
        <v>24000</v>
      </c>
    </row>
    <row r="74" spans="1:32" ht="29.25" customHeight="1" thickBot="1">
      <c r="A74" s="511" t="s">
        <v>111</v>
      </c>
      <c r="B74" s="512"/>
      <c r="C74" s="227" t="s">
        <v>2</v>
      </c>
      <c r="D74" s="227" t="s">
        <v>37</v>
      </c>
      <c r="E74" s="227" t="s">
        <v>3</v>
      </c>
      <c r="F74" s="512" t="s">
        <v>109</v>
      </c>
      <c r="G74" s="512"/>
      <c r="H74" s="512"/>
      <c r="I74" s="512"/>
      <c r="J74" s="512"/>
      <c r="K74" s="512" t="s">
        <v>39</v>
      </c>
      <c r="L74" s="512"/>
      <c r="M74" s="227" t="s">
        <v>40</v>
      </c>
      <c r="N74" s="512" t="s">
        <v>41</v>
      </c>
      <c r="O74" s="512"/>
      <c r="P74" s="513" t="s">
        <v>42</v>
      </c>
      <c r="Q74" s="514"/>
      <c r="R74" s="513" t="s">
        <v>43</v>
      </c>
      <c r="S74" s="515"/>
      <c r="T74" s="515"/>
      <c r="U74" s="515"/>
      <c r="V74" s="515"/>
      <c r="W74" s="515"/>
      <c r="X74" s="515"/>
      <c r="Y74" s="515"/>
      <c r="Z74" s="515"/>
      <c r="AA74" s="514"/>
      <c r="AB74" s="512" t="s">
        <v>44</v>
      </c>
      <c r="AC74" s="512"/>
      <c r="AD74" s="516"/>
      <c r="AF74" s="84">
        <f>SUM(AF71:AF73)</f>
        <v>96000</v>
      </c>
    </row>
    <row r="75" spans="1:32" ht="25.5" customHeight="1">
      <c r="A75" s="517">
        <v>1</v>
      </c>
      <c r="B75" s="518"/>
      <c r="C75" s="104" t="s">
        <v>112</v>
      </c>
      <c r="D75" s="231"/>
      <c r="E75" s="228" t="s">
        <v>148</v>
      </c>
      <c r="F75" s="519" t="s">
        <v>311</v>
      </c>
      <c r="G75" s="520"/>
      <c r="H75" s="520"/>
      <c r="I75" s="520"/>
      <c r="J75" s="521"/>
      <c r="K75" s="522" t="s">
        <v>147</v>
      </c>
      <c r="L75" s="522"/>
      <c r="M75" s="51" t="s">
        <v>205</v>
      </c>
      <c r="N75" s="523" t="s">
        <v>169</v>
      </c>
      <c r="O75" s="523"/>
      <c r="P75" s="524">
        <v>50</v>
      </c>
      <c r="Q75" s="524"/>
      <c r="R75" s="498"/>
      <c r="S75" s="498"/>
      <c r="T75" s="498"/>
      <c r="U75" s="498"/>
      <c r="V75" s="498"/>
      <c r="W75" s="498"/>
      <c r="X75" s="498"/>
      <c r="Y75" s="498"/>
      <c r="Z75" s="498"/>
      <c r="AA75" s="498"/>
      <c r="AB75" s="522"/>
      <c r="AC75" s="522"/>
      <c r="AD75" s="525"/>
      <c r="AF75" s="50"/>
    </row>
    <row r="76" spans="1:32" ht="25.5" customHeight="1">
      <c r="A76" s="517">
        <v>2</v>
      </c>
      <c r="B76" s="518"/>
      <c r="C76" s="104" t="s">
        <v>112</v>
      </c>
      <c r="D76" s="231"/>
      <c r="E76" s="228" t="s">
        <v>314</v>
      </c>
      <c r="F76" s="519" t="s">
        <v>313</v>
      </c>
      <c r="G76" s="520"/>
      <c r="H76" s="520"/>
      <c r="I76" s="520"/>
      <c r="J76" s="521"/>
      <c r="K76" s="522" t="s">
        <v>328</v>
      </c>
      <c r="L76" s="522"/>
      <c r="M76" s="51" t="s">
        <v>205</v>
      </c>
      <c r="N76" s="523" t="s">
        <v>286</v>
      </c>
      <c r="O76" s="523"/>
      <c r="P76" s="524">
        <v>100</v>
      </c>
      <c r="Q76" s="524"/>
      <c r="R76" s="498"/>
      <c r="S76" s="498"/>
      <c r="T76" s="498"/>
      <c r="U76" s="498"/>
      <c r="V76" s="498"/>
      <c r="W76" s="498"/>
      <c r="X76" s="498"/>
      <c r="Y76" s="498"/>
      <c r="Z76" s="498"/>
      <c r="AA76" s="498"/>
      <c r="AB76" s="522"/>
      <c r="AC76" s="522"/>
      <c r="AD76" s="525"/>
      <c r="AF76" s="50"/>
    </row>
    <row r="77" spans="1:32" ht="25.5" customHeight="1">
      <c r="A77" s="517">
        <v>3</v>
      </c>
      <c r="B77" s="518"/>
      <c r="C77" s="104" t="s">
        <v>112</v>
      </c>
      <c r="D77" s="231"/>
      <c r="E77" s="228" t="s">
        <v>115</v>
      </c>
      <c r="F77" s="519" t="s">
        <v>321</v>
      </c>
      <c r="G77" s="520"/>
      <c r="H77" s="520"/>
      <c r="I77" s="520"/>
      <c r="J77" s="521"/>
      <c r="K77" s="522" t="s">
        <v>145</v>
      </c>
      <c r="L77" s="522"/>
      <c r="M77" s="51" t="s">
        <v>205</v>
      </c>
      <c r="N77" s="523" t="s">
        <v>277</v>
      </c>
      <c r="O77" s="523"/>
      <c r="P77" s="524">
        <v>50</v>
      </c>
      <c r="Q77" s="524"/>
      <c r="R77" s="498" t="s">
        <v>342</v>
      </c>
      <c r="S77" s="498"/>
      <c r="T77" s="498"/>
      <c r="U77" s="498"/>
      <c r="V77" s="498"/>
      <c r="W77" s="498"/>
      <c r="X77" s="498"/>
      <c r="Y77" s="498"/>
      <c r="Z77" s="498"/>
      <c r="AA77" s="498"/>
      <c r="AB77" s="522"/>
      <c r="AC77" s="522"/>
      <c r="AD77" s="525"/>
      <c r="AF77" s="50"/>
    </row>
    <row r="78" spans="1:32" ht="25.5" customHeight="1">
      <c r="A78" s="517">
        <v>4</v>
      </c>
      <c r="B78" s="518"/>
      <c r="C78" s="104" t="s">
        <v>112</v>
      </c>
      <c r="D78" s="231"/>
      <c r="E78" s="228" t="s">
        <v>123</v>
      </c>
      <c r="F78" s="519" t="s">
        <v>322</v>
      </c>
      <c r="G78" s="520"/>
      <c r="H78" s="520"/>
      <c r="I78" s="520"/>
      <c r="J78" s="521"/>
      <c r="K78" s="522" t="s">
        <v>145</v>
      </c>
      <c r="L78" s="522"/>
      <c r="M78" s="51" t="s">
        <v>205</v>
      </c>
      <c r="N78" s="523" t="s">
        <v>277</v>
      </c>
      <c r="O78" s="523"/>
      <c r="P78" s="524">
        <v>50</v>
      </c>
      <c r="Q78" s="524"/>
      <c r="R78" s="498"/>
      <c r="S78" s="498"/>
      <c r="T78" s="498"/>
      <c r="U78" s="498"/>
      <c r="V78" s="498"/>
      <c r="W78" s="498"/>
      <c r="X78" s="498"/>
      <c r="Y78" s="498"/>
      <c r="Z78" s="498"/>
      <c r="AA78" s="498"/>
      <c r="AB78" s="522"/>
      <c r="AC78" s="522"/>
      <c r="AD78" s="525"/>
      <c r="AF78" s="50"/>
    </row>
    <row r="79" spans="1:32" ht="25.5" customHeight="1">
      <c r="A79" s="517">
        <v>5</v>
      </c>
      <c r="B79" s="518"/>
      <c r="C79" s="104" t="s">
        <v>112</v>
      </c>
      <c r="D79" s="231"/>
      <c r="E79" s="228" t="s">
        <v>152</v>
      </c>
      <c r="F79" s="519" t="s">
        <v>334</v>
      </c>
      <c r="G79" s="520"/>
      <c r="H79" s="520"/>
      <c r="I79" s="520"/>
      <c r="J79" s="521"/>
      <c r="K79" s="522" t="s">
        <v>131</v>
      </c>
      <c r="L79" s="522"/>
      <c r="M79" s="51" t="s">
        <v>205</v>
      </c>
      <c r="N79" s="523" t="s">
        <v>286</v>
      </c>
      <c r="O79" s="523"/>
      <c r="P79" s="524">
        <v>50</v>
      </c>
      <c r="Q79" s="524"/>
      <c r="R79" s="498" t="s">
        <v>343</v>
      </c>
      <c r="S79" s="498"/>
      <c r="T79" s="498"/>
      <c r="U79" s="498"/>
      <c r="V79" s="498"/>
      <c r="W79" s="498"/>
      <c r="X79" s="498"/>
      <c r="Y79" s="498"/>
      <c r="Z79" s="498"/>
      <c r="AA79" s="498"/>
      <c r="AB79" s="522"/>
      <c r="AC79" s="522"/>
      <c r="AD79" s="525"/>
      <c r="AF79" s="50"/>
    </row>
    <row r="80" spans="1:32" ht="25.5" customHeight="1">
      <c r="A80" s="517">
        <v>6</v>
      </c>
      <c r="B80" s="518"/>
      <c r="C80" s="104" t="s">
        <v>241</v>
      </c>
      <c r="D80" s="231"/>
      <c r="E80" s="228"/>
      <c r="F80" s="519" t="s">
        <v>326</v>
      </c>
      <c r="G80" s="520"/>
      <c r="H80" s="520"/>
      <c r="I80" s="520"/>
      <c r="J80" s="521"/>
      <c r="K80" s="522" t="s">
        <v>302</v>
      </c>
      <c r="L80" s="522"/>
      <c r="M80" s="51" t="s">
        <v>344</v>
      </c>
      <c r="N80" s="523" t="s">
        <v>256</v>
      </c>
      <c r="O80" s="523"/>
      <c r="P80" s="524">
        <v>50</v>
      </c>
      <c r="Q80" s="524"/>
      <c r="R80" s="498"/>
      <c r="S80" s="498"/>
      <c r="T80" s="498"/>
      <c r="U80" s="498"/>
      <c r="V80" s="498"/>
      <c r="W80" s="498"/>
      <c r="X80" s="498"/>
      <c r="Y80" s="498"/>
      <c r="Z80" s="498"/>
      <c r="AA80" s="498"/>
      <c r="AB80" s="522"/>
      <c r="AC80" s="522"/>
      <c r="AD80" s="525"/>
      <c r="AF80" s="50"/>
    </row>
    <row r="81" spans="1:32" ht="25.5" customHeight="1">
      <c r="A81" s="517">
        <v>7</v>
      </c>
      <c r="B81" s="518"/>
      <c r="C81" s="104"/>
      <c r="D81" s="231"/>
      <c r="E81" s="228"/>
      <c r="F81" s="519"/>
      <c r="G81" s="520"/>
      <c r="H81" s="520"/>
      <c r="I81" s="520"/>
      <c r="J81" s="521"/>
      <c r="K81" s="522"/>
      <c r="L81" s="522"/>
      <c r="M81" s="51"/>
      <c r="N81" s="523"/>
      <c r="O81" s="523"/>
      <c r="P81" s="524"/>
      <c r="Q81" s="524"/>
      <c r="R81" s="498"/>
      <c r="S81" s="498"/>
      <c r="T81" s="498"/>
      <c r="U81" s="498"/>
      <c r="V81" s="498"/>
      <c r="W81" s="498"/>
      <c r="X81" s="498"/>
      <c r="Y81" s="498"/>
      <c r="Z81" s="498"/>
      <c r="AA81" s="498"/>
      <c r="AB81" s="522"/>
      <c r="AC81" s="522"/>
      <c r="AD81" s="525"/>
      <c r="AF81" s="50"/>
    </row>
    <row r="82" spans="1:32" ht="25.5" customHeight="1">
      <c r="A82" s="517">
        <v>8</v>
      </c>
      <c r="B82" s="518"/>
      <c r="C82" s="104"/>
      <c r="D82" s="231"/>
      <c r="E82" s="228"/>
      <c r="F82" s="526"/>
      <c r="G82" s="522"/>
      <c r="H82" s="522"/>
      <c r="I82" s="522"/>
      <c r="J82" s="522"/>
      <c r="K82" s="522"/>
      <c r="L82" s="522"/>
      <c r="M82" s="51"/>
      <c r="N82" s="523"/>
      <c r="O82" s="523"/>
      <c r="P82" s="524"/>
      <c r="Q82" s="524"/>
      <c r="R82" s="498"/>
      <c r="S82" s="498"/>
      <c r="T82" s="498"/>
      <c r="U82" s="498"/>
      <c r="V82" s="498"/>
      <c r="W82" s="498"/>
      <c r="X82" s="498"/>
      <c r="Y82" s="498"/>
      <c r="Z82" s="498"/>
      <c r="AA82" s="498"/>
      <c r="AB82" s="522"/>
      <c r="AC82" s="522"/>
      <c r="AD82" s="525"/>
      <c r="AF82" s="50"/>
    </row>
    <row r="83" spans="1:32" ht="25.5" customHeight="1">
      <c r="A83" s="517">
        <v>9</v>
      </c>
      <c r="B83" s="518"/>
      <c r="C83" s="104"/>
      <c r="D83" s="231"/>
      <c r="E83" s="228"/>
      <c r="F83" s="526"/>
      <c r="G83" s="522"/>
      <c r="H83" s="522"/>
      <c r="I83" s="522"/>
      <c r="J83" s="522"/>
      <c r="K83" s="522"/>
      <c r="L83" s="522"/>
      <c r="M83" s="51"/>
      <c r="N83" s="523"/>
      <c r="O83" s="523"/>
      <c r="P83" s="524"/>
      <c r="Q83" s="524"/>
      <c r="R83" s="498"/>
      <c r="S83" s="498"/>
      <c r="T83" s="498"/>
      <c r="U83" s="498"/>
      <c r="V83" s="498"/>
      <c r="W83" s="498"/>
      <c r="X83" s="498"/>
      <c r="Y83" s="498"/>
      <c r="Z83" s="498"/>
      <c r="AA83" s="498"/>
      <c r="AB83" s="522"/>
      <c r="AC83" s="522"/>
      <c r="AD83" s="525"/>
      <c r="AF83" s="50"/>
    </row>
    <row r="84" spans="1:32" ht="25.5" customHeight="1">
      <c r="A84" s="517">
        <v>10</v>
      </c>
      <c r="B84" s="518"/>
      <c r="C84" s="104"/>
      <c r="D84" s="231"/>
      <c r="E84" s="228"/>
      <c r="F84" s="526"/>
      <c r="G84" s="522"/>
      <c r="H84" s="522"/>
      <c r="I84" s="522"/>
      <c r="J84" s="522"/>
      <c r="K84" s="522"/>
      <c r="L84" s="522"/>
      <c r="M84" s="51"/>
      <c r="N84" s="523"/>
      <c r="O84" s="523"/>
      <c r="P84" s="524"/>
      <c r="Q84" s="524"/>
      <c r="R84" s="498"/>
      <c r="S84" s="498"/>
      <c r="T84" s="498"/>
      <c r="U84" s="498"/>
      <c r="V84" s="498"/>
      <c r="W84" s="498"/>
      <c r="X84" s="498"/>
      <c r="Y84" s="498"/>
      <c r="Z84" s="498"/>
      <c r="AA84" s="498"/>
      <c r="AB84" s="522"/>
      <c r="AC84" s="522"/>
      <c r="AD84" s="525"/>
      <c r="AF84" s="50"/>
    </row>
    <row r="85" spans="1:32" ht="26.25" customHeight="1" thickBot="1">
      <c r="A85" s="527" t="s">
        <v>345</v>
      </c>
      <c r="B85" s="527"/>
      <c r="C85" s="527"/>
      <c r="D85" s="527"/>
      <c r="E85" s="527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23.25" thickBot="1">
      <c r="A86" s="528" t="s">
        <v>111</v>
      </c>
      <c r="B86" s="529"/>
      <c r="C86" s="230" t="s">
        <v>2</v>
      </c>
      <c r="D86" s="230" t="s">
        <v>37</v>
      </c>
      <c r="E86" s="230" t="s">
        <v>121</v>
      </c>
      <c r="F86" s="530" t="s">
        <v>38</v>
      </c>
      <c r="G86" s="530"/>
      <c r="H86" s="530"/>
      <c r="I86" s="530"/>
      <c r="J86" s="530"/>
      <c r="K86" s="531" t="s">
        <v>58</v>
      </c>
      <c r="L86" s="532"/>
      <c r="M86" s="532"/>
      <c r="N86" s="532"/>
      <c r="O86" s="532"/>
      <c r="P86" s="532"/>
      <c r="Q86" s="532"/>
      <c r="R86" s="532"/>
      <c r="S86" s="533"/>
      <c r="T86" s="530" t="s">
        <v>49</v>
      </c>
      <c r="U86" s="530"/>
      <c r="V86" s="531" t="s">
        <v>50</v>
      </c>
      <c r="W86" s="533"/>
      <c r="X86" s="532" t="s">
        <v>51</v>
      </c>
      <c r="Y86" s="532"/>
      <c r="Z86" s="532"/>
      <c r="AA86" s="532"/>
      <c r="AB86" s="532"/>
      <c r="AC86" s="532"/>
      <c r="AD86" s="534"/>
      <c r="AF86" s="50"/>
    </row>
    <row r="87" spans="1:32" ht="33.75" customHeight="1">
      <c r="A87" s="543">
        <v>1</v>
      </c>
      <c r="B87" s="544"/>
      <c r="C87" s="232"/>
      <c r="D87" s="232"/>
      <c r="E87" s="65"/>
      <c r="F87" s="545"/>
      <c r="G87" s="546"/>
      <c r="H87" s="546"/>
      <c r="I87" s="546"/>
      <c r="J87" s="547"/>
      <c r="K87" s="548"/>
      <c r="L87" s="549"/>
      <c r="M87" s="549"/>
      <c r="N87" s="549"/>
      <c r="O87" s="549"/>
      <c r="P87" s="549"/>
      <c r="Q87" s="549"/>
      <c r="R87" s="549"/>
      <c r="S87" s="550"/>
      <c r="T87" s="551"/>
      <c r="U87" s="552"/>
      <c r="V87" s="553"/>
      <c r="W87" s="553"/>
      <c r="X87" s="554"/>
      <c r="Y87" s="554"/>
      <c r="Z87" s="554"/>
      <c r="AA87" s="554"/>
      <c r="AB87" s="554"/>
      <c r="AC87" s="554"/>
      <c r="AD87" s="555"/>
      <c r="AF87" s="50"/>
    </row>
    <row r="88" spans="1:32" ht="30" customHeight="1">
      <c r="A88" s="535">
        <f>A87+1</f>
        <v>2</v>
      </c>
      <c r="B88" s="536"/>
      <c r="C88" s="231"/>
      <c r="D88" s="231"/>
      <c r="E88" s="32"/>
      <c r="F88" s="536"/>
      <c r="G88" s="536"/>
      <c r="H88" s="536"/>
      <c r="I88" s="536"/>
      <c r="J88" s="536"/>
      <c r="K88" s="537"/>
      <c r="L88" s="538"/>
      <c r="M88" s="538"/>
      <c r="N88" s="538"/>
      <c r="O88" s="538"/>
      <c r="P88" s="538"/>
      <c r="Q88" s="538"/>
      <c r="R88" s="538"/>
      <c r="S88" s="539"/>
      <c r="T88" s="540"/>
      <c r="U88" s="540"/>
      <c r="V88" s="540"/>
      <c r="W88" s="540"/>
      <c r="X88" s="541"/>
      <c r="Y88" s="541"/>
      <c r="Z88" s="541"/>
      <c r="AA88" s="541"/>
      <c r="AB88" s="541"/>
      <c r="AC88" s="541"/>
      <c r="AD88" s="542"/>
      <c r="AF88" s="50"/>
    </row>
    <row r="89" spans="1:32" ht="30" customHeight="1">
      <c r="A89" s="535">
        <f t="shared" ref="A89:A93" si="52">A88+1</f>
        <v>3</v>
      </c>
      <c r="B89" s="536"/>
      <c r="C89" s="231"/>
      <c r="D89" s="231"/>
      <c r="E89" s="32"/>
      <c r="F89" s="536"/>
      <c r="G89" s="536"/>
      <c r="H89" s="536"/>
      <c r="I89" s="536"/>
      <c r="J89" s="536"/>
      <c r="K89" s="537"/>
      <c r="L89" s="538"/>
      <c r="M89" s="538"/>
      <c r="N89" s="538"/>
      <c r="O89" s="538"/>
      <c r="P89" s="538"/>
      <c r="Q89" s="538"/>
      <c r="R89" s="538"/>
      <c r="S89" s="539"/>
      <c r="T89" s="540"/>
      <c r="U89" s="540"/>
      <c r="V89" s="540"/>
      <c r="W89" s="540"/>
      <c r="X89" s="541"/>
      <c r="Y89" s="541"/>
      <c r="Z89" s="541"/>
      <c r="AA89" s="541"/>
      <c r="AB89" s="541"/>
      <c r="AC89" s="541"/>
      <c r="AD89" s="542"/>
      <c r="AF89" s="50"/>
    </row>
    <row r="90" spans="1:32" ht="30" customHeight="1">
      <c r="A90" s="535">
        <f t="shared" si="52"/>
        <v>4</v>
      </c>
      <c r="B90" s="536"/>
      <c r="C90" s="231"/>
      <c r="D90" s="231"/>
      <c r="E90" s="32"/>
      <c r="F90" s="536"/>
      <c r="G90" s="536"/>
      <c r="H90" s="536"/>
      <c r="I90" s="536"/>
      <c r="J90" s="536"/>
      <c r="K90" s="537"/>
      <c r="L90" s="538"/>
      <c r="M90" s="538"/>
      <c r="N90" s="538"/>
      <c r="O90" s="538"/>
      <c r="P90" s="538"/>
      <c r="Q90" s="538"/>
      <c r="R90" s="538"/>
      <c r="S90" s="539"/>
      <c r="T90" s="540"/>
      <c r="U90" s="540"/>
      <c r="V90" s="540"/>
      <c r="W90" s="540"/>
      <c r="X90" s="541"/>
      <c r="Y90" s="541"/>
      <c r="Z90" s="541"/>
      <c r="AA90" s="541"/>
      <c r="AB90" s="541"/>
      <c r="AC90" s="541"/>
      <c r="AD90" s="542"/>
      <c r="AF90" s="50"/>
    </row>
    <row r="91" spans="1:32" ht="30" customHeight="1">
      <c r="A91" s="535">
        <f t="shared" si="52"/>
        <v>5</v>
      </c>
      <c r="B91" s="536"/>
      <c r="C91" s="231"/>
      <c r="D91" s="231"/>
      <c r="E91" s="32"/>
      <c r="F91" s="536"/>
      <c r="G91" s="536"/>
      <c r="H91" s="536"/>
      <c r="I91" s="536"/>
      <c r="J91" s="536"/>
      <c r="K91" s="537"/>
      <c r="L91" s="538"/>
      <c r="M91" s="538"/>
      <c r="N91" s="538"/>
      <c r="O91" s="538"/>
      <c r="P91" s="538"/>
      <c r="Q91" s="538"/>
      <c r="R91" s="538"/>
      <c r="S91" s="539"/>
      <c r="T91" s="540"/>
      <c r="U91" s="540"/>
      <c r="V91" s="540"/>
      <c r="W91" s="540"/>
      <c r="X91" s="541"/>
      <c r="Y91" s="541"/>
      <c r="Z91" s="541"/>
      <c r="AA91" s="541"/>
      <c r="AB91" s="541"/>
      <c r="AC91" s="541"/>
      <c r="AD91" s="542"/>
      <c r="AF91" s="50"/>
    </row>
    <row r="92" spans="1:32" ht="30" customHeight="1">
      <c r="A92" s="535">
        <f t="shared" si="52"/>
        <v>6</v>
      </c>
      <c r="B92" s="536"/>
      <c r="C92" s="231"/>
      <c r="D92" s="231"/>
      <c r="E92" s="32"/>
      <c r="F92" s="536"/>
      <c r="G92" s="536"/>
      <c r="H92" s="536"/>
      <c r="I92" s="536"/>
      <c r="J92" s="536"/>
      <c r="K92" s="537"/>
      <c r="L92" s="538"/>
      <c r="M92" s="538"/>
      <c r="N92" s="538"/>
      <c r="O92" s="538"/>
      <c r="P92" s="538"/>
      <c r="Q92" s="538"/>
      <c r="R92" s="538"/>
      <c r="S92" s="539"/>
      <c r="T92" s="540"/>
      <c r="U92" s="540"/>
      <c r="V92" s="540"/>
      <c r="W92" s="540"/>
      <c r="X92" s="541"/>
      <c r="Y92" s="541"/>
      <c r="Z92" s="541"/>
      <c r="AA92" s="541"/>
      <c r="AB92" s="541"/>
      <c r="AC92" s="541"/>
      <c r="AD92" s="542"/>
      <c r="AF92" s="50"/>
    </row>
    <row r="93" spans="1:32" ht="30" customHeight="1">
      <c r="A93" s="535">
        <f t="shared" si="52"/>
        <v>7</v>
      </c>
      <c r="B93" s="536"/>
      <c r="C93" s="231"/>
      <c r="D93" s="231"/>
      <c r="E93" s="32"/>
      <c r="F93" s="536"/>
      <c r="G93" s="536"/>
      <c r="H93" s="536"/>
      <c r="I93" s="536"/>
      <c r="J93" s="536"/>
      <c r="K93" s="537"/>
      <c r="L93" s="538"/>
      <c r="M93" s="538"/>
      <c r="N93" s="538"/>
      <c r="O93" s="538"/>
      <c r="P93" s="538"/>
      <c r="Q93" s="538"/>
      <c r="R93" s="538"/>
      <c r="S93" s="539"/>
      <c r="T93" s="540"/>
      <c r="U93" s="540"/>
      <c r="V93" s="540"/>
      <c r="W93" s="540"/>
      <c r="X93" s="541"/>
      <c r="Y93" s="541"/>
      <c r="Z93" s="541"/>
      <c r="AA93" s="541"/>
      <c r="AB93" s="541"/>
      <c r="AC93" s="541"/>
      <c r="AD93" s="542"/>
      <c r="AF93" s="50"/>
    </row>
    <row r="94" spans="1:32" ht="36" thickBot="1">
      <c r="A94" s="527" t="s">
        <v>346</v>
      </c>
      <c r="B94" s="527"/>
      <c r="C94" s="527"/>
      <c r="D94" s="527"/>
      <c r="E94" s="527"/>
      <c r="F94" s="37"/>
      <c r="G94" s="37"/>
      <c r="H94" s="38"/>
      <c r="I94" s="38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F94" s="50"/>
    </row>
    <row r="95" spans="1:32" ht="30.75" customHeight="1" thickBot="1">
      <c r="A95" s="556" t="s">
        <v>111</v>
      </c>
      <c r="B95" s="530"/>
      <c r="C95" s="557" t="s">
        <v>52</v>
      </c>
      <c r="D95" s="557"/>
      <c r="E95" s="557" t="s">
        <v>53</v>
      </c>
      <c r="F95" s="557"/>
      <c r="G95" s="557"/>
      <c r="H95" s="557"/>
      <c r="I95" s="557"/>
      <c r="J95" s="557"/>
      <c r="K95" s="557" t="s">
        <v>54</v>
      </c>
      <c r="L95" s="557"/>
      <c r="M95" s="557"/>
      <c r="N95" s="557"/>
      <c r="O95" s="557"/>
      <c r="P95" s="557"/>
      <c r="Q95" s="557"/>
      <c r="R95" s="557"/>
      <c r="S95" s="557"/>
      <c r="T95" s="557" t="s">
        <v>55</v>
      </c>
      <c r="U95" s="557"/>
      <c r="V95" s="557" t="s">
        <v>56</v>
      </c>
      <c r="W95" s="557"/>
      <c r="X95" s="557"/>
      <c r="Y95" s="557" t="s">
        <v>51</v>
      </c>
      <c r="Z95" s="557"/>
      <c r="AA95" s="557"/>
      <c r="AB95" s="557"/>
      <c r="AC95" s="557"/>
      <c r="AD95" s="558"/>
      <c r="AF95" s="50"/>
    </row>
    <row r="96" spans="1:32" ht="30.75" customHeight="1">
      <c r="A96" s="543">
        <v>1</v>
      </c>
      <c r="B96" s="544"/>
      <c r="C96" s="559">
        <v>9</v>
      </c>
      <c r="D96" s="559"/>
      <c r="E96" s="559" t="s">
        <v>127</v>
      </c>
      <c r="F96" s="559"/>
      <c r="G96" s="559"/>
      <c r="H96" s="559"/>
      <c r="I96" s="559"/>
      <c r="J96" s="559"/>
      <c r="K96" s="559" t="s">
        <v>136</v>
      </c>
      <c r="L96" s="559"/>
      <c r="M96" s="559"/>
      <c r="N96" s="559"/>
      <c r="O96" s="559"/>
      <c r="P96" s="559"/>
      <c r="Q96" s="559"/>
      <c r="R96" s="559"/>
      <c r="S96" s="559"/>
      <c r="T96" s="559" t="s">
        <v>128</v>
      </c>
      <c r="U96" s="559"/>
      <c r="V96" s="560" t="s">
        <v>133</v>
      </c>
      <c r="W96" s="560"/>
      <c r="X96" s="560"/>
      <c r="Y96" s="561"/>
      <c r="Z96" s="561"/>
      <c r="AA96" s="561"/>
      <c r="AB96" s="561"/>
      <c r="AC96" s="561"/>
      <c r="AD96" s="562"/>
      <c r="AF96" s="50"/>
    </row>
    <row r="97" spans="1:32" ht="30.75" customHeight="1">
      <c r="A97" s="535">
        <v>2</v>
      </c>
      <c r="B97" s="536"/>
      <c r="C97" s="570"/>
      <c r="D97" s="570"/>
      <c r="E97" s="570"/>
      <c r="F97" s="570"/>
      <c r="G97" s="570"/>
      <c r="H97" s="570"/>
      <c r="I97" s="570"/>
      <c r="J97" s="570"/>
      <c r="K97" s="570"/>
      <c r="L97" s="570"/>
      <c r="M97" s="570"/>
      <c r="N97" s="570"/>
      <c r="O97" s="570"/>
      <c r="P97" s="570"/>
      <c r="Q97" s="570"/>
      <c r="R97" s="570"/>
      <c r="S97" s="570"/>
      <c r="T97" s="571"/>
      <c r="U97" s="571"/>
      <c r="V97" s="572"/>
      <c r="W97" s="572"/>
      <c r="X97" s="572"/>
      <c r="Y97" s="563"/>
      <c r="Z97" s="563"/>
      <c r="AA97" s="563"/>
      <c r="AB97" s="563"/>
      <c r="AC97" s="563"/>
      <c r="AD97" s="564"/>
      <c r="AF97" s="50"/>
    </row>
    <row r="98" spans="1:32" ht="30.75" customHeight="1" thickBot="1">
      <c r="A98" s="565">
        <v>3</v>
      </c>
      <c r="B98" s="566"/>
      <c r="C98" s="567"/>
      <c r="D98" s="567"/>
      <c r="E98" s="567"/>
      <c r="F98" s="567"/>
      <c r="G98" s="567"/>
      <c r="H98" s="567"/>
      <c r="I98" s="567"/>
      <c r="J98" s="567"/>
      <c r="K98" s="567"/>
      <c r="L98" s="567"/>
      <c r="M98" s="567"/>
      <c r="N98" s="567"/>
      <c r="O98" s="567"/>
      <c r="P98" s="567"/>
      <c r="Q98" s="567"/>
      <c r="R98" s="567"/>
      <c r="S98" s="567"/>
      <c r="T98" s="567"/>
      <c r="U98" s="567"/>
      <c r="V98" s="573"/>
      <c r="W98" s="573"/>
      <c r="X98" s="573"/>
      <c r="Y98" s="568"/>
      <c r="Z98" s="568"/>
      <c r="AA98" s="568"/>
      <c r="AB98" s="568"/>
      <c r="AC98" s="568"/>
      <c r="AD98" s="569"/>
      <c r="AF9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33:H33"/>
    <mergeCell ref="A60:E60"/>
    <mergeCell ref="A61:M61"/>
    <mergeCell ref="N61:AD61"/>
    <mergeCell ref="A62:B62"/>
    <mergeCell ref="F62:M62"/>
    <mergeCell ref="P62:Q62"/>
    <mergeCell ref="R62:U62"/>
    <mergeCell ref="V62:AD62"/>
    <mergeCell ref="I4:O4"/>
    <mergeCell ref="P4:Q4"/>
    <mergeCell ref="R4:V4"/>
    <mergeCell ref="W4:AA4"/>
    <mergeCell ref="AB4:AB5"/>
    <mergeCell ref="AC4:AC5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8:B68"/>
    <mergeCell ref="F68:M68"/>
    <mergeCell ref="P68:Q68"/>
    <mergeCell ref="R68:U68"/>
    <mergeCell ref="V68:AD68"/>
    <mergeCell ref="R71:U71"/>
    <mergeCell ref="V71:AD71"/>
    <mergeCell ref="A72:B72"/>
    <mergeCell ref="F72:M72"/>
    <mergeCell ref="P72:Q72"/>
    <mergeCell ref="R72:U72"/>
    <mergeCell ref="V72:AD72"/>
    <mergeCell ref="A69:B69"/>
    <mergeCell ref="F69:M69"/>
    <mergeCell ref="P69:Q69"/>
    <mergeCell ref="R69:U69"/>
    <mergeCell ref="V69:AD69"/>
    <mergeCell ref="A70:B70"/>
    <mergeCell ref="F70:M70"/>
    <mergeCell ref="P70:Q70"/>
    <mergeCell ref="R70:U70"/>
    <mergeCell ref="V70:AD70"/>
    <mergeCell ref="A73:E73"/>
    <mergeCell ref="A74:B74"/>
    <mergeCell ref="F74:J74"/>
    <mergeCell ref="K74:L74"/>
    <mergeCell ref="N74:O74"/>
    <mergeCell ref="P74:Q74"/>
    <mergeCell ref="A71:B71"/>
    <mergeCell ref="F71:M71"/>
    <mergeCell ref="P71:Q71"/>
    <mergeCell ref="R74:AA74"/>
    <mergeCell ref="AB74:AD74"/>
    <mergeCell ref="A75:B75"/>
    <mergeCell ref="F75:J75"/>
    <mergeCell ref="K75:L75"/>
    <mergeCell ref="N75:O75"/>
    <mergeCell ref="P75:Q75"/>
    <mergeCell ref="R75:AA75"/>
    <mergeCell ref="AB75:AD75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80:AD80"/>
    <mergeCell ref="A81:B81"/>
    <mergeCell ref="F81:J81"/>
    <mergeCell ref="K81:L81"/>
    <mergeCell ref="N81:O81"/>
    <mergeCell ref="P81:Q81"/>
    <mergeCell ref="R81:AA81"/>
    <mergeCell ref="AB81:AD81"/>
    <mergeCell ref="A80:B80"/>
    <mergeCell ref="F80:J80"/>
    <mergeCell ref="K80:L80"/>
    <mergeCell ref="N80:O80"/>
    <mergeCell ref="P80:Q80"/>
    <mergeCell ref="R80:AA80"/>
    <mergeCell ref="AB82:AD82"/>
    <mergeCell ref="A83:B83"/>
    <mergeCell ref="F83:J83"/>
    <mergeCell ref="K83:L83"/>
    <mergeCell ref="N83:O83"/>
    <mergeCell ref="P83:Q83"/>
    <mergeCell ref="R83:AA83"/>
    <mergeCell ref="AB83:AD83"/>
    <mergeCell ref="A82:B82"/>
    <mergeCell ref="F82:J82"/>
    <mergeCell ref="K82:L82"/>
    <mergeCell ref="N82:O82"/>
    <mergeCell ref="P82:Q82"/>
    <mergeCell ref="R82:AA82"/>
    <mergeCell ref="AB84:AD84"/>
    <mergeCell ref="A85:E85"/>
    <mergeCell ref="A86:B86"/>
    <mergeCell ref="F86:J86"/>
    <mergeCell ref="K86:S86"/>
    <mergeCell ref="T86:U86"/>
    <mergeCell ref="V86:W86"/>
    <mergeCell ref="X86:AD86"/>
    <mergeCell ref="A84:B84"/>
    <mergeCell ref="F84:J84"/>
    <mergeCell ref="K84:L84"/>
    <mergeCell ref="N84:O84"/>
    <mergeCell ref="P84:Q84"/>
    <mergeCell ref="R84:AA84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90:B90"/>
    <mergeCell ref="F90:J90"/>
    <mergeCell ref="K90:S90"/>
    <mergeCell ref="T90:U90"/>
    <mergeCell ref="V90:W90"/>
    <mergeCell ref="X90:AD90"/>
    <mergeCell ref="A89:B89"/>
    <mergeCell ref="F89:J89"/>
    <mergeCell ref="K89:S89"/>
    <mergeCell ref="T89:U89"/>
    <mergeCell ref="V89:W89"/>
    <mergeCell ref="X89:AD89"/>
    <mergeCell ref="V93:W93"/>
    <mergeCell ref="X93:AD93"/>
    <mergeCell ref="A92:B92"/>
    <mergeCell ref="F92:J92"/>
    <mergeCell ref="K92:S92"/>
    <mergeCell ref="T92:U92"/>
    <mergeCell ref="V92:W92"/>
    <mergeCell ref="X92:AD92"/>
    <mergeCell ref="A91:B91"/>
    <mergeCell ref="F91:J91"/>
    <mergeCell ref="K91:S91"/>
    <mergeCell ref="T91:U91"/>
    <mergeCell ref="V91:W91"/>
    <mergeCell ref="X91:AD91"/>
    <mergeCell ref="A94:E94"/>
    <mergeCell ref="A95:B95"/>
    <mergeCell ref="C95:D95"/>
    <mergeCell ref="E95:J95"/>
    <mergeCell ref="K95:S95"/>
    <mergeCell ref="T95:U95"/>
    <mergeCell ref="A93:B93"/>
    <mergeCell ref="F93:J93"/>
    <mergeCell ref="K93:S93"/>
    <mergeCell ref="T93:U93"/>
    <mergeCell ref="V95:X95"/>
    <mergeCell ref="Y95:AD95"/>
    <mergeCell ref="A96:B96"/>
    <mergeCell ref="C96:D96"/>
    <mergeCell ref="E96:J96"/>
    <mergeCell ref="K96:S96"/>
    <mergeCell ref="T96:U96"/>
    <mergeCell ref="V96:X96"/>
    <mergeCell ref="Y96:AD96"/>
    <mergeCell ref="Y97:AD97"/>
    <mergeCell ref="A98:B98"/>
    <mergeCell ref="C98:D98"/>
    <mergeCell ref="E98:J98"/>
    <mergeCell ref="K98:S98"/>
    <mergeCell ref="T98:U98"/>
    <mergeCell ref="V98:X98"/>
    <mergeCell ref="Y98:AD98"/>
    <mergeCell ref="A97:B97"/>
    <mergeCell ref="C97:D97"/>
    <mergeCell ref="E97:J97"/>
    <mergeCell ref="K97:S97"/>
    <mergeCell ref="T97:U97"/>
    <mergeCell ref="V97:X9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8" max="2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956B-FB3B-4B0A-BFB1-15159D5F8802}">
  <dimension ref="A1:AF93"/>
  <sheetViews>
    <sheetView view="pageBreakPreview" zoomScale="70" zoomScaleNormal="72" zoomScaleSheetLayoutView="70" workbookViewId="0">
      <selection activeCell="K86" sqref="K86:S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50" t="s">
        <v>347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1"/>
      <c r="B3" s="451"/>
      <c r="C3" s="451"/>
      <c r="D3" s="451"/>
      <c r="E3" s="451"/>
      <c r="F3" s="451"/>
      <c r="G3" s="45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52" t="s">
        <v>0</v>
      </c>
      <c r="B4" s="454" t="s">
        <v>1</v>
      </c>
      <c r="C4" s="454" t="s">
        <v>2</v>
      </c>
      <c r="D4" s="457" t="s">
        <v>3</v>
      </c>
      <c r="E4" s="459" t="s">
        <v>4</v>
      </c>
      <c r="F4" s="457" t="s">
        <v>5</v>
      </c>
      <c r="G4" s="454" t="s">
        <v>6</v>
      </c>
      <c r="H4" s="460" t="s">
        <v>7</v>
      </c>
      <c r="I4" s="480" t="s">
        <v>8</v>
      </c>
      <c r="J4" s="481"/>
      <c r="K4" s="481"/>
      <c r="L4" s="481"/>
      <c r="M4" s="481"/>
      <c r="N4" s="481"/>
      <c r="O4" s="482"/>
      <c r="P4" s="483" t="s">
        <v>9</v>
      </c>
      <c r="Q4" s="484"/>
      <c r="R4" s="486" t="s">
        <v>10</v>
      </c>
      <c r="S4" s="485"/>
      <c r="T4" s="485"/>
      <c r="U4" s="485"/>
      <c r="V4" s="487"/>
      <c r="W4" s="485" t="s">
        <v>11</v>
      </c>
      <c r="X4" s="485"/>
      <c r="Y4" s="485"/>
      <c r="Z4" s="485"/>
      <c r="AA4" s="487"/>
      <c r="AB4" s="488" t="s">
        <v>12</v>
      </c>
      <c r="AC4" s="462" t="s">
        <v>13</v>
      </c>
      <c r="AD4" s="462" t="s">
        <v>14</v>
      </c>
      <c r="AE4" s="54"/>
    </row>
    <row r="5" spans="1:32" ht="51" customHeight="1" thickBot="1">
      <c r="A5" s="453"/>
      <c r="B5" s="455"/>
      <c r="C5" s="456"/>
      <c r="D5" s="458"/>
      <c r="E5" s="458"/>
      <c r="F5" s="458"/>
      <c r="G5" s="455"/>
      <c r="H5" s="461"/>
      <c r="I5" s="55" t="s">
        <v>15</v>
      </c>
      <c r="J5" s="56" t="s">
        <v>16</v>
      </c>
      <c r="K5" s="245" t="s">
        <v>17</v>
      </c>
      <c r="L5" s="245" t="s">
        <v>18</v>
      </c>
      <c r="M5" s="245" t="s">
        <v>19</v>
      </c>
      <c r="N5" s="24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89"/>
      <c r="AC5" s="463"/>
      <c r="AD5" s="463"/>
      <c r="AE5" s="54"/>
    </row>
    <row r="6" spans="1:32" ht="27" customHeight="1">
      <c r="A6" s="112">
        <v>1</v>
      </c>
      <c r="B6" s="11" t="s">
        <v>57</v>
      </c>
      <c r="C6" s="34" t="s">
        <v>116</v>
      </c>
      <c r="D6" s="52" t="s">
        <v>130</v>
      </c>
      <c r="E6" s="53" t="s">
        <v>158</v>
      </c>
      <c r="F6" s="30" t="s">
        <v>146</v>
      </c>
      <c r="G6" s="12">
        <v>2</v>
      </c>
      <c r="H6" s="13">
        <v>24</v>
      </c>
      <c r="I6" s="31">
        <v>174000</v>
      </c>
      <c r="J6" s="14">
        <v>2738</v>
      </c>
      <c r="K6" s="15">
        <f>L6+2384+8412+9776+8821+8774+10138+6972+8852+4388+11916+2738</f>
        <v>83171</v>
      </c>
      <c r="L6" s="15"/>
      <c r="M6" s="15">
        <f t="shared" ref="M6:M27" si="0">L6-N6</f>
        <v>0</v>
      </c>
      <c r="N6" s="15">
        <v>0</v>
      </c>
      <c r="O6" s="58" t="str">
        <f t="shared" ref="O6:O28" si="1">IF(L6=0,"0",N6/L6)</f>
        <v>0</v>
      </c>
      <c r="P6" s="39" t="str">
        <f t="shared" ref="P6:P27" si="2">IF(L6=0,"0",(24-Q6))</f>
        <v>0</v>
      </c>
      <c r="Q6" s="40">
        <f t="shared" ref="Q6:Q27" si="3">SUM(R6:AA6)</f>
        <v>24</v>
      </c>
      <c r="R6" s="7"/>
      <c r="S6" s="6">
        <v>24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0</v>
      </c>
      <c r="AC6" s="9">
        <f t="shared" ref="AC6:AC27" si="5">IF(P6=0,"0",(P6/24))</f>
        <v>0</v>
      </c>
      <c r="AD6" s="10">
        <f t="shared" ref="AD6:AD27" si="6">AC6*AB6*(1-O6)</f>
        <v>0</v>
      </c>
      <c r="AE6" s="36">
        <f t="shared" ref="AE6:AE27" si="7">$AD$28</f>
        <v>0.41098484848484856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143</v>
      </c>
      <c r="D7" s="52" t="s">
        <v>150</v>
      </c>
      <c r="E7" s="53" t="s">
        <v>338</v>
      </c>
      <c r="F7" s="30" t="s">
        <v>348</v>
      </c>
      <c r="G7" s="12">
        <v>2</v>
      </c>
      <c r="H7" s="13">
        <v>24</v>
      </c>
      <c r="I7" s="31">
        <v>30000</v>
      </c>
      <c r="J7" s="14">
        <v>632</v>
      </c>
      <c r="K7" s="15">
        <f>L7</f>
        <v>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>
        <v>24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0.41098484848484856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143</v>
      </c>
      <c r="D8" s="52" t="s">
        <v>124</v>
      </c>
      <c r="E8" s="53" t="s">
        <v>174</v>
      </c>
      <c r="F8" s="30" t="s">
        <v>144</v>
      </c>
      <c r="G8" s="12">
        <v>4</v>
      </c>
      <c r="H8" s="13">
        <v>24</v>
      </c>
      <c r="I8" s="7">
        <v>85000</v>
      </c>
      <c r="J8" s="14">
        <v>15564</v>
      </c>
      <c r="K8" s="15">
        <f>L8+12500+8020+23392+20408+29084+30608</f>
        <v>139576</v>
      </c>
      <c r="L8" s="15">
        <f>3749*4+142*4</f>
        <v>15564</v>
      </c>
      <c r="M8" s="15">
        <f t="shared" si="0"/>
        <v>15564</v>
      </c>
      <c r="N8" s="15">
        <v>0</v>
      </c>
      <c r="O8" s="58">
        <f t="shared" si="1"/>
        <v>0</v>
      </c>
      <c r="P8" s="39">
        <f t="shared" si="2"/>
        <v>13</v>
      </c>
      <c r="Q8" s="40">
        <f t="shared" si="3"/>
        <v>11</v>
      </c>
      <c r="R8" s="7"/>
      <c r="S8" s="6"/>
      <c r="T8" s="16"/>
      <c r="U8" s="16"/>
      <c r="V8" s="17"/>
      <c r="W8" s="5">
        <v>11</v>
      </c>
      <c r="X8" s="16"/>
      <c r="Y8" s="16"/>
      <c r="Z8" s="16"/>
      <c r="AA8" s="18"/>
      <c r="AB8" s="8">
        <f t="shared" si="4"/>
        <v>1</v>
      </c>
      <c r="AC8" s="9">
        <f t="shared" si="5"/>
        <v>0.54166666666666663</v>
      </c>
      <c r="AD8" s="10">
        <f t="shared" si="6"/>
        <v>0.54166666666666663</v>
      </c>
      <c r="AE8" s="36">
        <f t="shared" si="7"/>
        <v>0.41098484848484856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116</v>
      </c>
      <c r="D9" s="52" t="s">
        <v>150</v>
      </c>
      <c r="E9" s="53" t="s">
        <v>290</v>
      </c>
      <c r="F9" s="30" t="s">
        <v>301</v>
      </c>
      <c r="G9" s="12">
        <v>1</v>
      </c>
      <c r="H9" s="13">
        <v>24</v>
      </c>
      <c r="I9" s="7">
        <v>4000</v>
      </c>
      <c r="J9" s="14">
        <v>4071</v>
      </c>
      <c r="K9" s="15">
        <f>L9+2429+859</f>
        <v>7359</v>
      </c>
      <c r="L9" s="15">
        <f>1964+2107</f>
        <v>4071</v>
      </c>
      <c r="M9" s="15">
        <f t="shared" si="0"/>
        <v>4071</v>
      </c>
      <c r="N9" s="15">
        <v>0</v>
      </c>
      <c r="O9" s="58">
        <f t="shared" si="1"/>
        <v>0</v>
      </c>
      <c r="P9" s="39">
        <f t="shared" si="2"/>
        <v>21</v>
      </c>
      <c r="Q9" s="40">
        <f t="shared" si="3"/>
        <v>3</v>
      </c>
      <c r="R9" s="7"/>
      <c r="S9" s="6">
        <v>3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0.875</v>
      </c>
      <c r="AD9" s="10">
        <f t="shared" si="6"/>
        <v>0.875</v>
      </c>
      <c r="AE9" s="36">
        <f t="shared" si="7"/>
        <v>0.41098484848484856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123</v>
      </c>
      <c r="E10" s="53" t="s">
        <v>322</v>
      </c>
      <c r="F10" s="30" t="s">
        <v>145</v>
      </c>
      <c r="G10" s="33">
        <v>1</v>
      </c>
      <c r="H10" s="35">
        <v>24</v>
      </c>
      <c r="I10" s="7">
        <v>300</v>
      </c>
      <c r="J10" s="14">
        <v>417</v>
      </c>
      <c r="K10" s="15">
        <f>L10+417</f>
        <v>417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0.41098484848484856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116</v>
      </c>
      <c r="D11" s="52" t="s">
        <v>124</v>
      </c>
      <c r="E11" s="53" t="s">
        <v>323</v>
      </c>
      <c r="F11" s="30" t="s">
        <v>134</v>
      </c>
      <c r="G11" s="33">
        <v>1</v>
      </c>
      <c r="H11" s="35">
        <v>24</v>
      </c>
      <c r="I11" s="7">
        <v>50000</v>
      </c>
      <c r="J11" s="14">
        <v>2000</v>
      </c>
      <c r="K11" s="15">
        <f>L11</f>
        <v>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0.41098484848484856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126</v>
      </c>
      <c r="F12" s="30" t="s">
        <v>167</v>
      </c>
      <c r="G12" s="12">
        <v>1</v>
      </c>
      <c r="H12" s="13">
        <v>22</v>
      </c>
      <c r="I12" s="31">
        <v>100000</v>
      </c>
      <c r="J12" s="5">
        <v>5319</v>
      </c>
      <c r="K12" s="15">
        <f>L12+4676+4488+5126+5538+5283+5334+5466+5473+5483+5485</f>
        <v>57671</v>
      </c>
      <c r="L12" s="15">
        <f>2688+2631</f>
        <v>5319</v>
      </c>
      <c r="M12" s="15">
        <f t="shared" si="0"/>
        <v>5319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0.41098484848484856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143</v>
      </c>
      <c r="D13" s="52" t="s">
        <v>266</v>
      </c>
      <c r="E13" s="53" t="s">
        <v>267</v>
      </c>
      <c r="F13" s="30" t="s">
        <v>131</v>
      </c>
      <c r="G13" s="33">
        <v>1</v>
      </c>
      <c r="H13" s="35">
        <v>24</v>
      </c>
      <c r="I13" s="7">
        <v>5000</v>
      </c>
      <c r="J13" s="14">
        <v>3466</v>
      </c>
      <c r="K13" s="15">
        <f>L13+3371+2491</f>
        <v>9328</v>
      </c>
      <c r="L13" s="15">
        <f>1223+2243</f>
        <v>3466</v>
      </c>
      <c r="M13" s="15">
        <f t="shared" si="0"/>
        <v>3466</v>
      </c>
      <c r="N13" s="15">
        <v>0</v>
      </c>
      <c r="O13" s="58">
        <f t="shared" si="1"/>
        <v>0</v>
      </c>
      <c r="P13" s="39">
        <f t="shared" si="2"/>
        <v>20</v>
      </c>
      <c r="Q13" s="40">
        <f t="shared" si="3"/>
        <v>4</v>
      </c>
      <c r="R13" s="7"/>
      <c r="S13" s="6">
        <v>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0.83333333333333337</v>
      </c>
      <c r="AD13" s="10">
        <f t="shared" si="6"/>
        <v>0.83333333333333337</v>
      </c>
      <c r="AE13" s="36">
        <f t="shared" si="7"/>
        <v>0.41098484848484856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156</v>
      </c>
      <c r="F14" s="30" t="s">
        <v>151</v>
      </c>
      <c r="G14" s="33">
        <v>1</v>
      </c>
      <c r="H14" s="35">
        <v>50</v>
      </c>
      <c r="I14" s="7">
        <v>2500</v>
      </c>
      <c r="J14" s="5">
        <v>800</v>
      </c>
      <c r="K14" s="15">
        <f>L14+893+982+1050+800</f>
        <v>3725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0.41098484848484856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123</v>
      </c>
      <c r="E15" s="53" t="s">
        <v>141</v>
      </c>
      <c r="F15" s="30" t="s">
        <v>135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0.41098484848484856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241</v>
      </c>
      <c r="D16" s="52"/>
      <c r="E16" s="53" t="s">
        <v>325</v>
      </c>
      <c r="F16" s="30" t="s">
        <v>268</v>
      </c>
      <c r="G16" s="12">
        <v>2</v>
      </c>
      <c r="H16" s="13">
        <v>24</v>
      </c>
      <c r="I16" s="7">
        <v>6000</v>
      </c>
      <c r="J16" s="14">
        <v>11888</v>
      </c>
      <c r="K16" s="15">
        <f>L16+5374</f>
        <v>17262</v>
      </c>
      <c r="L16" s="15">
        <f>2959*2+2985*2</f>
        <v>11888</v>
      </c>
      <c r="M16" s="15">
        <f t="shared" si="0"/>
        <v>11888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0.41098484848484856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143</v>
      </c>
      <c r="D17" s="52" t="s">
        <v>150</v>
      </c>
      <c r="E17" s="53" t="s">
        <v>159</v>
      </c>
      <c r="F17" s="30" t="s">
        <v>154</v>
      </c>
      <c r="G17" s="12">
        <v>3</v>
      </c>
      <c r="H17" s="13">
        <v>24</v>
      </c>
      <c r="I17" s="7">
        <v>260000</v>
      </c>
      <c r="J17" s="14">
        <v>16239</v>
      </c>
      <c r="K17" s="15">
        <f>L17+16128+16857+16941+16140+15960+17466+17355+17745+17910+17925+2610</f>
        <v>189276</v>
      </c>
      <c r="L17" s="15">
        <f>2581*3+2832*3</f>
        <v>16239</v>
      </c>
      <c r="M17" s="15">
        <f t="shared" si="0"/>
        <v>16239</v>
      </c>
      <c r="N17" s="15">
        <v>0</v>
      </c>
      <c r="O17" s="58">
        <f t="shared" si="1"/>
        <v>0</v>
      </c>
      <c r="P17" s="39">
        <f t="shared" si="2"/>
        <v>22</v>
      </c>
      <c r="Q17" s="40">
        <f t="shared" si="3"/>
        <v>2</v>
      </c>
      <c r="R17" s="7"/>
      <c r="S17" s="6">
        <v>2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0.91666666666666663</v>
      </c>
      <c r="AD17" s="10">
        <f t="shared" si="6"/>
        <v>0.91666666666666663</v>
      </c>
      <c r="AE17" s="36">
        <f t="shared" si="7"/>
        <v>0.41098484848484856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143</v>
      </c>
      <c r="D18" s="52" t="s">
        <v>349</v>
      </c>
      <c r="E18" s="53" t="s">
        <v>340</v>
      </c>
      <c r="F18" s="30" t="s">
        <v>350</v>
      </c>
      <c r="G18" s="33">
        <v>1</v>
      </c>
      <c r="H18" s="35">
        <v>24</v>
      </c>
      <c r="I18" s="7">
        <v>2000</v>
      </c>
      <c r="J18" s="14">
        <v>800</v>
      </c>
      <c r="K18" s="15">
        <f>L18</f>
        <v>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>
        <v>24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0.41098484848484856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142</v>
      </c>
      <c r="E19" s="53" t="s">
        <v>161</v>
      </c>
      <c r="F19" s="30" t="s">
        <v>134</v>
      </c>
      <c r="G19" s="33">
        <v>1</v>
      </c>
      <c r="H19" s="35">
        <v>24</v>
      </c>
      <c r="I19" s="7">
        <v>31000</v>
      </c>
      <c r="J19" s="14">
        <v>5307</v>
      </c>
      <c r="K19" s="15">
        <f>L19+5079</f>
        <v>10386</v>
      </c>
      <c r="L19" s="15">
        <f>2674+2633</f>
        <v>5307</v>
      </c>
      <c r="M19" s="15">
        <f t="shared" si="0"/>
        <v>5307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0.41098484848484856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241</v>
      </c>
      <c r="D20" s="52"/>
      <c r="E20" s="53" t="s">
        <v>303</v>
      </c>
      <c r="F20" s="30" t="s">
        <v>268</v>
      </c>
      <c r="G20" s="12" t="s">
        <v>304</v>
      </c>
      <c r="H20" s="13">
        <v>24</v>
      </c>
      <c r="I20" s="7">
        <v>10800</v>
      </c>
      <c r="J20" s="14">
        <v>6308</v>
      </c>
      <c r="K20" s="15">
        <f>L20+3976+6044</f>
        <v>16328</v>
      </c>
      <c r="L20" s="15">
        <f>3136+3172</f>
        <v>6308</v>
      </c>
      <c r="M20" s="15">
        <f t="shared" si="0"/>
        <v>6308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0.41098484848484856</v>
      </c>
      <c r="AF20" s="84">
        <f t="shared" si="8"/>
        <v>15</v>
      </c>
    </row>
    <row r="21" spans="1:32" ht="27" customHeight="1">
      <c r="A21" s="96">
        <v>16</v>
      </c>
      <c r="B21" s="11" t="s">
        <v>57</v>
      </c>
      <c r="C21" s="11" t="s">
        <v>113</v>
      </c>
      <c r="D21" s="52"/>
      <c r="E21" s="53" t="s">
        <v>139</v>
      </c>
      <c r="F21" s="12" t="s">
        <v>114</v>
      </c>
      <c r="G21" s="12">
        <v>3</v>
      </c>
      <c r="H21" s="35">
        <v>20</v>
      </c>
      <c r="I21" s="7">
        <v>1000000</v>
      </c>
      <c r="J21" s="14">
        <v>34220</v>
      </c>
      <c r="K21" s="15">
        <f t="shared" ref="K21" si="9">L21+62008+65280+66156+31132+60100+67104+64940+66996+38324+18548+31820+33244+32052+33372+27132+34220</f>
        <v>732428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0.41098484848484856</v>
      </c>
      <c r="AF21" s="84">
        <f t="shared" si="8"/>
        <v>16</v>
      </c>
    </row>
    <row r="22" spans="1:32" ht="27" customHeight="1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0.41098484848484856</v>
      </c>
      <c r="AF22" s="84">
        <f t="shared" si="8"/>
        <v>31</v>
      </c>
    </row>
    <row r="23" spans="1:32" ht="27" customHeight="1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0.41098484848484856</v>
      </c>
      <c r="AF23" s="84">
        <f t="shared" si="8"/>
        <v>32</v>
      </c>
    </row>
    <row r="24" spans="1:32" ht="27" customHeight="1">
      <c r="A24" s="96">
        <v>33</v>
      </c>
      <c r="B24" s="11" t="s">
        <v>57</v>
      </c>
      <c r="C24" s="11" t="s">
        <v>116</v>
      </c>
      <c r="D24" s="52" t="s">
        <v>150</v>
      </c>
      <c r="E24" s="53" t="s">
        <v>163</v>
      </c>
      <c r="F24" s="12" t="s">
        <v>145</v>
      </c>
      <c r="G24" s="12">
        <v>1</v>
      </c>
      <c r="H24" s="35">
        <v>20</v>
      </c>
      <c r="I24" s="7">
        <v>60000</v>
      </c>
      <c r="J24" s="14">
        <v>7770</v>
      </c>
      <c r="K24" s="15">
        <f>L24+4387</f>
        <v>12157</v>
      </c>
      <c r="L24" s="15">
        <f>4139+3631</f>
        <v>7770</v>
      </c>
      <c r="M24" s="15">
        <f t="shared" si="0"/>
        <v>7770</v>
      </c>
      <c r="N24" s="15">
        <v>0</v>
      </c>
      <c r="O24" s="58">
        <f t="shared" si="1"/>
        <v>0</v>
      </c>
      <c r="P24" s="39">
        <f t="shared" si="2"/>
        <v>24</v>
      </c>
      <c r="Q24" s="40">
        <f t="shared" si="3"/>
        <v>0</v>
      </c>
      <c r="R24" s="7"/>
      <c r="S24" s="6"/>
      <c r="T24" s="16"/>
      <c r="U24" s="16"/>
      <c r="V24" s="206"/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1</v>
      </c>
      <c r="AD24" s="10">
        <f t="shared" si="6"/>
        <v>1</v>
      </c>
      <c r="AE24" s="36">
        <f t="shared" si="7"/>
        <v>0.41098484848484856</v>
      </c>
      <c r="AF24" s="84">
        <f t="shared" si="8"/>
        <v>33</v>
      </c>
    </row>
    <row r="25" spans="1:32" ht="27" customHeight="1">
      <c r="A25" s="96">
        <v>34</v>
      </c>
      <c r="B25" s="11" t="s">
        <v>57</v>
      </c>
      <c r="C25" s="11" t="s">
        <v>116</v>
      </c>
      <c r="D25" s="52" t="s">
        <v>150</v>
      </c>
      <c r="E25" s="53" t="s">
        <v>165</v>
      </c>
      <c r="F25" s="12" t="s">
        <v>135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206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0.41098484848484856</v>
      </c>
      <c r="AF25" s="84">
        <f t="shared" si="8"/>
        <v>34</v>
      </c>
    </row>
    <row r="26" spans="1:32" ht="27" customHeight="1">
      <c r="A26" s="96">
        <v>35</v>
      </c>
      <c r="B26" s="11" t="s">
        <v>57</v>
      </c>
      <c r="C26" s="11" t="s">
        <v>116</v>
      </c>
      <c r="D26" s="52" t="s">
        <v>123</v>
      </c>
      <c r="E26" s="53" t="s">
        <v>137</v>
      </c>
      <c r="F26" s="12" t="s">
        <v>135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206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0.41098484848484856</v>
      </c>
      <c r="AF26" s="84">
        <f t="shared" si="8"/>
        <v>35</v>
      </c>
    </row>
    <row r="27" spans="1:32" ht="27" customHeight="1" thickBot="1">
      <c r="A27" s="96">
        <v>36</v>
      </c>
      <c r="B27" s="11" t="s">
        <v>57</v>
      </c>
      <c r="C27" s="11" t="s">
        <v>116</v>
      </c>
      <c r="D27" s="52" t="s">
        <v>115</v>
      </c>
      <c r="E27" s="53" t="s">
        <v>166</v>
      </c>
      <c r="F27" s="12" t="s">
        <v>122</v>
      </c>
      <c r="G27" s="12">
        <v>4</v>
      </c>
      <c r="H27" s="35">
        <v>20</v>
      </c>
      <c r="I27" s="7">
        <v>240000</v>
      </c>
      <c r="J27" s="14">
        <v>23096</v>
      </c>
      <c r="K27" s="15">
        <f>L27+22152+26340+20956+26812+26716+8020+25080+22728+29132+18472+23996</f>
        <v>273500</v>
      </c>
      <c r="L27" s="15">
        <f>3258*4+2516*4</f>
        <v>23096</v>
      </c>
      <c r="M27" s="15">
        <f t="shared" si="0"/>
        <v>23096</v>
      </c>
      <c r="N27" s="15">
        <v>0</v>
      </c>
      <c r="O27" s="58">
        <f t="shared" si="1"/>
        <v>0</v>
      </c>
      <c r="P27" s="39">
        <f t="shared" si="2"/>
        <v>21</v>
      </c>
      <c r="Q27" s="40">
        <f t="shared" si="3"/>
        <v>3</v>
      </c>
      <c r="R27" s="7"/>
      <c r="S27" s="6">
        <v>3</v>
      </c>
      <c r="T27" s="16"/>
      <c r="U27" s="16"/>
      <c r="V27" s="206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0.875</v>
      </c>
      <c r="AD27" s="10">
        <f t="shared" si="6"/>
        <v>0.875</v>
      </c>
      <c r="AE27" s="36">
        <f t="shared" si="7"/>
        <v>0.41098484848484856</v>
      </c>
      <c r="AF27" s="84">
        <f t="shared" si="8"/>
        <v>36</v>
      </c>
    </row>
    <row r="28" spans="1:32" ht="31.5" customHeight="1" thickBot="1">
      <c r="A28" s="464" t="s">
        <v>34</v>
      </c>
      <c r="B28" s="465"/>
      <c r="C28" s="465"/>
      <c r="D28" s="465"/>
      <c r="E28" s="465"/>
      <c r="F28" s="465"/>
      <c r="G28" s="465"/>
      <c r="H28" s="466"/>
      <c r="I28" s="22">
        <f t="shared" ref="I28:N28" si="10">SUM(I6:I27)</f>
        <v>2552600</v>
      </c>
      <c r="J28" s="19">
        <f t="shared" si="10"/>
        <v>174579</v>
      </c>
      <c r="K28" s="20">
        <f t="shared" si="10"/>
        <v>2104584</v>
      </c>
      <c r="L28" s="21">
        <f t="shared" si="10"/>
        <v>99028</v>
      </c>
      <c r="M28" s="20">
        <f t="shared" si="10"/>
        <v>99028</v>
      </c>
      <c r="N28" s="21">
        <f t="shared" si="10"/>
        <v>0</v>
      </c>
      <c r="O28" s="41">
        <f t="shared" si="1"/>
        <v>0</v>
      </c>
      <c r="P28" s="42">
        <f t="shared" ref="P28:AA28" si="11">SUM(P6:P27)</f>
        <v>217</v>
      </c>
      <c r="Q28" s="43">
        <f t="shared" si="11"/>
        <v>311</v>
      </c>
      <c r="R28" s="23">
        <f t="shared" si="11"/>
        <v>0</v>
      </c>
      <c r="S28" s="24">
        <f t="shared" si="11"/>
        <v>108</v>
      </c>
      <c r="T28" s="24">
        <f t="shared" si="11"/>
        <v>0</v>
      </c>
      <c r="U28" s="24">
        <f t="shared" si="11"/>
        <v>0</v>
      </c>
      <c r="V28" s="25">
        <f t="shared" si="11"/>
        <v>72</v>
      </c>
      <c r="W28" s="26">
        <f t="shared" si="11"/>
        <v>131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0</v>
      </c>
      <c r="AB28" s="28">
        <f>AVERAGE(AB6:AB27)</f>
        <v>0.5</v>
      </c>
      <c r="AC28" s="4">
        <f>AVERAGE(AC6:AC27)</f>
        <v>0.41098484848484856</v>
      </c>
      <c r="AD28" s="4">
        <f>AVERAGE(AD6:AD27)</f>
        <v>0.41098484848484856</v>
      </c>
      <c r="AE28" s="29"/>
    </row>
    <row r="29" spans="1:32">
      <c r="T29" s="50" t="s">
        <v>157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160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67" t="s">
        <v>45</v>
      </c>
      <c r="B55" s="467"/>
      <c r="C55" s="467"/>
      <c r="D55" s="467"/>
      <c r="E55" s="467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68" t="s">
        <v>351</v>
      </c>
      <c r="B56" s="469"/>
      <c r="C56" s="469"/>
      <c r="D56" s="469"/>
      <c r="E56" s="469"/>
      <c r="F56" s="469"/>
      <c r="G56" s="469"/>
      <c r="H56" s="469"/>
      <c r="I56" s="469"/>
      <c r="J56" s="469"/>
      <c r="K56" s="469"/>
      <c r="L56" s="469"/>
      <c r="M56" s="470"/>
      <c r="N56" s="471" t="s">
        <v>354</v>
      </c>
      <c r="O56" s="472"/>
      <c r="P56" s="472"/>
      <c r="Q56" s="472"/>
      <c r="R56" s="472"/>
      <c r="S56" s="472"/>
      <c r="T56" s="472"/>
      <c r="U56" s="472"/>
      <c r="V56" s="472"/>
      <c r="W56" s="472"/>
      <c r="X56" s="472"/>
      <c r="Y56" s="472"/>
      <c r="Z56" s="472"/>
      <c r="AA56" s="472"/>
      <c r="AB56" s="472"/>
      <c r="AC56" s="472"/>
      <c r="AD56" s="473"/>
    </row>
    <row r="57" spans="1:32" ht="27" customHeight="1">
      <c r="A57" s="474" t="s">
        <v>2</v>
      </c>
      <c r="B57" s="475"/>
      <c r="C57" s="244" t="s">
        <v>46</v>
      </c>
      <c r="D57" s="244" t="s">
        <v>47</v>
      </c>
      <c r="E57" s="244" t="s">
        <v>107</v>
      </c>
      <c r="F57" s="476" t="s">
        <v>106</v>
      </c>
      <c r="G57" s="477"/>
      <c r="H57" s="477"/>
      <c r="I57" s="477"/>
      <c r="J57" s="477"/>
      <c r="K57" s="477"/>
      <c r="L57" s="477"/>
      <c r="M57" s="478"/>
      <c r="N57" s="67" t="s">
        <v>110</v>
      </c>
      <c r="O57" s="244" t="s">
        <v>46</v>
      </c>
      <c r="P57" s="476" t="s">
        <v>47</v>
      </c>
      <c r="Q57" s="479"/>
      <c r="R57" s="476" t="s">
        <v>38</v>
      </c>
      <c r="S57" s="477"/>
      <c r="T57" s="477"/>
      <c r="U57" s="479"/>
      <c r="V57" s="476" t="s">
        <v>48</v>
      </c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500" t="s">
        <v>116</v>
      </c>
      <c r="B58" s="501"/>
      <c r="C58" s="239" t="s">
        <v>198</v>
      </c>
      <c r="D58" s="239" t="s">
        <v>140</v>
      </c>
      <c r="E58" s="240" t="s">
        <v>323</v>
      </c>
      <c r="F58" s="492" t="s">
        <v>236</v>
      </c>
      <c r="G58" s="493"/>
      <c r="H58" s="493"/>
      <c r="I58" s="493"/>
      <c r="J58" s="493"/>
      <c r="K58" s="493"/>
      <c r="L58" s="493"/>
      <c r="M58" s="494"/>
      <c r="N58" s="243" t="s">
        <v>116</v>
      </c>
      <c r="O58" s="237" t="s">
        <v>132</v>
      </c>
      <c r="P58" s="495" t="s">
        <v>130</v>
      </c>
      <c r="Q58" s="496"/>
      <c r="R58" s="495" t="s">
        <v>158</v>
      </c>
      <c r="S58" s="497"/>
      <c r="T58" s="497"/>
      <c r="U58" s="496"/>
      <c r="V58" s="498" t="s">
        <v>120</v>
      </c>
      <c r="W58" s="498"/>
      <c r="X58" s="498"/>
      <c r="Y58" s="498"/>
      <c r="Z58" s="498"/>
      <c r="AA58" s="498"/>
      <c r="AB58" s="498"/>
      <c r="AC58" s="498"/>
      <c r="AD58" s="499"/>
    </row>
    <row r="59" spans="1:32" ht="27" customHeight="1">
      <c r="A59" s="500" t="s">
        <v>143</v>
      </c>
      <c r="B59" s="501"/>
      <c r="C59" s="239" t="s">
        <v>169</v>
      </c>
      <c r="D59" s="239" t="s">
        <v>150</v>
      </c>
      <c r="E59" s="240" t="s">
        <v>338</v>
      </c>
      <c r="F59" s="492" t="s">
        <v>352</v>
      </c>
      <c r="G59" s="493"/>
      <c r="H59" s="493"/>
      <c r="I59" s="493"/>
      <c r="J59" s="493"/>
      <c r="K59" s="493"/>
      <c r="L59" s="493"/>
      <c r="M59" s="494"/>
      <c r="N59" s="243" t="s">
        <v>143</v>
      </c>
      <c r="O59" s="237" t="s">
        <v>169</v>
      </c>
      <c r="P59" s="495" t="s">
        <v>150</v>
      </c>
      <c r="Q59" s="496"/>
      <c r="R59" s="495" t="s">
        <v>338</v>
      </c>
      <c r="S59" s="497"/>
      <c r="T59" s="497"/>
      <c r="U59" s="496"/>
      <c r="V59" s="498" t="s">
        <v>120</v>
      </c>
      <c r="W59" s="498"/>
      <c r="X59" s="498"/>
      <c r="Y59" s="498"/>
      <c r="Z59" s="498"/>
      <c r="AA59" s="498"/>
      <c r="AB59" s="498"/>
      <c r="AC59" s="498"/>
      <c r="AD59" s="499"/>
    </row>
    <row r="60" spans="1:32" ht="27" customHeight="1">
      <c r="A60" s="500" t="s">
        <v>116</v>
      </c>
      <c r="B60" s="501"/>
      <c r="C60" s="239" t="s">
        <v>175</v>
      </c>
      <c r="D60" s="239" t="s">
        <v>150</v>
      </c>
      <c r="E60" s="240" t="s">
        <v>290</v>
      </c>
      <c r="F60" s="492" t="s">
        <v>120</v>
      </c>
      <c r="G60" s="493"/>
      <c r="H60" s="493"/>
      <c r="I60" s="493"/>
      <c r="J60" s="493"/>
      <c r="K60" s="493"/>
      <c r="L60" s="493"/>
      <c r="M60" s="494"/>
      <c r="N60" s="243" t="s">
        <v>143</v>
      </c>
      <c r="O60" s="237" t="s">
        <v>239</v>
      </c>
      <c r="P60" s="495" t="s">
        <v>115</v>
      </c>
      <c r="Q60" s="496"/>
      <c r="R60" s="495" t="s">
        <v>309</v>
      </c>
      <c r="S60" s="497"/>
      <c r="T60" s="497"/>
      <c r="U60" s="496"/>
      <c r="V60" s="498" t="s">
        <v>120</v>
      </c>
      <c r="W60" s="498"/>
      <c r="X60" s="498"/>
      <c r="Y60" s="498"/>
      <c r="Z60" s="498"/>
      <c r="AA60" s="498"/>
      <c r="AB60" s="498"/>
      <c r="AC60" s="498"/>
      <c r="AD60" s="499"/>
    </row>
    <row r="61" spans="1:32" ht="27" customHeight="1">
      <c r="A61" s="500" t="s">
        <v>143</v>
      </c>
      <c r="B61" s="501"/>
      <c r="C61" s="239" t="s">
        <v>259</v>
      </c>
      <c r="D61" s="239" t="s">
        <v>267</v>
      </c>
      <c r="E61" s="240" t="s">
        <v>258</v>
      </c>
      <c r="F61" s="492" t="s">
        <v>353</v>
      </c>
      <c r="G61" s="493"/>
      <c r="H61" s="493"/>
      <c r="I61" s="493"/>
      <c r="J61" s="493"/>
      <c r="K61" s="493"/>
      <c r="L61" s="493"/>
      <c r="M61" s="494"/>
      <c r="N61" s="243" t="s">
        <v>116</v>
      </c>
      <c r="O61" s="237" t="s">
        <v>175</v>
      </c>
      <c r="P61" s="495" t="s">
        <v>150</v>
      </c>
      <c r="Q61" s="496"/>
      <c r="R61" s="495" t="s">
        <v>355</v>
      </c>
      <c r="S61" s="497"/>
      <c r="T61" s="497"/>
      <c r="U61" s="496"/>
      <c r="V61" s="498" t="s">
        <v>125</v>
      </c>
      <c r="W61" s="498"/>
      <c r="X61" s="498"/>
      <c r="Y61" s="498"/>
      <c r="Z61" s="498"/>
      <c r="AA61" s="498"/>
      <c r="AB61" s="498"/>
      <c r="AC61" s="498"/>
      <c r="AD61" s="499"/>
    </row>
    <row r="62" spans="1:32" ht="27" customHeight="1">
      <c r="A62" s="500"/>
      <c r="B62" s="501"/>
      <c r="C62" s="239"/>
      <c r="D62" s="239"/>
      <c r="E62" s="240"/>
      <c r="F62" s="492"/>
      <c r="G62" s="493"/>
      <c r="H62" s="493"/>
      <c r="I62" s="493"/>
      <c r="J62" s="493"/>
      <c r="K62" s="493"/>
      <c r="L62" s="493"/>
      <c r="M62" s="494"/>
      <c r="N62" s="243" t="s">
        <v>116</v>
      </c>
      <c r="O62" s="237" t="s">
        <v>198</v>
      </c>
      <c r="P62" s="495" t="s">
        <v>140</v>
      </c>
      <c r="Q62" s="496"/>
      <c r="R62" s="495" t="s">
        <v>323</v>
      </c>
      <c r="S62" s="497"/>
      <c r="T62" s="497"/>
      <c r="U62" s="496"/>
      <c r="V62" s="498" t="s">
        <v>120</v>
      </c>
      <c r="W62" s="498"/>
      <c r="X62" s="498"/>
      <c r="Y62" s="498"/>
      <c r="Z62" s="498"/>
      <c r="AA62" s="498"/>
      <c r="AB62" s="498"/>
      <c r="AC62" s="498"/>
      <c r="AD62" s="499"/>
    </row>
    <row r="63" spans="1:32" ht="27" customHeight="1">
      <c r="A63" s="500"/>
      <c r="B63" s="501"/>
      <c r="C63" s="239"/>
      <c r="D63" s="239"/>
      <c r="E63" s="240"/>
      <c r="F63" s="492"/>
      <c r="G63" s="493"/>
      <c r="H63" s="493"/>
      <c r="I63" s="493"/>
      <c r="J63" s="493"/>
      <c r="K63" s="493"/>
      <c r="L63" s="493"/>
      <c r="M63" s="494"/>
      <c r="N63" s="243" t="s">
        <v>116</v>
      </c>
      <c r="O63" s="237" t="s">
        <v>129</v>
      </c>
      <c r="P63" s="495" t="s">
        <v>115</v>
      </c>
      <c r="Q63" s="496"/>
      <c r="R63" s="495" t="s">
        <v>356</v>
      </c>
      <c r="S63" s="497"/>
      <c r="T63" s="497"/>
      <c r="U63" s="496"/>
      <c r="V63" s="498" t="s">
        <v>125</v>
      </c>
      <c r="W63" s="498"/>
      <c r="X63" s="498"/>
      <c r="Y63" s="498"/>
      <c r="Z63" s="498"/>
      <c r="AA63" s="498"/>
      <c r="AB63" s="498"/>
      <c r="AC63" s="498"/>
      <c r="AD63" s="499"/>
    </row>
    <row r="64" spans="1:32" ht="27" customHeight="1">
      <c r="A64" s="490"/>
      <c r="B64" s="491"/>
      <c r="C64" s="240"/>
      <c r="D64" s="240"/>
      <c r="E64" s="240"/>
      <c r="F64" s="492"/>
      <c r="G64" s="493"/>
      <c r="H64" s="493"/>
      <c r="I64" s="493"/>
      <c r="J64" s="493"/>
      <c r="K64" s="493"/>
      <c r="L64" s="493"/>
      <c r="M64" s="494"/>
      <c r="N64" s="243" t="s">
        <v>143</v>
      </c>
      <c r="O64" s="237" t="s">
        <v>286</v>
      </c>
      <c r="P64" s="495"/>
      <c r="Q64" s="496"/>
      <c r="R64" s="495" t="s">
        <v>340</v>
      </c>
      <c r="S64" s="497"/>
      <c r="T64" s="497"/>
      <c r="U64" s="496"/>
      <c r="V64" s="498" t="s">
        <v>120</v>
      </c>
      <c r="W64" s="498"/>
      <c r="X64" s="498"/>
      <c r="Y64" s="498"/>
      <c r="Z64" s="498"/>
      <c r="AA64" s="498"/>
      <c r="AB64" s="498"/>
      <c r="AC64" s="498"/>
      <c r="AD64" s="499"/>
    </row>
    <row r="65" spans="1:32" ht="27" customHeight="1">
      <c r="A65" s="500"/>
      <c r="B65" s="501"/>
      <c r="C65" s="239"/>
      <c r="D65" s="239"/>
      <c r="E65" s="240"/>
      <c r="F65" s="492"/>
      <c r="G65" s="493"/>
      <c r="H65" s="493"/>
      <c r="I65" s="493"/>
      <c r="J65" s="493"/>
      <c r="K65" s="493"/>
      <c r="L65" s="493"/>
      <c r="M65" s="494"/>
      <c r="N65" s="243"/>
      <c r="O65" s="237"/>
      <c r="P65" s="495"/>
      <c r="Q65" s="496"/>
      <c r="R65" s="495"/>
      <c r="S65" s="497"/>
      <c r="T65" s="497"/>
      <c r="U65" s="496"/>
      <c r="V65" s="498"/>
      <c r="W65" s="498"/>
      <c r="X65" s="498"/>
      <c r="Y65" s="498"/>
      <c r="Z65" s="498"/>
      <c r="AA65" s="498"/>
      <c r="AB65" s="498"/>
      <c r="AC65" s="498"/>
      <c r="AD65" s="499"/>
    </row>
    <row r="66" spans="1:32" ht="27" customHeight="1">
      <c r="A66" s="500"/>
      <c r="B66" s="501"/>
      <c r="C66" s="239"/>
      <c r="D66" s="239"/>
      <c r="E66" s="240"/>
      <c r="F66" s="492"/>
      <c r="G66" s="493"/>
      <c r="H66" s="493"/>
      <c r="I66" s="493"/>
      <c r="J66" s="493"/>
      <c r="K66" s="493"/>
      <c r="L66" s="493"/>
      <c r="M66" s="494"/>
      <c r="N66" s="243"/>
      <c r="O66" s="237"/>
      <c r="P66" s="491"/>
      <c r="Q66" s="491"/>
      <c r="R66" s="491"/>
      <c r="S66" s="491"/>
      <c r="T66" s="491"/>
      <c r="U66" s="491"/>
      <c r="V66" s="498"/>
      <c r="W66" s="498"/>
      <c r="X66" s="498"/>
      <c r="Y66" s="498"/>
      <c r="Z66" s="498"/>
      <c r="AA66" s="498"/>
      <c r="AB66" s="498"/>
      <c r="AC66" s="498"/>
      <c r="AD66" s="499"/>
      <c r="AF66" s="84">
        <f>8*3000</f>
        <v>24000</v>
      </c>
    </row>
    <row r="67" spans="1:32" ht="27" customHeight="1" thickBot="1">
      <c r="A67" s="502"/>
      <c r="B67" s="503"/>
      <c r="C67" s="241"/>
      <c r="D67" s="242"/>
      <c r="E67" s="241"/>
      <c r="F67" s="504"/>
      <c r="G67" s="505"/>
      <c r="H67" s="505"/>
      <c r="I67" s="505"/>
      <c r="J67" s="505"/>
      <c r="K67" s="505"/>
      <c r="L67" s="505"/>
      <c r="M67" s="506"/>
      <c r="N67" s="111"/>
      <c r="O67" s="103"/>
      <c r="P67" s="507"/>
      <c r="Q67" s="507"/>
      <c r="R67" s="507"/>
      <c r="S67" s="507"/>
      <c r="T67" s="507"/>
      <c r="U67" s="507"/>
      <c r="V67" s="508"/>
      <c r="W67" s="508"/>
      <c r="X67" s="508"/>
      <c r="Y67" s="508"/>
      <c r="Z67" s="508"/>
      <c r="AA67" s="508"/>
      <c r="AB67" s="508"/>
      <c r="AC67" s="508"/>
      <c r="AD67" s="509"/>
      <c r="AF67" s="84">
        <f>16*3000</f>
        <v>48000</v>
      </c>
    </row>
    <row r="68" spans="1:32" ht="27.75" thickBot="1">
      <c r="A68" s="510" t="s">
        <v>357</v>
      </c>
      <c r="B68" s="510"/>
      <c r="C68" s="510"/>
      <c r="D68" s="510"/>
      <c r="E68" s="51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11" t="s">
        <v>111</v>
      </c>
      <c r="B69" s="512"/>
      <c r="C69" s="238" t="s">
        <v>2</v>
      </c>
      <c r="D69" s="238" t="s">
        <v>37</v>
      </c>
      <c r="E69" s="238" t="s">
        <v>3</v>
      </c>
      <c r="F69" s="512" t="s">
        <v>109</v>
      </c>
      <c r="G69" s="512"/>
      <c r="H69" s="512"/>
      <c r="I69" s="512"/>
      <c r="J69" s="512"/>
      <c r="K69" s="512" t="s">
        <v>39</v>
      </c>
      <c r="L69" s="512"/>
      <c r="M69" s="238" t="s">
        <v>40</v>
      </c>
      <c r="N69" s="512" t="s">
        <v>41</v>
      </c>
      <c r="O69" s="512"/>
      <c r="P69" s="513" t="s">
        <v>42</v>
      </c>
      <c r="Q69" s="514"/>
      <c r="R69" s="513" t="s">
        <v>43</v>
      </c>
      <c r="S69" s="515"/>
      <c r="T69" s="515"/>
      <c r="U69" s="515"/>
      <c r="V69" s="515"/>
      <c r="W69" s="515"/>
      <c r="X69" s="515"/>
      <c r="Y69" s="515"/>
      <c r="Z69" s="515"/>
      <c r="AA69" s="514"/>
      <c r="AB69" s="512" t="s">
        <v>44</v>
      </c>
      <c r="AC69" s="512"/>
      <c r="AD69" s="516"/>
      <c r="AF69" s="84">
        <f>SUM(AF66:AF68)</f>
        <v>96000</v>
      </c>
    </row>
    <row r="70" spans="1:32" ht="25.5" customHeight="1">
      <c r="A70" s="517">
        <v>1</v>
      </c>
      <c r="B70" s="518"/>
      <c r="C70" s="104" t="s">
        <v>203</v>
      </c>
      <c r="D70" s="233"/>
      <c r="E70" s="236" t="s">
        <v>115</v>
      </c>
      <c r="F70" s="519" t="s">
        <v>244</v>
      </c>
      <c r="G70" s="520"/>
      <c r="H70" s="520"/>
      <c r="I70" s="520"/>
      <c r="J70" s="521"/>
      <c r="K70" s="522">
        <v>7301</v>
      </c>
      <c r="L70" s="522"/>
      <c r="M70" s="51" t="s">
        <v>178</v>
      </c>
      <c r="N70" s="523" t="s">
        <v>206</v>
      </c>
      <c r="O70" s="523"/>
      <c r="P70" s="524">
        <v>50</v>
      </c>
      <c r="Q70" s="524"/>
      <c r="R70" s="498"/>
      <c r="S70" s="498"/>
      <c r="T70" s="498"/>
      <c r="U70" s="498"/>
      <c r="V70" s="498"/>
      <c r="W70" s="498"/>
      <c r="X70" s="498"/>
      <c r="Y70" s="498"/>
      <c r="Z70" s="498"/>
      <c r="AA70" s="498"/>
      <c r="AB70" s="522"/>
      <c r="AC70" s="522"/>
      <c r="AD70" s="525"/>
      <c r="AF70" s="50"/>
    </row>
    <row r="71" spans="1:32" ht="25.5" customHeight="1">
      <c r="A71" s="517">
        <v>2</v>
      </c>
      <c r="B71" s="518"/>
      <c r="C71" s="104"/>
      <c r="D71" s="233"/>
      <c r="E71" s="236"/>
      <c r="F71" s="519"/>
      <c r="G71" s="520"/>
      <c r="H71" s="520"/>
      <c r="I71" s="520"/>
      <c r="J71" s="521"/>
      <c r="K71" s="522"/>
      <c r="L71" s="522"/>
      <c r="M71" s="51"/>
      <c r="N71" s="523"/>
      <c r="O71" s="523"/>
      <c r="P71" s="524"/>
      <c r="Q71" s="524"/>
      <c r="R71" s="498"/>
      <c r="S71" s="498"/>
      <c r="T71" s="498"/>
      <c r="U71" s="498"/>
      <c r="V71" s="498"/>
      <c r="W71" s="498"/>
      <c r="X71" s="498"/>
      <c r="Y71" s="498"/>
      <c r="Z71" s="498"/>
      <c r="AA71" s="498"/>
      <c r="AB71" s="522"/>
      <c r="AC71" s="522"/>
      <c r="AD71" s="525"/>
      <c r="AF71" s="50"/>
    </row>
    <row r="72" spans="1:32" ht="25.5" customHeight="1">
      <c r="A72" s="517">
        <v>3</v>
      </c>
      <c r="B72" s="518"/>
      <c r="C72" s="104"/>
      <c r="D72" s="233"/>
      <c r="E72" s="236"/>
      <c r="F72" s="519"/>
      <c r="G72" s="520"/>
      <c r="H72" s="520"/>
      <c r="I72" s="520"/>
      <c r="J72" s="521"/>
      <c r="K72" s="522"/>
      <c r="L72" s="522"/>
      <c r="M72" s="51"/>
      <c r="N72" s="523"/>
      <c r="O72" s="523"/>
      <c r="P72" s="524"/>
      <c r="Q72" s="524"/>
      <c r="R72" s="498"/>
      <c r="S72" s="498"/>
      <c r="T72" s="498"/>
      <c r="U72" s="498"/>
      <c r="V72" s="498"/>
      <c r="W72" s="498"/>
      <c r="X72" s="498"/>
      <c r="Y72" s="498"/>
      <c r="Z72" s="498"/>
      <c r="AA72" s="498"/>
      <c r="AB72" s="522"/>
      <c r="AC72" s="522"/>
      <c r="AD72" s="525"/>
      <c r="AF72" s="50"/>
    </row>
    <row r="73" spans="1:32" ht="25.5" customHeight="1">
      <c r="A73" s="517">
        <v>4</v>
      </c>
      <c r="B73" s="518"/>
      <c r="C73" s="104"/>
      <c r="D73" s="233"/>
      <c r="E73" s="236"/>
      <c r="F73" s="519"/>
      <c r="G73" s="520"/>
      <c r="H73" s="520"/>
      <c r="I73" s="520"/>
      <c r="J73" s="521"/>
      <c r="K73" s="522"/>
      <c r="L73" s="522"/>
      <c r="M73" s="51"/>
      <c r="N73" s="523"/>
      <c r="O73" s="523"/>
      <c r="P73" s="524"/>
      <c r="Q73" s="524"/>
      <c r="R73" s="498"/>
      <c r="S73" s="498"/>
      <c r="T73" s="498"/>
      <c r="U73" s="498"/>
      <c r="V73" s="498"/>
      <c r="W73" s="498"/>
      <c r="X73" s="498"/>
      <c r="Y73" s="498"/>
      <c r="Z73" s="498"/>
      <c r="AA73" s="498"/>
      <c r="AB73" s="522"/>
      <c r="AC73" s="522"/>
      <c r="AD73" s="525"/>
      <c r="AF73" s="50"/>
    </row>
    <row r="74" spans="1:32" ht="25.5" customHeight="1">
      <c r="A74" s="517">
        <v>5</v>
      </c>
      <c r="B74" s="518"/>
      <c r="C74" s="104"/>
      <c r="D74" s="233"/>
      <c r="E74" s="236"/>
      <c r="F74" s="519"/>
      <c r="G74" s="520"/>
      <c r="H74" s="520"/>
      <c r="I74" s="520"/>
      <c r="J74" s="521"/>
      <c r="K74" s="522"/>
      <c r="L74" s="522"/>
      <c r="M74" s="51"/>
      <c r="N74" s="523"/>
      <c r="O74" s="523"/>
      <c r="P74" s="524"/>
      <c r="Q74" s="524"/>
      <c r="R74" s="498"/>
      <c r="S74" s="498"/>
      <c r="T74" s="498"/>
      <c r="U74" s="498"/>
      <c r="V74" s="498"/>
      <c r="W74" s="498"/>
      <c r="X74" s="498"/>
      <c r="Y74" s="498"/>
      <c r="Z74" s="498"/>
      <c r="AA74" s="498"/>
      <c r="AB74" s="522"/>
      <c r="AC74" s="522"/>
      <c r="AD74" s="525"/>
      <c r="AF74" s="50"/>
    </row>
    <row r="75" spans="1:32" ht="25.5" customHeight="1">
      <c r="A75" s="517">
        <v>6</v>
      </c>
      <c r="B75" s="518"/>
      <c r="C75" s="104"/>
      <c r="D75" s="233"/>
      <c r="E75" s="236"/>
      <c r="F75" s="519"/>
      <c r="G75" s="520"/>
      <c r="H75" s="520"/>
      <c r="I75" s="520"/>
      <c r="J75" s="521"/>
      <c r="K75" s="522"/>
      <c r="L75" s="522"/>
      <c r="M75" s="51"/>
      <c r="N75" s="523"/>
      <c r="O75" s="523"/>
      <c r="P75" s="524"/>
      <c r="Q75" s="524"/>
      <c r="R75" s="498"/>
      <c r="S75" s="498"/>
      <c r="T75" s="498"/>
      <c r="U75" s="498"/>
      <c r="V75" s="498"/>
      <c r="W75" s="498"/>
      <c r="X75" s="498"/>
      <c r="Y75" s="498"/>
      <c r="Z75" s="498"/>
      <c r="AA75" s="498"/>
      <c r="AB75" s="522"/>
      <c r="AC75" s="522"/>
      <c r="AD75" s="525"/>
      <c r="AF75" s="50"/>
    </row>
    <row r="76" spans="1:32" ht="25.5" customHeight="1">
      <c r="A76" s="517">
        <v>7</v>
      </c>
      <c r="B76" s="518"/>
      <c r="C76" s="104"/>
      <c r="D76" s="233"/>
      <c r="E76" s="236"/>
      <c r="F76" s="519"/>
      <c r="G76" s="520"/>
      <c r="H76" s="520"/>
      <c r="I76" s="520"/>
      <c r="J76" s="521"/>
      <c r="K76" s="522"/>
      <c r="L76" s="522"/>
      <c r="M76" s="51"/>
      <c r="N76" s="523"/>
      <c r="O76" s="523"/>
      <c r="P76" s="524"/>
      <c r="Q76" s="524"/>
      <c r="R76" s="498"/>
      <c r="S76" s="498"/>
      <c r="T76" s="498"/>
      <c r="U76" s="498"/>
      <c r="V76" s="498"/>
      <c r="W76" s="498"/>
      <c r="X76" s="498"/>
      <c r="Y76" s="498"/>
      <c r="Z76" s="498"/>
      <c r="AA76" s="498"/>
      <c r="AB76" s="522"/>
      <c r="AC76" s="522"/>
      <c r="AD76" s="525"/>
      <c r="AF76" s="50"/>
    </row>
    <row r="77" spans="1:32" ht="25.5" customHeight="1">
      <c r="A77" s="517">
        <v>8</v>
      </c>
      <c r="B77" s="518"/>
      <c r="C77" s="104"/>
      <c r="D77" s="233"/>
      <c r="E77" s="236"/>
      <c r="F77" s="526"/>
      <c r="G77" s="522"/>
      <c r="H77" s="522"/>
      <c r="I77" s="522"/>
      <c r="J77" s="522"/>
      <c r="K77" s="522"/>
      <c r="L77" s="522"/>
      <c r="M77" s="51"/>
      <c r="N77" s="523"/>
      <c r="O77" s="523"/>
      <c r="P77" s="524"/>
      <c r="Q77" s="524"/>
      <c r="R77" s="498"/>
      <c r="S77" s="498"/>
      <c r="T77" s="498"/>
      <c r="U77" s="498"/>
      <c r="V77" s="498"/>
      <c r="W77" s="498"/>
      <c r="X77" s="498"/>
      <c r="Y77" s="498"/>
      <c r="Z77" s="498"/>
      <c r="AA77" s="498"/>
      <c r="AB77" s="522"/>
      <c r="AC77" s="522"/>
      <c r="AD77" s="525"/>
      <c r="AF77" s="50"/>
    </row>
    <row r="78" spans="1:32" ht="25.5" customHeight="1">
      <c r="A78" s="517">
        <v>9</v>
      </c>
      <c r="B78" s="518"/>
      <c r="C78" s="104"/>
      <c r="D78" s="233"/>
      <c r="E78" s="236"/>
      <c r="F78" s="526"/>
      <c r="G78" s="522"/>
      <c r="H78" s="522"/>
      <c r="I78" s="522"/>
      <c r="J78" s="522"/>
      <c r="K78" s="522"/>
      <c r="L78" s="522"/>
      <c r="M78" s="51"/>
      <c r="N78" s="523"/>
      <c r="O78" s="523"/>
      <c r="P78" s="524"/>
      <c r="Q78" s="524"/>
      <c r="R78" s="498"/>
      <c r="S78" s="498"/>
      <c r="T78" s="498"/>
      <c r="U78" s="498"/>
      <c r="V78" s="498"/>
      <c r="W78" s="498"/>
      <c r="X78" s="498"/>
      <c r="Y78" s="498"/>
      <c r="Z78" s="498"/>
      <c r="AA78" s="498"/>
      <c r="AB78" s="522"/>
      <c r="AC78" s="522"/>
      <c r="AD78" s="525"/>
      <c r="AF78" s="50"/>
    </row>
    <row r="79" spans="1:32" ht="25.5" customHeight="1">
      <c r="A79" s="517">
        <v>10</v>
      </c>
      <c r="B79" s="518"/>
      <c r="C79" s="104"/>
      <c r="D79" s="233"/>
      <c r="E79" s="236"/>
      <c r="F79" s="526"/>
      <c r="G79" s="522"/>
      <c r="H79" s="522"/>
      <c r="I79" s="522"/>
      <c r="J79" s="522"/>
      <c r="K79" s="522"/>
      <c r="L79" s="522"/>
      <c r="M79" s="51"/>
      <c r="N79" s="523"/>
      <c r="O79" s="523"/>
      <c r="P79" s="524"/>
      <c r="Q79" s="524"/>
      <c r="R79" s="498"/>
      <c r="S79" s="498"/>
      <c r="T79" s="498"/>
      <c r="U79" s="498"/>
      <c r="V79" s="498"/>
      <c r="W79" s="498"/>
      <c r="X79" s="498"/>
      <c r="Y79" s="498"/>
      <c r="Z79" s="498"/>
      <c r="AA79" s="498"/>
      <c r="AB79" s="522"/>
      <c r="AC79" s="522"/>
      <c r="AD79" s="525"/>
      <c r="AF79" s="50"/>
    </row>
    <row r="80" spans="1:32" ht="26.25" customHeight="1" thickBot="1">
      <c r="A80" s="527" t="s">
        <v>358</v>
      </c>
      <c r="B80" s="527"/>
      <c r="C80" s="527"/>
      <c r="D80" s="527"/>
      <c r="E80" s="527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528" t="s">
        <v>111</v>
      </c>
      <c r="B81" s="529"/>
      <c r="C81" s="235" t="s">
        <v>2</v>
      </c>
      <c r="D81" s="235" t="s">
        <v>37</v>
      </c>
      <c r="E81" s="235" t="s">
        <v>121</v>
      </c>
      <c r="F81" s="530" t="s">
        <v>38</v>
      </c>
      <c r="G81" s="530"/>
      <c r="H81" s="530"/>
      <c r="I81" s="530"/>
      <c r="J81" s="530"/>
      <c r="K81" s="531" t="s">
        <v>58</v>
      </c>
      <c r="L81" s="532"/>
      <c r="M81" s="532"/>
      <c r="N81" s="532"/>
      <c r="O81" s="532"/>
      <c r="P81" s="532"/>
      <c r="Q81" s="532"/>
      <c r="R81" s="532"/>
      <c r="S81" s="533"/>
      <c r="T81" s="530" t="s">
        <v>49</v>
      </c>
      <c r="U81" s="530"/>
      <c r="V81" s="531" t="s">
        <v>50</v>
      </c>
      <c r="W81" s="533"/>
      <c r="X81" s="532" t="s">
        <v>51</v>
      </c>
      <c r="Y81" s="532"/>
      <c r="Z81" s="532"/>
      <c r="AA81" s="532"/>
      <c r="AB81" s="532"/>
      <c r="AC81" s="532"/>
      <c r="AD81" s="534"/>
      <c r="AF81" s="50"/>
    </row>
    <row r="82" spans="1:32" ht="33.75" customHeight="1">
      <c r="A82" s="543">
        <v>1</v>
      </c>
      <c r="B82" s="544"/>
      <c r="C82" s="234"/>
      <c r="D82" s="234"/>
      <c r="E82" s="65"/>
      <c r="F82" s="545"/>
      <c r="G82" s="546"/>
      <c r="H82" s="546"/>
      <c r="I82" s="546"/>
      <c r="J82" s="547"/>
      <c r="K82" s="548"/>
      <c r="L82" s="549"/>
      <c r="M82" s="549"/>
      <c r="N82" s="549"/>
      <c r="O82" s="549"/>
      <c r="P82" s="549"/>
      <c r="Q82" s="549"/>
      <c r="R82" s="549"/>
      <c r="S82" s="550"/>
      <c r="T82" s="551"/>
      <c r="U82" s="552"/>
      <c r="V82" s="553"/>
      <c r="W82" s="553"/>
      <c r="X82" s="554"/>
      <c r="Y82" s="554"/>
      <c r="Z82" s="554"/>
      <c r="AA82" s="554"/>
      <c r="AB82" s="554"/>
      <c r="AC82" s="554"/>
      <c r="AD82" s="555"/>
      <c r="AF82" s="50"/>
    </row>
    <row r="83" spans="1:32" ht="30" customHeight="1">
      <c r="A83" s="535">
        <f>A82+1</f>
        <v>2</v>
      </c>
      <c r="B83" s="536"/>
      <c r="C83" s="233"/>
      <c r="D83" s="233"/>
      <c r="E83" s="32"/>
      <c r="F83" s="536"/>
      <c r="G83" s="536"/>
      <c r="H83" s="536"/>
      <c r="I83" s="536"/>
      <c r="J83" s="536"/>
      <c r="K83" s="537"/>
      <c r="L83" s="538"/>
      <c r="M83" s="538"/>
      <c r="N83" s="538"/>
      <c r="O83" s="538"/>
      <c r="P83" s="538"/>
      <c r="Q83" s="538"/>
      <c r="R83" s="538"/>
      <c r="S83" s="539"/>
      <c r="T83" s="540"/>
      <c r="U83" s="540"/>
      <c r="V83" s="540"/>
      <c r="W83" s="540"/>
      <c r="X83" s="541"/>
      <c r="Y83" s="541"/>
      <c r="Z83" s="541"/>
      <c r="AA83" s="541"/>
      <c r="AB83" s="541"/>
      <c r="AC83" s="541"/>
      <c r="AD83" s="542"/>
      <c r="AF83" s="50"/>
    </row>
    <row r="84" spans="1:32" ht="30" customHeight="1">
      <c r="A84" s="535">
        <f t="shared" ref="A84:A88" si="12">A83+1</f>
        <v>3</v>
      </c>
      <c r="B84" s="536"/>
      <c r="C84" s="233"/>
      <c r="D84" s="233"/>
      <c r="E84" s="32"/>
      <c r="F84" s="536"/>
      <c r="G84" s="536"/>
      <c r="H84" s="536"/>
      <c r="I84" s="536"/>
      <c r="J84" s="536"/>
      <c r="K84" s="537"/>
      <c r="L84" s="538"/>
      <c r="M84" s="538"/>
      <c r="N84" s="538"/>
      <c r="O84" s="538"/>
      <c r="P84" s="538"/>
      <c r="Q84" s="538"/>
      <c r="R84" s="538"/>
      <c r="S84" s="539"/>
      <c r="T84" s="540"/>
      <c r="U84" s="540"/>
      <c r="V84" s="540"/>
      <c r="W84" s="540"/>
      <c r="X84" s="541"/>
      <c r="Y84" s="541"/>
      <c r="Z84" s="541"/>
      <c r="AA84" s="541"/>
      <c r="AB84" s="541"/>
      <c r="AC84" s="541"/>
      <c r="AD84" s="542"/>
      <c r="AF84" s="50"/>
    </row>
    <row r="85" spans="1:32" ht="30" customHeight="1">
      <c r="A85" s="535">
        <f t="shared" si="12"/>
        <v>4</v>
      </c>
      <c r="B85" s="536"/>
      <c r="C85" s="233"/>
      <c r="D85" s="233"/>
      <c r="E85" s="32"/>
      <c r="F85" s="536"/>
      <c r="G85" s="536"/>
      <c r="H85" s="536"/>
      <c r="I85" s="536"/>
      <c r="J85" s="536"/>
      <c r="K85" s="537"/>
      <c r="L85" s="538"/>
      <c r="M85" s="538"/>
      <c r="N85" s="538"/>
      <c r="O85" s="538"/>
      <c r="P85" s="538"/>
      <c r="Q85" s="538"/>
      <c r="R85" s="538"/>
      <c r="S85" s="539"/>
      <c r="T85" s="540"/>
      <c r="U85" s="540"/>
      <c r="V85" s="540"/>
      <c r="W85" s="540"/>
      <c r="X85" s="541"/>
      <c r="Y85" s="541"/>
      <c r="Z85" s="541"/>
      <c r="AA85" s="541"/>
      <c r="AB85" s="541"/>
      <c r="AC85" s="541"/>
      <c r="AD85" s="542"/>
      <c r="AF85" s="50"/>
    </row>
    <row r="86" spans="1:32" ht="30" customHeight="1">
      <c r="A86" s="535">
        <f t="shared" si="12"/>
        <v>5</v>
      </c>
      <c r="B86" s="536"/>
      <c r="C86" s="233"/>
      <c r="D86" s="233"/>
      <c r="E86" s="32"/>
      <c r="F86" s="536"/>
      <c r="G86" s="536"/>
      <c r="H86" s="536"/>
      <c r="I86" s="536"/>
      <c r="J86" s="536"/>
      <c r="K86" s="537"/>
      <c r="L86" s="538"/>
      <c r="M86" s="538"/>
      <c r="N86" s="538"/>
      <c r="O86" s="538"/>
      <c r="P86" s="538"/>
      <c r="Q86" s="538"/>
      <c r="R86" s="538"/>
      <c r="S86" s="539"/>
      <c r="T86" s="540"/>
      <c r="U86" s="540"/>
      <c r="V86" s="540"/>
      <c r="W86" s="540"/>
      <c r="X86" s="541"/>
      <c r="Y86" s="541"/>
      <c r="Z86" s="541"/>
      <c r="AA86" s="541"/>
      <c r="AB86" s="541"/>
      <c r="AC86" s="541"/>
      <c r="AD86" s="542"/>
      <c r="AF86" s="50"/>
    </row>
    <row r="87" spans="1:32" ht="30" customHeight="1">
      <c r="A87" s="535">
        <f t="shared" si="12"/>
        <v>6</v>
      </c>
      <c r="B87" s="536"/>
      <c r="C87" s="233"/>
      <c r="D87" s="233"/>
      <c r="E87" s="32"/>
      <c r="F87" s="536"/>
      <c r="G87" s="536"/>
      <c r="H87" s="536"/>
      <c r="I87" s="536"/>
      <c r="J87" s="536"/>
      <c r="K87" s="537"/>
      <c r="L87" s="538"/>
      <c r="M87" s="538"/>
      <c r="N87" s="538"/>
      <c r="O87" s="538"/>
      <c r="P87" s="538"/>
      <c r="Q87" s="538"/>
      <c r="R87" s="538"/>
      <c r="S87" s="539"/>
      <c r="T87" s="540"/>
      <c r="U87" s="540"/>
      <c r="V87" s="540"/>
      <c r="W87" s="540"/>
      <c r="X87" s="541"/>
      <c r="Y87" s="541"/>
      <c r="Z87" s="541"/>
      <c r="AA87" s="541"/>
      <c r="AB87" s="541"/>
      <c r="AC87" s="541"/>
      <c r="AD87" s="542"/>
      <c r="AF87" s="50"/>
    </row>
    <row r="88" spans="1:32" ht="30" customHeight="1">
      <c r="A88" s="535">
        <f t="shared" si="12"/>
        <v>7</v>
      </c>
      <c r="B88" s="536"/>
      <c r="C88" s="233"/>
      <c r="D88" s="233"/>
      <c r="E88" s="32"/>
      <c r="F88" s="536"/>
      <c r="G88" s="536"/>
      <c r="H88" s="536"/>
      <c r="I88" s="536"/>
      <c r="J88" s="536"/>
      <c r="K88" s="537"/>
      <c r="L88" s="538"/>
      <c r="M88" s="538"/>
      <c r="N88" s="538"/>
      <c r="O88" s="538"/>
      <c r="P88" s="538"/>
      <c r="Q88" s="538"/>
      <c r="R88" s="538"/>
      <c r="S88" s="539"/>
      <c r="T88" s="540"/>
      <c r="U88" s="540"/>
      <c r="V88" s="540"/>
      <c r="W88" s="540"/>
      <c r="X88" s="541"/>
      <c r="Y88" s="541"/>
      <c r="Z88" s="541"/>
      <c r="AA88" s="541"/>
      <c r="AB88" s="541"/>
      <c r="AC88" s="541"/>
      <c r="AD88" s="542"/>
      <c r="AF88" s="50"/>
    </row>
    <row r="89" spans="1:32" ht="36" thickBot="1">
      <c r="A89" s="527" t="s">
        <v>359</v>
      </c>
      <c r="B89" s="527"/>
      <c r="C89" s="527"/>
      <c r="D89" s="527"/>
      <c r="E89" s="527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56" t="s">
        <v>111</v>
      </c>
      <c r="B90" s="530"/>
      <c r="C90" s="557" t="s">
        <v>52</v>
      </c>
      <c r="D90" s="557"/>
      <c r="E90" s="557" t="s">
        <v>53</v>
      </c>
      <c r="F90" s="557"/>
      <c r="G90" s="557"/>
      <c r="H90" s="557"/>
      <c r="I90" s="557"/>
      <c r="J90" s="557"/>
      <c r="K90" s="557" t="s">
        <v>54</v>
      </c>
      <c r="L90" s="557"/>
      <c r="M90" s="557"/>
      <c r="N90" s="557"/>
      <c r="O90" s="557"/>
      <c r="P90" s="557"/>
      <c r="Q90" s="557"/>
      <c r="R90" s="557"/>
      <c r="S90" s="557"/>
      <c r="T90" s="557" t="s">
        <v>55</v>
      </c>
      <c r="U90" s="557"/>
      <c r="V90" s="557" t="s">
        <v>56</v>
      </c>
      <c r="W90" s="557"/>
      <c r="X90" s="557"/>
      <c r="Y90" s="557" t="s">
        <v>51</v>
      </c>
      <c r="Z90" s="557"/>
      <c r="AA90" s="557"/>
      <c r="AB90" s="557"/>
      <c r="AC90" s="557"/>
      <c r="AD90" s="558"/>
      <c r="AF90" s="50"/>
    </row>
    <row r="91" spans="1:32" ht="30.75" customHeight="1">
      <c r="A91" s="543">
        <v>1</v>
      </c>
      <c r="B91" s="544"/>
      <c r="C91" s="559">
        <v>9</v>
      </c>
      <c r="D91" s="559"/>
      <c r="E91" s="559" t="s">
        <v>127</v>
      </c>
      <c r="F91" s="559"/>
      <c r="G91" s="559"/>
      <c r="H91" s="559"/>
      <c r="I91" s="559"/>
      <c r="J91" s="559"/>
      <c r="K91" s="559" t="s">
        <v>136</v>
      </c>
      <c r="L91" s="559"/>
      <c r="M91" s="559"/>
      <c r="N91" s="559"/>
      <c r="O91" s="559"/>
      <c r="P91" s="559"/>
      <c r="Q91" s="559"/>
      <c r="R91" s="559"/>
      <c r="S91" s="559"/>
      <c r="T91" s="559" t="s">
        <v>128</v>
      </c>
      <c r="U91" s="559"/>
      <c r="V91" s="560" t="s">
        <v>133</v>
      </c>
      <c r="W91" s="560"/>
      <c r="X91" s="560"/>
      <c r="Y91" s="561"/>
      <c r="Z91" s="561"/>
      <c r="AA91" s="561"/>
      <c r="AB91" s="561"/>
      <c r="AC91" s="561"/>
      <c r="AD91" s="562"/>
      <c r="AF91" s="50"/>
    </row>
    <row r="92" spans="1:32" ht="30.75" customHeight="1">
      <c r="A92" s="535">
        <v>2</v>
      </c>
      <c r="B92" s="536"/>
      <c r="C92" s="570"/>
      <c r="D92" s="570"/>
      <c r="E92" s="570"/>
      <c r="F92" s="570"/>
      <c r="G92" s="570"/>
      <c r="H92" s="570"/>
      <c r="I92" s="570"/>
      <c r="J92" s="570"/>
      <c r="K92" s="570"/>
      <c r="L92" s="570"/>
      <c r="M92" s="570"/>
      <c r="N92" s="570"/>
      <c r="O92" s="570"/>
      <c r="P92" s="570"/>
      <c r="Q92" s="570"/>
      <c r="R92" s="570"/>
      <c r="S92" s="570"/>
      <c r="T92" s="571"/>
      <c r="U92" s="571"/>
      <c r="V92" s="572"/>
      <c r="W92" s="572"/>
      <c r="X92" s="572"/>
      <c r="Y92" s="563"/>
      <c r="Z92" s="563"/>
      <c r="AA92" s="563"/>
      <c r="AB92" s="563"/>
      <c r="AC92" s="563"/>
      <c r="AD92" s="564"/>
      <c r="AF92" s="50"/>
    </row>
    <row r="93" spans="1:32" ht="30.75" customHeight="1" thickBot="1">
      <c r="A93" s="565">
        <v>3</v>
      </c>
      <c r="B93" s="566"/>
      <c r="C93" s="567"/>
      <c r="D93" s="567"/>
      <c r="E93" s="567"/>
      <c r="F93" s="567"/>
      <c r="G93" s="567"/>
      <c r="H93" s="567"/>
      <c r="I93" s="567"/>
      <c r="J93" s="567"/>
      <c r="K93" s="567"/>
      <c r="L93" s="567"/>
      <c r="M93" s="567"/>
      <c r="N93" s="567"/>
      <c r="O93" s="567"/>
      <c r="P93" s="567"/>
      <c r="Q93" s="567"/>
      <c r="R93" s="567"/>
      <c r="S93" s="567"/>
      <c r="T93" s="567"/>
      <c r="U93" s="567"/>
      <c r="V93" s="573"/>
      <c r="W93" s="573"/>
      <c r="X93" s="573"/>
      <c r="Y93" s="568"/>
      <c r="Z93" s="568"/>
      <c r="AA93" s="568"/>
      <c r="AB93" s="568"/>
      <c r="AC93" s="568"/>
      <c r="AD93" s="569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3" max="29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7F1A-08A5-42D4-B105-05F5CF2E9C16}">
  <dimension ref="A1:AF93"/>
  <sheetViews>
    <sheetView view="pageBreakPreview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50" t="s">
        <v>360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1"/>
      <c r="B3" s="451"/>
      <c r="C3" s="451"/>
      <c r="D3" s="451"/>
      <c r="E3" s="451"/>
      <c r="F3" s="451"/>
      <c r="G3" s="45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52" t="s">
        <v>0</v>
      </c>
      <c r="B4" s="454" t="s">
        <v>1</v>
      </c>
      <c r="C4" s="454" t="s">
        <v>2</v>
      </c>
      <c r="D4" s="457" t="s">
        <v>3</v>
      </c>
      <c r="E4" s="459" t="s">
        <v>4</v>
      </c>
      <c r="F4" s="457" t="s">
        <v>5</v>
      </c>
      <c r="G4" s="454" t="s">
        <v>6</v>
      </c>
      <c r="H4" s="460" t="s">
        <v>7</v>
      </c>
      <c r="I4" s="480" t="s">
        <v>8</v>
      </c>
      <c r="J4" s="481"/>
      <c r="K4" s="481"/>
      <c r="L4" s="481"/>
      <c r="M4" s="481"/>
      <c r="N4" s="481"/>
      <c r="O4" s="482"/>
      <c r="P4" s="483" t="s">
        <v>9</v>
      </c>
      <c r="Q4" s="484"/>
      <c r="R4" s="486" t="s">
        <v>10</v>
      </c>
      <c r="S4" s="485"/>
      <c r="T4" s="485"/>
      <c r="U4" s="485"/>
      <c r="V4" s="487"/>
      <c r="W4" s="485" t="s">
        <v>11</v>
      </c>
      <c r="X4" s="485"/>
      <c r="Y4" s="485"/>
      <c r="Z4" s="485"/>
      <c r="AA4" s="487"/>
      <c r="AB4" s="488" t="s">
        <v>12</v>
      </c>
      <c r="AC4" s="462" t="s">
        <v>13</v>
      </c>
      <c r="AD4" s="462" t="s">
        <v>14</v>
      </c>
      <c r="AE4" s="54"/>
    </row>
    <row r="5" spans="1:32" ht="51" customHeight="1" thickBot="1">
      <c r="A5" s="453"/>
      <c r="B5" s="455"/>
      <c r="C5" s="456"/>
      <c r="D5" s="458"/>
      <c r="E5" s="458"/>
      <c r="F5" s="458"/>
      <c r="G5" s="455"/>
      <c r="H5" s="461"/>
      <c r="I5" s="55" t="s">
        <v>15</v>
      </c>
      <c r="J5" s="56" t="s">
        <v>16</v>
      </c>
      <c r="K5" s="246" t="s">
        <v>17</v>
      </c>
      <c r="L5" s="246" t="s">
        <v>18</v>
      </c>
      <c r="M5" s="246" t="s">
        <v>19</v>
      </c>
      <c r="N5" s="24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89"/>
      <c r="AC5" s="463"/>
      <c r="AD5" s="463"/>
      <c r="AE5" s="54"/>
    </row>
    <row r="6" spans="1:32" ht="27" customHeight="1">
      <c r="A6" s="112">
        <v>1</v>
      </c>
      <c r="B6" s="11" t="s">
        <v>57</v>
      </c>
      <c r="C6" s="34" t="s">
        <v>116</v>
      </c>
      <c r="D6" s="52" t="s">
        <v>130</v>
      </c>
      <c r="E6" s="53" t="s">
        <v>158</v>
      </c>
      <c r="F6" s="30" t="s">
        <v>146</v>
      </c>
      <c r="G6" s="12">
        <v>2</v>
      </c>
      <c r="H6" s="13">
        <v>24</v>
      </c>
      <c r="I6" s="31">
        <v>174000</v>
      </c>
      <c r="J6" s="14">
        <v>2738</v>
      </c>
      <c r="K6" s="15">
        <f>L6+2384+8412+9776+8821+8774+10138+6972+8852+4388+11916+2738</f>
        <v>83171</v>
      </c>
      <c r="L6" s="15"/>
      <c r="M6" s="15">
        <f t="shared" ref="M6:M27" si="0">L6-N6</f>
        <v>0</v>
      </c>
      <c r="N6" s="15">
        <v>0</v>
      </c>
      <c r="O6" s="58" t="str">
        <f t="shared" ref="O6:O28" si="1">IF(L6=0,"0",N6/L6)</f>
        <v>0</v>
      </c>
      <c r="P6" s="39" t="str">
        <f t="shared" ref="P6:P27" si="2">IF(L6=0,"0",(24-Q6))</f>
        <v>0</v>
      </c>
      <c r="Q6" s="40">
        <f t="shared" ref="Q6:Q27" si="3">SUM(R6:AA6)</f>
        <v>24</v>
      </c>
      <c r="R6" s="7"/>
      <c r="S6" s="6">
        <v>24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0</v>
      </c>
      <c r="AC6" s="9">
        <f t="shared" ref="AC6:AC27" si="5">IF(P6=0,"0",(P6/24))</f>
        <v>0</v>
      </c>
      <c r="AD6" s="10">
        <f t="shared" ref="AD6:AD27" si="6">AC6*AB6*(1-O6)</f>
        <v>0</v>
      </c>
      <c r="AE6" s="36">
        <f t="shared" ref="AE6:AE27" si="7">$AD$28</f>
        <v>0.36742424242424243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143</v>
      </c>
      <c r="D7" s="52" t="s">
        <v>150</v>
      </c>
      <c r="E7" s="53" t="s">
        <v>338</v>
      </c>
      <c r="F7" s="30" t="s">
        <v>348</v>
      </c>
      <c r="G7" s="12">
        <v>2</v>
      </c>
      <c r="H7" s="13">
        <v>24</v>
      </c>
      <c r="I7" s="31">
        <v>30000</v>
      </c>
      <c r="J7" s="14">
        <v>632</v>
      </c>
      <c r="K7" s="15">
        <f>L7</f>
        <v>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>
        <v>24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0.36742424242424243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112</v>
      </c>
      <c r="D8" s="52" t="s">
        <v>115</v>
      </c>
      <c r="E8" s="53" t="s">
        <v>361</v>
      </c>
      <c r="F8" s="30" t="s">
        <v>131</v>
      </c>
      <c r="G8" s="12">
        <v>1</v>
      </c>
      <c r="H8" s="13">
        <v>24</v>
      </c>
      <c r="I8" s="7">
        <v>30000</v>
      </c>
      <c r="J8" s="14">
        <v>15564</v>
      </c>
      <c r="K8" s="15">
        <f>L8</f>
        <v>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0.36742424242424243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116</v>
      </c>
      <c r="D9" s="52" t="s">
        <v>150</v>
      </c>
      <c r="E9" s="53" t="s">
        <v>355</v>
      </c>
      <c r="F9" s="30" t="s">
        <v>301</v>
      </c>
      <c r="G9" s="12">
        <v>1</v>
      </c>
      <c r="H9" s="13">
        <v>24</v>
      </c>
      <c r="I9" s="7">
        <v>24000</v>
      </c>
      <c r="J9" s="14">
        <v>4426</v>
      </c>
      <c r="K9" s="15">
        <f>L9</f>
        <v>4426</v>
      </c>
      <c r="L9" s="15">
        <f>2043+2383</f>
        <v>4426</v>
      </c>
      <c r="M9" s="15">
        <f t="shared" si="0"/>
        <v>4426</v>
      </c>
      <c r="N9" s="15">
        <v>0</v>
      </c>
      <c r="O9" s="58">
        <f t="shared" si="1"/>
        <v>0</v>
      </c>
      <c r="P9" s="39">
        <f t="shared" si="2"/>
        <v>23</v>
      </c>
      <c r="Q9" s="40">
        <f t="shared" si="3"/>
        <v>1</v>
      </c>
      <c r="R9" s="7"/>
      <c r="S9" s="6"/>
      <c r="T9" s="16">
        <v>1</v>
      </c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0.95833333333333337</v>
      </c>
      <c r="AD9" s="10">
        <f t="shared" si="6"/>
        <v>0.95833333333333337</v>
      </c>
      <c r="AE9" s="36">
        <f t="shared" si="7"/>
        <v>0.36742424242424243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123</v>
      </c>
      <c r="E10" s="53" t="s">
        <v>322</v>
      </c>
      <c r="F10" s="30" t="s">
        <v>145</v>
      </c>
      <c r="G10" s="33">
        <v>1</v>
      </c>
      <c r="H10" s="35">
        <v>24</v>
      </c>
      <c r="I10" s="7">
        <v>300</v>
      </c>
      <c r="J10" s="14">
        <v>417</v>
      </c>
      <c r="K10" s="15">
        <f>L10+417</f>
        <v>417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/>
      <c r="X10" s="16"/>
      <c r="Y10" s="16"/>
      <c r="Z10" s="16"/>
      <c r="AA10" s="18">
        <v>24</v>
      </c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0.36742424242424243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116</v>
      </c>
      <c r="D11" s="52" t="s">
        <v>124</v>
      </c>
      <c r="E11" s="53" t="s">
        <v>323</v>
      </c>
      <c r="F11" s="30" t="s">
        <v>134</v>
      </c>
      <c r="G11" s="33">
        <v>1</v>
      </c>
      <c r="H11" s="35">
        <v>24</v>
      </c>
      <c r="I11" s="7">
        <v>50000</v>
      </c>
      <c r="J11" s="14">
        <v>2000</v>
      </c>
      <c r="K11" s="15">
        <f>L11</f>
        <v>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0.36742424242424243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126</v>
      </c>
      <c r="F12" s="30" t="s">
        <v>167</v>
      </c>
      <c r="G12" s="12">
        <v>1</v>
      </c>
      <c r="H12" s="13">
        <v>22</v>
      </c>
      <c r="I12" s="31">
        <v>100000</v>
      </c>
      <c r="J12" s="5">
        <v>5208</v>
      </c>
      <c r="K12" s="15">
        <f>L12+4676+4488+5126+5538+5283+5334+5466+5473+5483+5485+5319</f>
        <v>62879</v>
      </c>
      <c r="L12" s="15">
        <f>2495+2713</f>
        <v>5208</v>
      </c>
      <c r="M12" s="15">
        <f t="shared" si="0"/>
        <v>5208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0.36742424242424243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124</v>
      </c>
      <c r="E13" s="53" t="s">
        <v>168</v>
      </c>
      <c r="F13" s="30" t="s">
        <v>131</v>
      </c>
      <c r="G13" s="33">
        <v>1</v>
      </c>
      <c r="H13" s="35">
        <v>24</v>
      </c>
      <c r="I13" s="7">
        <v>6000</v>
      </c>
      <c r="J13" s="14">
        <v>4461</v>
      </c>
      <c r="K13" s="15">
        <f>L13</f>
        <v>4461</v>
      </c>
      <c r="L13" s="15">
        <f>1699+2762</f>
        <v>4461</v>
      </c>
      <c r="M13" s="15">
        <f t="shared" si="0"/>
        <v>4461</v>
      </c>
      <c r="N13" s="15">
        <v>0</v>
      </c>
      <c r="O13" s="58">
        <f t="shared" si="1"/>
        <v>0</v>
      </c>
      <c r="P13" s="39">
        <f t="shared" si="2"/>
        <v>21</v>
      </c>
      <c r="Q13" s="40">
        <f t="shared" si="3"/>
        <v>3</v>
      </c>
      <c r="R13" s="7"/>
      <c r="S13" s="6">
        <v>3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0.875</v>
      </c>
      <c r="AD13" s="10">
        <f t="shared" si="6"/>
        <v>0.875</v>
      </c>
      <c r="AE13" s="36">
        <f t="shared" si="7"/>
        <v>0.36742424242424243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156</v>
      </c>
      <c r="F14" s="30" t="s">
        <v>151</v>
      </c>
      <c r="G14" s="33">
        <v>1</v>
      </c>
      <c r="H14" s="35">
        <v>50</v>
      </c>
      <c r="I14" s="7">
        <v>2500</v>
      </c>
      <c r="J14" s="5">
        <v>800</v>
      </c>
      <c r="K14" s="15">
        <f>L14+893+982+1050+800</f>
        <v>3725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0.36742424242424243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123</v>
      </c>
      <c r="E15" s="53" t="s">
        <v>141</v>
      </c>
      <c r="F15" s="30" t="s">
        <v>135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0.36742424242424243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143</v>
      </c>
      <c r="D16" s="52" t="s">
        <v>115</v>
      </c>
      <c r="E16" s="53" t="s">
        <v>324</v>
      </c>
      <c r="F16" s="30" t="s">
        <v>362</v>
      </c>
      <c r="G16" s="12">
        <v>1</v>
      </c>
      <c r="H16" s="13">
        <v>24</v>
      </c>
      <c r="I16" s="7">
        <v>20000</v>
      </c>
      <c r="J16" s="14">
        <v>5554</v>
      </c>
      <c r="K16" s="15">
        <f>L16</f>
        <v>5554</v>
      </c>
      <c r="L16" s="15">
        <f>2675+2879</f>
        <v>5554</v>
      </c>
      <c r="M16" s="15">
        <f t="shared" si="0"/>
        <v>5554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0.36742424242424243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143</v>
      </c>
      <c r="D17" s="52" t="s">
        <v>150</v>
      </c>
      <c r="E17" s="53" t="s">
        <v>159</v>
      </c>
      <c r="F17" s="30" t="s">
        <v>154</v>
      </c>
      <c r="G17" s="12">
        <v>3</v>
      </c>
      <c r="H17" s="13">
        <v>24</v>
      </c>
      <c r="I17" s="7">
        <v>260000</v>
      </c>
      <c r="J17" s="14">
        <v>17901</v>
      </c>
      <c r="K17" s="15">
        <f>L17+16128+16857+16941+16140+15960+17466+17355+17745+17910+17925+2610+16239</f>
        <v>207177</v>
      </c>
      <c r="L17" s="15">
        <f>2875*3+3092*3</f>
        <v>17901</v>
      </c>
      <c r="M17" s="15">
        <f t="shared" si="0"/>
        <v>17901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0.36742424242424243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143</v>
      </c>
      <c r="D18" s="52" t="s">
        <v>349</v>
      </c>
      <c r="E18" s="53" t="s">
        <v>340</v>
      </c>
      <c r="F18" s="30" t="s">
        <v>350</v>
      </c>
      <c r="G18" s="33">
        <v>1</v>
      </c>
      <c r="H18" s="35">
        <v>24</v>
      </c>
      <c r="I18" s="7">
        <v>2000</v>
      </c>
      <c r="J18" s="14">
        <v>800</v>
      </c>
      <c r="K18" s="15">
        <f>L18</f>
        <v>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0.36742424242424243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142</v>
      </c>
      <c r="E19" s="53" t="s">
        <v>161</v>
      </c>
      <c r="F19" s="30" t="s">
        <v>134</v>
      </c>
      <c r="G19" s="33">
        <v>1</v>
      </c>
      <c r="H19" s="35">
        <v>24</v>
      </c>
      <c r="I19" s="7">
        <v>31000</v>
      </c>
      <c r="J19" s="14">
        <v>3503</v>
      </c>
      <c r="K19" s="15">
        <f>L19+5079+5307</f>
        <v>13889</v>
      </c>
      <c r="L19" s="15">
        <f>2398+1105</f>
        <v>3503</v>
      </c>
      <c r="M19" s="15">
        <f t="shared" si="0"/>
        <v>3503</v>
      </c>
      <c r="N19" s="15">
        <v>0</v>
      </c>
      <c r="O19" s="58">
        <f t="shared" si="1"/>
        <v>0</v>
      </c>
      <c r="P19" s="39">
        <f t="shared" si="2"/>
        <v>19</v>
      </c>
      <c r="Q19" s="40">
        <f t="shared" si="3"/>
        <v>5</v>
      </c>
      <c r="R19" s="7"/>
      <c r="S19" s="6">
        <v>5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0.79166666666666663</v>
      </c>
      <c r="AD19" s="10">
        <f t="shared" si="6"/>
        <v>0.79166666666666663</v>
      </c>
      <c r="AE19" s="36">
        <f t="shared" si="7"/>
        <v>0.36742424242424243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116</v>
      </c>
      <c r="D20" s="52" t="s">
        <v>115</v>
      </c>
      <c r="E20" s="53" t="s">
        <v>356</v>
      </c>
      <c r="F20" s="30" t="s">
        <v>122</v>
      </c>
      <c r="G20" s="12">
        <v>1</v>
      </c>
      <c r="H20" s="13">
        <v>24</v>
      </c>
      <c r="I20" s="7">
        <v>24000</v>
      </c>
      <c r="J20" s="14">
        <v>2446</v>
      </c>
      <c r="K20" s="15">
        <f>L20</f>
        <v>2446</v>
      </c>
      <c r="L20" s="15">
        <f>2446</f>
        <v>2446</v>
      </c>
      <c r="M20" s="15">
        <f t="shared" si="0"/>
        <v>2446</v>
      </c>
      <c r="N20" s="15">
        <v>0</v>
      </c>
      <c r="O20" s="58">
        <f t="shared" si="1"/>
        <v>0</v>
      </c>
      <c r="P20" s="39">
        <f t="shared" si="2"/>
        <v>14</v>
      </c>
      <c r="Q20" s="40">
        <f t="shared" si="3"/>
        <v>10</v>
      </c>
      <c r="R20" s="7"/>
      <c r="S20" s="6">
        <v>10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0.58333333333333337</v>
      </c>
      <c r="AD20" s="10">
        <f t="shared" si="6"/>
        <v>0.58333333333333337</v>
      </c>
      <c r="AE20" s="36">
        <f t="shared" si="7"/>
        <v>0.36742424242424243</v>
      </c>
      <c r="AF20" s="84">
        <f t="shared" si="8"/>
        <v>15</v>
      </c>
    </row>
    <row r="21" spans="1:32" ht="27" customHeight="1">
      <c r="A21" s="96">
        <v>16</v>
      </c>
      <c r="B21" s="11" t="s">
        <v>57</v>
      </c>
      <c r="C21" s="11" t="s">
        <v>113</v>
      </c>
      <c r="D21" s="52"/>
      <c r="E21" s="53" t="s">
        <v>139</v>
      </c>
      <c r="F21" s="12" t="s">
        <v>114</v>
      </c>
      <c r="G21" s="12">
        <v>3</v>
      </c>
      <c r="H21" s="35">
        <v>20</v>
      </c>
      <c r="I21" s="7">
        <v>1000000</v>
      </c>
      <c r="J21" s="14">
        <v>34220</v>
      </c>
      <c r="K21" s="15">
        <f t="shared" ref="K21" si="9">L21+62008+65280+66156+31132+60100+67104+64940+66996+38324+18548+31820+33244+32052+33372+27132+34220</f>
        <v>732428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0.36742424242424243</v>
      </c>
      <c r="AF21" s="84">
        <f t="shared" si="8"/>
        <v>16</v>
      </c>
    </row>
    <row r="22" spans="1:32" ht="27" customHeight="1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0.36742424242424243</v>
      </c>
      <c r="AF22" s="84">
        <f t="shared" si="8"/>
        <v>31</v>
      </c>
    </row>
    <row r="23" spans="1:32" ht="27" customHeight="1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0.36742424242424243</v>
      </c>
      <c r="AF23" s="84">
        <f t="shared" si="8"/>
        <v>32</v>
      </c>
    </row>
    <row r="24" spans="1:32" ht="27" customHeight="1">
      <c r="A24" s="96">
        <v>33</v>
      </c>
      <c r="B24" s="11" t="s">
        <v>57</v>
      </c>
      <c r="C24" s="11" t="s">
        <v>116</v>
      </c>
      <c r="D24" s="52" t="s">
        <v>150</v>
      </c>
      <c r="E24" s="53" t="s">
        <v>163</v>
      </c>
      <c r="F24" s="12" t="s">
        <v>145</v>
      </c>
      <c r="G24" s="12">
        <v>1</v>
      </c>
      <c r="H24" s="35">
        <v>20</v>
      </c>
      <c r="I24" s="7">
        <v>60000</v>
      </c>
      <c r="J24" s="14">
        <v>5806</v>
      </c>
      <c r="K24" s="15">
        <f>L24+4387+7770</f>
        <v>17963</v>
      </c>
      <c r="L24" s="15">
        <f>3406+2400</f>
        <v>5806</v>
      </c>
      <c r="M24" s="15">
        <f t="shared" si="0"/>
        <v>5806</v>
      </c>
      <c r="N24" s="15">
        <v>0</v>
      </c>
      <c r="O24" s="58">
        <f t="shared" si="1"/>
        <v>0</v>
      </c>
      <c r="P24" s="39">
        <f t="shared" si="2"/>
        <v>21</v>
      </c>
      <c r="Q24" s="40">
        <f t="shared" si="3"/>
        <v>3</v>
      </c>
      <c r="R24" s="7"/>
      <c r="S24" s="6">
        <v>3</v>
      </c>
      <c r="T24" s="16"/>
      <c r="U24" s="16"/>
      <c r="V24" s="206"/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0.875</v>
      </c>
      <c r="AD24" s="10">
        <f t="shared" si="6"/>
        <v>0.875</v>
      </c>
      <c r="AE24" s="36">
        <f t="shared" si="7"/>
        <v>0.36742424242424243</v>
      </c>
      <c r="AF24" s="84">
        <f t="shared" si="8"/>
        <v>33</v>
      </c>
    </row>
    <row r="25" spans="1:32" ht="27" customHeight="1">
      <c r="A25" s="96">
        <v>34</v>
      </c>
      <c r="B25" s="11" t="s">
        <v>57</v>
      </c>
      <c r="C25" s="11" t="s">
        <v>116</v>
      </c>
      <c r="D25" s="52" t="s">
        <v>150</v>
      </c>
      <c r="E25" s="53" t="s">
        <v>165</v>
      </c>
      <c r="F25" s="12" t="s">
        <v>135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206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0.36742424242424243</v>
      </c>
      <c r="AF25" s="84">
        <f t="shared" si="8"/>
        <v>34</v>
      </c>
    </row>
    <row r="26" spans="1:32" ht="27" customHeight="1">
      <c r="A26" s="96">
        <v>35</v>
      </c>
      <c r="B26" s="11" t="s">
        <v>57</v>
      </c>
      <c r="C26" s="11" t="s">
        <v>116</v>
      </c>
      <c r="D26" s="52" t="s">
        <v>123</v>
      </c>
      <c r="E26" s="53" t="s">
        <v>137</v>
      </c>
      <c r="F26" s="12" t="s">
        <v>135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206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0.36742424242424243</v>
      </c>
      <c r="AF26" s="84">
        <f t="shared" si="8"/>
        <v>35</v>
      </c>
    </row>
    <row r="27" spans="1:32" ht="27" customHeight="1" thickBot="1">
      <c r="A27" s="96">
        <v>36</v>
      </c>
      <c r="B27" s="11" t="s">
        <v>57</v>
      </c>
      <c r="C27" s="11" t="s">
        <v>116</v>
      </c>
      <c r="D27" s="52" t="s">
        <v>115</v>
      </c>
      <c r="E27" s="53" t="s">
        <v>166</v>
      </c>
      <c r="F27" s="12" t="s">
        <v>122</v>
      </c>
      <c r="G27" s="12">
        <v>4</v>
      </c>
      <c r="H27" s="35">
        <v>20</v>
      </c>
      <c r="I27" s="7">
        <v>240000</v>
      </c>
      <c r="J27" s="14">
        <v>28904</v>
      </c>
      <c r="K27" s="15">
        <f>L27+22152+26340+20956+26812+26716+8020+25080+22728+29132+18472+23996+23096</f>
        <v>302404</v>
      </c>
      <c r="L27" s="15">
        <f>3590*4+3090*4+546*4</f>
        <v>28904</v>
      </c>
      <c r="M27" s="15">
        <f t="shared" si="0"/>
        <v>28904</v>
      </c>
      <c r="N27" s="15">
        <v>0</v>
      </c>
      <c r="O27" s="58">
        <f t="shared" si="1"/>
        <v>0</v>
      </c>
      <c r="P27" s="39">
        <f t="shared" si="2"/>
        <v>24</v>
      </c>
      <c r="Q27" s="40">
        <f t="shared" si="3"/>
        <v>0</v>
      </c>
      <c r="R27" s="7"/>
      <c r="S27" s="6"/>
      <c r="T27" s="16"/>
      <c r="U27" s="16"/>
      <c r="V27" s="206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1</v>
      </c>
      <c r="AD27" s="10">
        <f t="shared" si="6"/>
        <v>1</v>
      </c>
      <c r="AE27" s="36">
        <f t="shared" si="7"/>
        <v>0.36742424242424243</v>
      </c>
      <c r="AF27" s="84">
        <f t="shared" si="8"/>
        <v>36</v>
      </c>
    </row>
    <row r="28" spans="1:32" ht="31.5" customHeight="1" thickBot="1">
      <c r="A28" s="464" t="s">
        <v>34</v>
      </c>
      <c r="B28" s="465"/>
      <c r="C28" s="465"/>
      <c r="D28" s="465"/>
      <c r="E28" s="465"/>
      <c r="F28" s="465"/>
      <c r="G28" s="465"/>
      <c r="H28" s="466"/>
      <c r="I28" s="22">
        <f t="shared" ref="I28:N28" si="10">SUM(I6:I27)</f>
        <v>2545800</v>
      </c>
      <c r="J28" s="19">
        <f t="shared" si="10"/>
        <v>169324</v>
      </c>
      <c r="K28" s="20">
        <f t="shared" si="10"/>
        <v>1992940</v>
      </c>
      <c r="L28" s="21">
        <f t="shared" si="10"/>
        <v>78209</v>
      </c>
      <c r="M28" s="20">
        <f t="shared" si="10"/>
        <v>78209</v>
      </c>
      <c r="N28" s="21">
        <f t="shared" si="10"/>
        <v>0</v>
      </c>
      <c r="O28" s="41">
        <f t="shared" si="1"/>
        <v>0</v>
      </c>
      <c r="P28" s="42">
        <f t="shared" ref="P28:AA28" si="11">SUM(P6:P27)</f>
        <v>194</v>
      </c>
      <c r="Q28" s="43">
        <f t="shared" si="11"/>
        <v>334</v>
      </c>
      <c r="R28" s="23">
        <f t="shared" si="11"/>
        <v>0</v>
      </c>
      <c r="S28" s="24">
        <f t="shared" si="11"/>
        <v>117</v>
      </c>
      <c r="T28" s="24">
        <f t="shared" si="11"/>
        <v>1</v>
      </c>
      <c r="U28" s="24">
        <f t="shared" si="11"/>
        <v>0</v>
      </c>
      <c r="V28" s="25">
        <f t="shared" si="11"/>
        <v>72</v>
      </c>
      <c r="W28" s="26">
        <f t="shared" si="11"/>
        <v>96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48</v>
      </c>
      <c r="AB28" s="28">
        <f>AVERAGE(AB6:AB27)</f>
        <v>0.45</v>
      </c>
      <c r="AC28" s="4">
        <f>AVERAGE(AC6:AC27)</f>
        <v>0.36742424242424243</v>
      </c>
      <c r="AD28" s="4">
        <f>AVERAGE(AD6:AD27)</f>
        <v>0.36742424242424243</v>
      </c>
      <c r="AE28" s="29"/>
    </row>
    <row r="29" spans="1:32">
      <c r="T29" s="50" t="s">
        <v>157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160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67" t="s">
        <v>45</v>
      </c>
      <c r="B55" s="467"/>
      <c r="C55" s="467"/>
      <c r="D55" s="467"/>
      <c r="E55" s="467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68" t="s">
        <v>363</v>
      </c>
      <c r="B56" s="469"/>
      <c r="C56" s="469"/>
      <c r="D56" s="469"/>
      <c r="E56" s="469"/>
      <c r="F56" s="469"/>
      <c r="G56" s="469"/>
      <c r="H56" s="469"/>
      <c r="I56" s="469"/>
      <c r="J56" s="469"/>
      <c r="K56" s="469"/>
      <c r="L56" s="469"/>
      <c r="M56" s="470"/>
      <c r="N56" s="471" t="s">
        <v>366</v>
      </c>
      <c r="O56" s="472"/>
      <c r="P56" s="472"/>
      <c r="Q56" s="472"/>
      <c r="R56" s="472"/>
      <c r="S56" s="472"/>
      <c r="T56" s="472"/>
      <c r="U56" s="472"/>
      <c r="V56" s="472"/>
      <c r="W56" s="472"/>
      <c r="X56" s="472"/>
      <c r="Y56" s="472"/>
      <c r="Z56" s="472"/>
      <c r="AA56" s="472"/>
      <c r="AB56" s="472"/>
      <c r="AC56" s="472"/>
      <c r="AD56" s="473"/>
    </row>
    <row r="57" spans="1:32" ht="27" customHeight="1">
      <c r="A57" s="474" t="s">
        <v>2</v>
      </c>
      <c r="B57" s="475"/>
      <c r="C57" s="247" t="s">
        <v>46</v>
      </c>
      <c r="D57" s="247" t="s">
        <v>47</v>
      </c>
      <c r="E57" s="247" t="s">
        <v>107</v>
      </c>
      <c r="F57" s="476" t="s">
        <v>106</v>
      </c>
      <c r="G57" s="477"/>
      <c r="H57" s="477"/>
      <c r="I57" s="477"/>
      <c r="J57" s="477"/>
      <c r="K57" s="477"/>
      <c r="L57" s="477"/>
      <c r="M57" s="478"/>
      <c r="N57" s="67" t="s">
        <v>110</v>
      </c>
      <c r="O57" s="247" t="s">
        <v>46</v>
      </c>
      <c r="P57" s="476" t="s">
        <v>47</v>
      </c>
      <c r="Q57" s="479"/>
      <c r="R57" s="476" t="s">
        <v>38</v>
      </c>
      <c r="S57" s="477"/>
      <c r="T57" s="477"/>
      <c r="U57" s="479"/>
      <c r="V57" s="476" t="s">
        <v>48</v>
      </c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500" t="s">
        <v>116</v>
      </c>
      <c r="B58" s="501"/>
      <c r="C58" s="250" t="s">
        <v>198</v>
      </c>
      <c r="D58" s="250" t="s">
        <v>140</v>
      </c>
      <c r="E58" s="249" t="s">
        <v>323</v>
      </c>
      <c r="F58" s="492" t="s">
        <v>364</v>
      </c>
      <c r="G58" s="493"/>
      <c r="H58" s="493"/>
      <c r="I58" s="493"/>
      <c r="J58" s="493"/>
      <c r="K58" s="493"/>
      <c r="L58" s="493"/>
      <c r="M58" s="494"/>
      <c r="N58" s="248" t="s">
        <v>116</v>
      </c>
      <c r="O58" s="255" t="s">
        <v>132</v>
      </c>
      <c r="P58" s="495" t="s">
        <v>130</v>
      </c>
      <c r="Q58" s="496"/>
      <c r="R58" s="495" t="s">
        <v>158</v>
      </c>
      <c r="S58" s="497"/>
      <c r="T58" s="497"/>
      <c r="U58" s="496"/>
      <c r="V58" s="498" t="s">
        <v>120</v>
      </c>
      <c r="W58" s="498"/>
      <c r="X58" s="498"/>
      <c r="Y58" s="498"/>
      <c r="Z58" s="498"/>
      <c r="AA58" s="498"/>
      <c r="AB58" s="498"/>
      <c r="AC58" s="498"/>
      <c r="AD58" s="499"/>
    </row>
    <row r="59" spans="1:32" ht="27" customHeight="1">
      <c r="A59" s="500" t="s">
        <v>241</v>
      </c>
      <c r="B59" s="501"/>
      <c r="C59" s="250" t="s">
        <v>169</v>
      </c>
      <c r="D59" s="250"/>
      <c r="E59" s="249" t="s">
        <v>240</v>
      </c>
      <c r="F59" s="492" t="s">
        <v>352</v>
      </c>
      <c r="G59" s="493"/>
      <c r="H59" s="493"/>
      <c r="I59" s="493"/>
      <c r="J59" s="493"/>
      <c r="K59" s="493"/>
      <c r="L59" s="493"/>
      <c r="M59" s="494"/>
      <c r="N59" s="248" t="s">
        <v>143</v>
      </c>
      <c r="O59" s="255" t="s">
        <v>169</v>
      </c>
      <c r="P59" s="495" t="s">
        <v>150</v>
      </c>
      <c r="Q59" s="496"/>
      <c r="R59" s="495" t="s">
        <v>338</v>
      </c>
      <c r="S59" s="497"/>
      <c r="T59" s="497"/>
      <c r="U59" s="496"/>
      <c r="V59" s="498" t="s">
        <v>120</v>
      </c>
      <c r="W59" s="498"/>
      <c r="X59" s="498"/>
      <c r="Y59" s="498"/>
      <c r="Z59" s="498"/>
      <c r="AA59" s="498"/>
      <c r="AB59" s="498"/>
      <c r="AC59" s="498"/>
      <c r="AD59" s="499"/>
    </row>
    <row r="60" spans="1:32" ht="27" customHeight="1">
      <c r="A60" s="500" t="s">
        <v>116</v>
      </c>
      <c r="B60" s="501"/>
      <c r="C60" s="250" t="s">
        <v>175</v>
      </c>
      <c r="D60" s="250" t="s">
        <v>150</v>
      </c>
      <c r="E60" s="249" t="s">
        <v>355</v>
      </c>
      <c r="F60" s="492" t="s">
        <v>125</v>
      </c>
      <c r="G60" s="493"/>
      <c r="H60" s="493"/>
      <c r="I60" s="493"/>
      <c r="J60" s="493"/>
      <c r="K60" s="493"/>
      <c r="L60" s="493"/>
      <c r="M60" s="494"/>
      <c r="N60" s="248" t="s">
        <v>116</v>
      </c>
      <c r="O60" s="255" t="s">
        <v>198</v>
      </c>
      <c r="P60" s="495" t="s">
        <v>140</v>
      </c>
      <c r="Q60" s="496"/>
      <c r="R60" s="495" t="s">
        <v>323</v>
      </c>
      <c r="S60" s="497"/>
      <c r="T60" s="497"/>
      <c r="U60" s="496"/>
      <c r="V60" s="498" t="s">
        <v>120</v>
      </c>
      <c r="W60" s="498"/>
      <c r="X60" s="498"/>
      <c r="Y60" s="498"/>
      <c r="Z60" s="498"/>
      <c r="AA60" s="498"/>
      <c r="AB60" s="498"/>
      <c r="AC60" s="498"/>
      <c r="AD60" s="499"/>
    </row>
    <row r="61" spans="1:32" ht="27" customHeight="1">
      <c r="A61" s="500" t="s">
        <v>112</v>
      </c>
      <c r="B61" s="501"/>
      <c r="C61" s="250" t="s">
        <v>259</v>
      </c>
      <c r="D61" s="250" t="s">
        <v>140</v>
      </c>
      <c r="E61" s="249" t="s">
        <v>168</v>
      </c>
      <c r="F61" s="492" t="s">
        <v>335</v>
      </c>
      <c r="G61" s="493"/>
      <c r="H61" s="493"/>
      <c r="I61" s="493"/>
      <c r="J61" s="493"/>
      <c r="K61" s="493"/>
      <c r="L61" s="493"/>
      <c r="M61" s="494"/>
      <c r="N61" s="248" t="s">
        <v>143</v>
      </c>
      <c r="O61" s="255" t="s">
        <v>286</v>
      </c>
      <c r="P61" s="495"/>
      <c r="Q61" s="496"/>
      <c r="R61" s="495" t="s">
        <v>340</v>
      </c>
      <c r="S61" s="497"/>
      <c r="T61" s="497"/>
      <c r="U61" s="496"/>
      <c r="V61" s="498" t="s">
        <v>120</v>
      </c>
      <c r="W61" s="498"/>
      <c r="X61" s="498"/>
      <c r="Y61" s="498"/>
      <c r="Z61" s="498"/>
      <c r="AA61" s="498"/>
      <c r="AB61" s="498"/>
      <c r="AC61" s="498"/>
      <c r="AD61" s="499"/>
    </row>
    <row r="62" spans="1:32" ht="27" customHeight="1">
      <c r="A62" s="500" t="s">
        <v>116</v>
      </c>
      <c r="B62" s="501"/>
      <c r="C62" s="250" t="s">
        <v>129</v>
      </c>
      <c r="D62" s="250" t="s">
        <v>115</v>
      </c>
      <c r="E62" s="249" t="s">
        <v>356</v>
      </c>
      <c r="F62" s="492" t="s">
        <v>333</v>
      </c>
      <c r="G62" s="493"/>
      <c r="H62" s="493"/>
      <c r="I62" s="493"/>
      <c r="J62" s="493"/>
      <c r="K62" s="493"/>
      <c r="L62" s="493"/>
      <c r="M62" s="494"/>
      <c r="N62" s="248" t="s">
        <v>112</v>
      </c>
      <c r="O62" s="255" t="s">
        <v>221</v>
      </c>
      <c r="P62" s="495" t="s">
        <v>142</v>
      </c>
      <c r="Q62" s="496"/>
      <c r="R62" s="495" t="s">
        <v>161</v>
      </c>
      <c r="S62" s="497"/>
      <c r="T62" s="497"/>
      <c r="U62" s="496"/>
      <c r="V62" s="498" t="s">
        <v>120</v>
      </c>
      <c r="W62" s="498"/>
      <c r="X62" s="498"/>
      <c r="Y62" s="498"/>
      <c r="Z62" s="498"/>
      <c r="AA62" s="498"/>
      <c r="AB62" s="498"/>
      <c r="AC62" s="498"/>
      <c r="AD62" s="499"/>
    </row>
    <row r="63" spans="1:32" ht="27" customHeight="1">
      <c r="A63" s="500" t="s">
        <v>116</v>
      </c>
      <c r="B63" s="501"/>
      <c r="C63" s="250" t="s">
        <v>365</v>
      </c>
      <c r="D63" s="250" t="s">
        <v>150</v>
      </c>
      <c r="E63" s="249" t="s">
        <v>163</v>
      </c>
      <c r="F63" s="492" t="s">
        <v>238</v>
      </c>
      <c r="G63" s="493"/>
      <c r="H63" s="493"/>
      <c r="I63" s="493"/>
      <c r="J63" s="493"/>
      <c r="K63" s="493"/>
      <c r="L63" s="493"/>
      <c r="M63" s="494"/>
      <c r="N63" s="248" t="s">
        <v>112</v>
      </c>
      <c r="O63" s="255" t="s">
        <v>206</v>
      </c>
      <c r="P63" s="495" t="s">
        <v>115</v>
      </c>
      <c r="Q63" s="496"/>
      <c r="R63" s="495" t="s">
        <v>369</v>
      </c>
      <c r="S63" s="497"/>
      <c r="T63" s="497"/>
      <c r="U63" s="496"/>
      <c r="V63" s="498" t="s">
        <v>125</v>
      </c>
      <c r="W63" s="498"/>
      <c r="X63" s="498"/>
      <c r="Y63" s="498"/>
      <c r="Z63" s="498"/>
      <c r="AA63" s="498"/>
      <c r="AB63" s="498"/>
      <c r="AC63" s="498"/>
      <c r="AD63" s="499"/>
    </row>
    <row r="64" spans="1:32" ht="27" customHeight="1">
      <c r="A64" s="490" t="s">
        <v>143</v>
      </c>
      <c r="B64" s="491"/>
      <c r="C64" s="249" t="s">
        <v>239</v>
      </c>
      <c r="D64" s="249" t="s">
        <v>115</v>
      </c>
      <c r="E64" s="249" t="s">
        <v>324</v>
      </c>
      <c r="F64" s="492" t="s">
        <v>367</v>
      </c>
      <c r="G64" s="493"/>
      <c r="H64" s="493"/>
      <c r="I64" s="493"/>
      <c r="J64" s="493"/>
      <c r="K64" s="493"/>
      <c r="L64" s="493"/>
      <c r="M64" s="494"/>
      <c r="N64" s="248" t="s">
        <v>112</v>
      </c>
      <c r="O64" s="255" t="s">
        <v>193</v>
      </c>
      <c r="P64" s="495" t="s">
        <v>115</v>
      </c>
      <c r="Q64" s="496"/>
      <c r="R64" s="495" t="s">
        <v>361</v>
      </c>
      <c r="S64" s="497"/>
      <c r="T64" s="497"/>
      <c r="U64" s="496"/>
      <c r="V64" s="498" t="s">
        <v>120</v>
      </c>
      <c r="W64" s="498"/>
      <c r="X64" s="498"/>
      <c r="Y64" s="498"/>
      <c r="Z64" s="498"/>
      <c r="AA64" s="498"/>
      <c r="AB64" s="498"/>
      <c r="AC64" s="498"/>
      <c r="AD64" s="499"/>
    </row>
    <row r="65" spans="1:32" ht="27" customHeight="1">
      <c r="A65" s="500" t="s">
        <v>112</v>
      </c>
      <c r="B65" s="501"/>
      <c r="C65" s="250" t="s">
        <v>221</v>
      </c>
      <c r="D65" s="250" t="s">
        <v>142</v>
      </c>
      <c r="E65" s="249" t="s">
        <v>161</v>
      </c>
      <c r="F65" s="492" t="s">
        <v>368</v>
      </c>
      <c r="G65" s="493"/>
      <c r="H65" s="493"/>
      <c r="I65" s="493"/>
      <c r="J65" s="493"/>
      <c r="K65" s="493"/>
      <c r="L65" s="493"/>
      <c r="M65" s="494"/>
      <c r="N65" s="248"/>
      <c r="O65" s="255"/>
      <c r="P65" s="495"/>
      <c r="Q65" s="496"/>
      <c r="R65" s="495"/>
      <c r="S65" s="497"/>
      <c r="T65" s="497"/>
      <c r="U65" s="496"/>
      <c r="V65" s="498"/>
      <c r="W65" s="498"/>
      <c r="X65" s="498"/>
      <c r="Y65" s="498"/>
      <c r="Z65" s="498"/>
      <c r="AA65" s="498"/>
      <c r="AB65" s="498"/>
      <c r="AC65" s="498"/>
      <c r="AD65" s="499"/>
    </row>
    <row r="66" spans="1:32" ht="27" customHeight="1">
      <c r="A66" s="500" t="s">
        <v>112</v>
      </c>
      <c r="B66" s="501"/>
      <c r="C66" s="250" t="s">
        <v>193</v>
      </c>
      <c r="D66" s="250" t="s">
        <v>115</v>
      </c>
      <c r="E66" s="249" t="s">
        <v>361</v>
      </c>
      <c r="F66" s="492" t="s">
        <v>370</v>
      </c>
      <c r="G66" s="493"/>
      <c r="H66" s="493"/>
      <c r="I66" s="493"/>
      <c r="J66" s="493"/>
      <c r="K66" s="493"/>
      <c r="L66" s="493"/>
      <c r="M66" s="494"/>
      <c r="N66" s="248"/>
      <c r="O66" s="255"/>
      <c r="P66" s="491"/>
      <c r="Q66" s="491"/>
      <c r="R66" s="491"/>
      <c r="S66" s="491"/>
      <c r="T66" s="491"/>
      <c r="U66" s="491"/>
      <c r="V66" s="498"/>
      <c r="W66" s="498"/>
      <c r="X66" s="498"/>
      <c r="Y66" s="498"/>
      <c r="Z66" s="498"/>
      <c r="AA66" s="498"/>
      <c r="AB66" s="498"/>
      <c r="AC66" s="498"/>
      <c r="AD66" s="499"/>
      <c r="AF66" s="84">
        <f>8*3000</f>
        <v>24000</v>
      </c>
    </row>
    <row r="67" spans="1:32" ht="27" customHeight="1" thickBot="1">
      <c r="A67" s="502"/>
      <c r="B67" s="503"/>
      <c r="C67" s="251"/>
      <c r="D67" s="252"/>
      <c r="E67" s="251"/>
      <c r="F67" s="504"/>
      <c r="G67" s="505"/>
      <c r="H67" s="505"/>
      <c r="I67" s="505"/>
      <c r="J67" s="505"/>
      <c r="K67" s="505"/>
      <c r="L67" s="505"/>
      <c r="M67" s="506"/>
      <c r="N67" s="111"/>
      <c r="O67" s="103"/>
      <c r="P67" s="507"/>
      <c r="Q67" s="507"/>
      <c r="R67" s="507"/>
      <c r="S67" s="507"/>
      <c r="T67" s="507"/>
      <c r="U67" s="507"/>
      <c r="V67" s="508"/>
      <c r="W67" s="508"/>
      <c r="X67" s="508"/>
      <c r="Y67" s="508"/>
      <c r="Z67" s="508"/>
      <c r="AA67" s="508"/>
      <c r="AB67" s="508"/>
      <c r="AC67" s="508"/>
      <c r="AD67" s="509"/>
      <c r="AF67" s="84">
        <f>16*3000</f>
        <v>48000</v>
      </c>
    </row>
    <row r="68" spans="1:32" ht="27.75" thickBot="1">
      <c r="A68" s="510" t="s">
        <v>371</v>
      </c>
      <c r="B68" s="510"/>
      <c r="C68" s="510"/>
      <c r="D68" s="510"/>
      <c r="E68" s="51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11" t="s">
        <v>111</v>
      </c>
      <c r="B69" s="512"/>
      <c r="C69" s="253" t="s">
        <v>2</v>
      </c>
      <c r="D69" s="253" t="s">
        <v>37</v>
      </c>
      <c r="E69" s="253" t="s">
        <v>3</v>
      </c>
      <c r="F69" s="512" t="s">
        <v>109</v>
      </c>
      <c r="G69" s="512"/>
      <c r="H69" s="512"/>
      <c r="I69" s="512"/>
      <c r="J69" s="512"/>
      <c r="K69" s="512" t="s">
        <v>39</v>
      </c>
      <c r="L69" s="512"/>
      <c r="M69" s="253" t="s">
        <v>40</v>
      </c>
      <c r="N69" s="512" t="s">
        <v>41</v>
      </c>
      <c r="O69" s="512"/>
      <c r="P69" s="513" t="s">
        <v>42</v>
      </c>
      <c r="Q69" s="514"/>
      <c r="R69" s="513" t="s">
        <v>43</v>
      </c>
      <c r="S69" s="515"/>
      <c r="T69" s="515"/>
      <c r="U69" s="515"/>
      <c r="V69" s="515"/>
      <c r="W69" s="515"/>
      <c r="X69" s="515"/>
      <c r="Y69" s="515"/>
      <c r="Z69" s="515"/>
      <c r="AA69" s="514"/>
      <c r="AB69" s="512" t="s">
        <v>44</v>
      </c>
      <c r="AC69" s="512"/>
      <c r="AD69" s="516"/>
      <c r="AF69" s="84">
        <f>SUM(AF66:AF68)</f>
        <v>96000</v>
      </c>
    </row>
    <row r="70" spans="1:32" ht="25.5" customHeight="1">
      <c r="A70" s="517">
        <v>1</v>
      </c>
      <c r="B70" s="518"/>
      <c r="C70" s="104" t="s">
        <v>143</v>
      </c>
      <c r="D70" s="257"/>
      <c r="E70" s="254" t="s">
        <v>150</v>
      </c>
      <c r="F70" s="519" t="s">
        <v>372</v>
      </c>
      <c r="G70" s="520"/>
      <c r="H70" s="520"/>
      <c r="I70" s="520"/>
      <c r="J70" s="521"/>
      <c r="K70" s="522" t="s">
        <v>154</v>
      </c>
      <c r="L70" s="522"/>
      <c r="M70" s="51" t="s">
        <v>178</v>
      </c>
      <c r="N70" s="523" t="s">
        <v>169</v>
      </c>
      <c r="O70" s="523"/>
      <c r="P70" s="524">
        <v>100</v>
      </c>
      <c r="Q70" s="524"/>
      <c r="R70" s="498"/>
      <c r="S70" s="498"/>
      <c r="T70" s="498"/>
      <c r="U70" s="498"/>
      <c r="V70" s="498"/>
      <c r="W70" s="498"/>
      <c r="X70" s="498"/>
      <c r="Y70" s="498"/>
      <c r="Z70" s="498"/>
      <c r="AA70" s="498"/>
      <c r="AB70" s="522"/>
      <c r="AC70" s="522"/>
      <c r="AD70" s="525"/>
      <c r="AF70" s="50"/>
    </row>
    <row r="71" spans="1:32" ht="25.5" customHeight="1">
      <c r="A71" s="517">
        <v>2</v>
      </c>
      <c r="B71" s="518"/>
      <c r="C71" s="104" t="s">
        <v>143</v>
      </c>
      <c r="D71" s="257"/>
      <c r="E71" s="254" t="s">
        <v>150</v>
      </c>
      <c r="F71" s="519" t="s">
        <v>373</v>
      </c>
      <c r="G71" s="520"/>
      <c r="H71" s="520"/>
      <c r="I71" s="520"/>
      <c r="J71" s="521"/>
      <c r="K71" s="522" t="s">
        <v>154</v>
      </c>
      <c r="L71" s="522"/>
      <c r="M71" s="51" t="s">
        <v>178</v>
      </c>
      <c r="N71" s="523" t="s">
        <v>169</v>
      </c>
      <c r="O71" s="523"/>
      <c r="P71" s="524">
        <v>100</v>
      </c>
      <c r="Q71" s="524"/>
      <c r="R71" s="498"/>
      <c r="S71" s="498"/>
      <c r="T71" s="498"/>
      <c r="U71" s="498"/>
      <c r="V71" s="498"/>
      <c r="W71" s="498"/>
      <c r="X71" s="498"/>
      <c r="Y71" s="498"/>
      <c r="Z71" s="498"/>
      <c r="AA71" s="498"/>
      <c r="AB71" s="522"/>
      <c r="AC71" s="522"/>
      <c r="AD71" s="525"/>
      <c r="AF71" s="50"/>
    </row>
    <row r="72" spans="1:32" ht="25.5" customHeight="1">
      <c r="A72" s="517">
        <v>3</v>
      </c>
      <c r="B72" s="518"/>
      <c r="C72" s="104" t="s">
        <v>112</v>
      </c>
      <c r="D72" s="257"/>
      <c r="E72" s="254" t="s">
        <v>130</v>
      </c>
      <c r="F72" s="519" t="s">
        <v>374</v>
      </c>
      <c r="G72" s="520"/>
      <c r="H72" s="520"/>
      <c r="I72" s="520"/>
      <c r="J72" s="521"/>
      <c r="K72" s="522" t="s">
        <v>147</v>
      </c>
      <c r="L72" s="522"/>
      <c r="M72" s="51" t="s">
        <v>375</v>
      </c>
      <c r="N72" s="523" t="s">
        <v>169</v>
      </c>
      <c r="O72" s="523"/>
      <c r="P72" s="524">
        <v>250</v>
      </c>
      <c r="Q72" s="524"/>
      <c r="R72" s="498"/>
      <c r="S72" s="498"/>
      <c r="T72" s="498"/>
      <c r="U72" s="498"/>
      <c r="V72" s="498"/>
      <c r="W72" s="498"/>
      <c r="X72" s="498"/>
      <c r="Y72" s="498"/>
      <c r="Z72" s="498"/>
      <c r="AA72" s="498"/>
      <c r="AB72" s="522"/>
      <c r="AC72" s="522"/>
      <c r="AD72" s="525"/>
      <c r="AF72" s="50"/>
    </row>
    <row r="73" spans="1:32" ht="25.5" customHeight="1">
      <c r="A73" s="517">
        <v>4</v>
      </c>
      <c r="B73" s="518"/>
      <c r="C73" s="104" t="s">
        <v>112</v>
      </c>
      <c r="D73" s="257"/>
      <c r="E73" s="254" t="s">
        <v>317</v>
      </c>
      <c r="F73" s="519" t="s">
        <v>376</v>
      </c>
      <c r="G73" s="520"/>
      <c r="H73" s="520"/>
      <c r="I73" s="520"/>
      <c r="J73" s="521"/>
      <c r="K73" s="522" t="s">
        <v>145</v>
      </c>
      <c r="L73" s="522"/>
      <c r="M73" s="51" t="s">
        <v>375</v>
      </c>
      <c r="N73" s="523" t="s">
        <v>277</v>
      </c>
      <c r="O73" s="523"/>
      <c r="P73" s="524">
        <v>500</v>
      </c>
      <c r="Q73" s="524"/>
      <c r="R73" s="498"/>
      <c r="S73" s="498"/>
      <c r="T73" s="498"/>
      <c r="U73" s="498"/>
      <c r="V73" s="498"/>
      <c r="W73" s="498"/>
      <c r="X73" s="498"/>
      <c r="Y73" s="498"/>
      <c r="Z73" s="498"/>
      <c r="AA73" s="498"/>
      <c r="AB73" s="522"/>
      <c r="AC73" s="522"/>
      <c r="AD73" s="525"/>
      <c r="AF73" s="50"/>
    </row>
    <row r="74" spans="1:32" ht="25.5" customHeight="1">
      <c r="A74" s="517">
        <v>5</v>
      </c>
      <c r="B74" s="518"/>
      <c r="C74" s="104" t="s">
        <v>112</v>
      </c>
      <c r="D74" s="257"/>
      <c r="E74" s="254" t="s">
        <v>115</v>
      </c>
      <c r="F74" s="519" t="s">
        <v>294</v>
      </c>
      <c r="G74" s="520"/>
      <c r="H74" s="520"/>
      <c r="I74" s="520"/>
      <c r="J74" s="521"/>
      <c r="K74" s="522" t="s">
        <v>227</v>
      </c>
      <c r="L74" s="522"/>
      <c r="M74" s="51" t="s">
        <v>205</v>
      </c>
      <c r="N74" s="523" t="s">
        <v>286</v>
      </c>
      <c r="O74" s="523"/>
      <c r="P74" s="524">
        <v>50</v>
      </c>
      <c r="Q74" s="524"/>
      <c r="R74" s="498"/>
      <c r="S74" s="498"/>
      <c r="T74" s="498"/>
      <c r="U74" s="498"/>
      <c r="V74" s="498"/>
      <c r="W74" s="498"/>
      <c r="X74" s="498"/>
      <c r="Y74" s="498"/>
      <c r="Z74" s="498"/>
      <c r="AA74" s="498"/>
      <c r="AB74" s="522"/>
      <c r="AC74" s="522"/>
      <c r="AD74" s="525"/>
      <c r="AF74" s="50"/>
    </row>
    <row r="75" spans="1:32" ht="25.5" customHeight="1">
      <c r="A75" s="517">
        <v>6</v>
      </c>
      <c r="B75" s="518"/>
      <c r="C75" s="104" t="s">
        <v>112</v>
      </c>
      <c r="D75" s="257"/>
      <c r="E75" s="254" t="s">
        <v>317</v>
      </c>
      <c r="F75" s="519" t="s">
        <v>316</v>
      </c>
      <c r="G75" s="520"/>
      <c r="H75" s="520"/>
      <c r="I75" s="520"/>
      <c r="J75" s="521"/>
      <c r="K75" s="522" t="s">
        <v>145</v>
      </c>
      <c r="L75" s="522"/>
      <c r="M75" s="51" t="s">
        <v>178</v>
      </c>
      <c r="N75" s="523" t="s">
        <v>286</v>
      </c>
      <c r="O75" s="523"/>
      <c r="P75" s="524">
        <v>800</v>
      </c>
      <c r="Q75" s="524"/>
      <c r="R75" s="498"/>
      <c r="S75" s="498"/>
      <c r="T75" s="498"/>
      <c r="U75" s="498"/>
      <c r="V75" s="498"/>
      <c r="W75" s="498"/>
      <c r="X75" s="498"/>
      <c r="Y75" s="498"/>
      <c r="Z75" s="498"/>
      <c r="AA75" s="498"/>
      <c r="AB75" s="522"/>
      <c r="AC75" s="522"/>
      <c r="AD75" s="525"/>
      <c r="AF75" s="50"/>
    </row>
    <row r="76" spans="1:32" ht="25.5" customHeight="1">
      <c r="A76" s="517">
        <v>7</v>
      </c>
      <c r="B76" s="518"/>
      <c r="C76" s="104"/>
      <c r="D76" s="257"/>
      <c r="E76" s="254"/>
      <c r="F76" s="519"/>
      <c r="G76" s="520"/>
      <c r="H76" s="520"/>
      <c r="I76" s="520"/>
      <c r="J76" s="521"/>
      <c r="K76" s="522"/>
      <c r="L76" s="522"/>
      <c r="M76" s="51"/>
      <c r="N76" s="523"/>
      <c r="O76" s="523"/>
      <c r="P76" s="524"/>
      <c r="Q76" s="524"/>
      <c r="R76" s="498"/>
      <c r="S76" s="498"/>
      <c r="T76" s="498"/>
      <c r="U76" s="498"/>
      <c r="V76" s="498"/>
      <c r="W76" s="498"/>
      <c r="X76" s="498"/>
      <c r="Y76" s="498"/>
      <c r="Z76" s="498"/>
      <c r="AA76" s="498"/>
      <c r="AB76" s="522"/>
      <c r="AC76" s="522"/>
      <c r="AD76" s="525"/>
      <c r="AF76" s="50"/>
    </row>
    <row r="77" spans="1:32" ht="25.5" customHeight="1">
      <c r="A77" s="517">
        <v>8</v>
      </c>
      <c r="B77" s="518"/>
      <c r="C77" s="104"/>
      <c r="D77" s="257"/>
      <c r="E77" s="254"/>
      <c r="F77" s="526"/>
      <c r="G77" s="522"/>
      <c r="H77" s="522"/>
      <c r="I77" s="522"/>
      <c r="J77" s="522"/>
      <c r="K77" s="522"/>
      <c r="L77" s="522"/>
      <c r="M77" s="51"/>
      <c r="N77" s="523"/>
      <c r="O77" s="523"/>
      <c r="P77" s="524"/>
      <c r="Q77" s="524"/>
      <c r="R77" s="498"/>
      <c r="S77" s="498"/>
      <c r="T77" s="498"/>
      <c r="U77" s="498"/>
      <c r="V77" s="498"/>
      <c r="W77" s="498"/>
      <c r="X77" s="498"/>
      <c r="Y77" s="498"/>
      <c r="Z77" s="498"/>
      <c r="AA77" s="498"/>
      <c r="AB77" s="522"/>
      <c r="AC77" s="522"/>
      <c r="AD77" s="525"/>
      <c r="AF77" s="50"/>
    </row>
    <row r="78" spans="1:32" ht="25.5" customHeight="1">
      <c r="A78" s="517">
        <v>9</v>
      </c>
      <c r="B78" s="518"/>
      <c r="C78" s="104"/>
      <c r="D78" s="257"/>
      <c r="E78" s="254"/>
      <c r="F78" s="526"/>
      <c r="G78" s="522"/>
      <c r="H78" s="522"/>
      <c r="I78" s="522"/>
      <c r="J78" s="522"/>
      <c r="K78" s="522"/>
      <c r="L78" s="522"/>
      <c r="M78" s="51"/>
      <c r="N78" s="523"/>
      <c r="O78" s="523"/>
      <c r="P78" s="524"/>
      <c r="Q78" s="524"/>
      <c r="R78" s="498"/>
      <c r="S78" s="498"/>
      <c r="T78" s="498"/>
      <c r="U78" s="498"/>
      <c r="V78" s="498"/>
      <c r="W78" s="498"/>
      <c r="X78" s="498"/>
      <c r="Y78" s="498"/>
      <c r="Z78" s="498"/>
      <c r="AA78" s="498"/>
      <c r="AB78" s="522"/>
      <c r="AC78" s="522"/>
      <c r="AD78" s="525"/>
      <c r="AF78" s="50"/>
    </row>
    <row r="79" spans="1:32" ht="25.5" customHeight="1">
      <c r="A79" s="517">
        <v>10</v>
      </c>
      <c r="B79" s="518"/>
      <c r="C79" s="104"/>
      <c r="D79" s="257"/>
      <c r="E79" s="254"/>
      <c r="F79" s="526"/>
      <c r="G79" s="522"/>
      <c r="H79" s="522"/>
      <c r="I79" s="522"/>
      <c r="J79" s="522"/>
      <c r="K79" s="522"/>
      <c r="L79" s="522"/>
      <c r="M79" s="51"/>
      <c r="N79" s="523"/>
      <c r="O79" s="523"/>
      <c r="P79" s="524"/>
      <c r="Q79" s="524"/>
      <c r="R79" s="498"/>
      <c r="S79" s="498"/>
      <c r="T79" s="498"/>
      <c r="U79" s="498"/>
      <c r="V79" s="498"/>
      <c r="W79" s="498"/>
      <c r="X79" s="498"/>
      <c r="Y79" s="498"/>
      <c r="Z79" s="498"/>
      <c r="AA79" s="498"/>
      <c r="AB79" s="522"/>
      <c r="AC79" s="522"/>
      <c r="AD79" s="525"/>
      <c r="AF79" s="50"/>
    </row>
    <row r="80" spans="1:32" ht="26.25" customHeight="1" thickBot="1">
      <c r="A80" s="527" t="s">
        <v>377</v>
      </c>
      <c r="B80" s="527"/>
      <c r="C80" s="527"/>
      <c r="D80" s="527"/>
      <c r="E80" s="527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528" t="s">
        <v>111</v>
      </c>
      <c r="B81" s="529"/>
      <c r="C81" s="256" t="s">
        <v>2</v>
      </c>
      <c r="D81" s="256" t="s">
        <v>37</v>
      </c>
      <c r="E81" s="256" t="s">
        <v>121</v>
      </c>
      <c r="F81" s="530" t="s">
        <v>38</v>
      </c>
      <c r="G81" s="530"/>
      <c r="H81" s="530"/>
      <c r="I81" s="530"/>
      <c r="J81" s="530"/>
      <c r="K81" s="531" t="s">
        <v>58</v>
      </c>
      <c r="L81" s="532"/>
      <c r="M81" s="532"/>
      <c r="N81" s="532"/>
      <c r="O81" s="532"/>
      <c r="P81" s="532"/>
      <c r="Q81" s="532"/>
      <c r="R81" s="532"/>
      <c r="S81" s="533"/>
      <c r="T81" s="530" t="s">
        <v>49</v>
      </c>
      <c r="U81" s="530"/>
      <c r="V81" s="531" t="s">
        <v>50</v>
      </c>
      <c r="W81" s="533"/>
      <c r="X81" s="532" t="s">
        <v>51</v>
      </c>
      <c r="Y81" s="532"/>
      <c r="Z81" s="532"/>
      <c r="AA81" s="532"/>
      <c r="AB81" s="532"/>
      <c r="AC81" s="532"/>
      <c r="AD81" s="534"/>
      <c r="AF81" s="50"/>
    </row>
    <row r="82" spans="1:32" ht="33.75" customHeight="1">
      <c r="A82" s="543">
        <v>1</v>
      </c>
      <c r="B82" s="544"/>
      <c r="C82" s="258"/>
      <c r="D82" s="258"/>
      <c r="E82" s="65"/>
      <c r="F82" s="545"/>
      <c r="G82" s="546"/>
      <c r="H82" s="546"/>
      <c r="I82" s="546"/>
      <c r="J82" s="547"/>
      <c r="K82" s="548"/>
      <c r="L82" s="549"/>
      <c r="M82" s="549"/>
      <c r="N82" s="549"/>
      <c r="O82" s="549"/>
      <c r="P82" s="549"/>
      <c r="Q82" s="549"/>
      <c r="R82" s="549"/>
      <c r="S82" s="550"/>
      <c r="T82" s="551"/>
      <c r="U82" s="552"/>
      <c r="V82" s="553"/>
      <c r="W82" s="553"/>
      <c r="X82" s="554"/>
      <c r="Y82" s="554"/>
      <c r="Z82" s="554"/>
      <c r="AA82" s="554"/>
      <c r="AB82" s="554"/>
      <c r="AC82" s="554"/>
      <c r="AD82" s="555"/>
      <c r="AF82" s="50"/>
    </row>
    <row r="83" spans="1:32" ht="30" customHeight="1">
      <c r="A83" s="535">
        <f>A82+1</f>
        <v>2</v>
      </c>
      <c r="B83" s="536"/>
      <c r="C83" s="257"/>
      <c r="D83" s="257"/>
      <c r="E83" s="32"/>
      <c r="F83" s="536"/>
      <c r="G83" s="536"/>
      <c r="H83" s="536"/>
      <c r="I83" s="536"/>
      <c r="J83" s="536"/>
      <c r="K83" s="537"/>
      <c r="L83" s="538"/>
      <c r="M83" s="538"/>
      <c r="N83" s="538"/>
      <c r="O83" s="538"/>
      <c r="P83" s="538"/>
      <c r="Q83" s="538"/>
      <c r="R83" s="538"/>
      <c r="S83" s="539"/>
      <c r="T83" s="540"/>
      <c r="U83" s="540"/>
      <c r="V83" s="540"/>
      <c r="W83" s="540"/>
      <c r="X83" s="541"/>
      <c r="Y83" s="541"/>
      <c r="Z83" s="541"/>
      <c r="AA83" s="541"/>
      <c r="AB83" s="541"/>
      <c r="AC83" s="541"/>
      <c r="AD83" s="542"/>
      <c r="AF83" s="50"/>
    </row>
    <row r="84" spans="1:32" ht="30" customHeight="1">
      <c r="A84" s="535">
        <f t="shared" ref="A84:A88" si="12">A83+1</f>
        <v>3</v>
      </c>
      <c r="B84" s="536"/>
      <c r="C84" s="257"/>
      <c r="D84" s="257"/>
      <c r="E84" s="32"/>
      <c r="F84" s="536"/>
      <c r="G84" s="536"/>
      <c r="H84" s="536"/>
      <c r="I84" s="536"/>
      <c r="J84" s="536"/>
      <c r="K84" s="537"/>
      <c r="L84" s="538"/>
      <c r="M84" s="538"/>
      <c r="N84" s="538"/>
      <c r="O84" s="538"/>
      <c r="P84" s="538"/>
      <c r="Q84" s="538"/>
      <c r="R84" s="538"/>
      <c r="S84" s="539"/>
      <c r="T84" s="540"/>
      <c r="U84" s="540"/>
      <c r="V84" s="540"/>
      <c r="W84" s="540"/>
      <c r="X84" s="541"/>
      <c r="Y84" s="541"/>
      <c r="Z84" s="541"/>
      <c r="AA84" s="541"/>
      <c r="AB84" s="541"/>
      <c r="AC84" s="541"/>
      <c r="AD84" s="542"/>
      <c r="AF84" s="50"/>
    </row>
    <row r="85" spans="1:32" ht="30" customHeight="1">
      <c r="A85" s="535">
        <f t="shared" si="12"/>
        <v>4</v>
      </c>
      <c r="B85" s="536"/>
      <c r="C85" s="257"/>
      <c r="D85" s="257"/>
      <c r="E85" s="32"/>
      <c r="F85" s="536"/>
      <c r="G85" s="536"/>
      <c r="H85" s="536"/>
      <c r="I85" s="536"/>
      <c r="J85" s="536"/>
      <c r="K85" s="537"/>
      <c r="L85" s="538"/>
      <c r="M85" s="538"/>
      <c r="N85" s="538"/>
      <c r="O85" s="538"/>
      <c r="P85" s="538"/>
      <c r="Q85" s="538"/>
      <c r="R85" s="538"/>
      <c r="S85" s="539"/>
      <c r="T85" s="540"/>
      <c r="U85" s="540"/>
      <c r="V85" s="540"/>
      <c r="W85" s="540"/>
      <c r="X85" s="541"/>
      <c r="Y85" s="541"/>
      <c r="Z85" s="541"/>
      <c r="AA85" s="541"/>
      <c r="AB85" s="541"/>
      <c r="AC85" s="541"/>
      <c r="AD85" s="542"/>
      <c r="AF85" s="50"/>
    </row>
    <row r="86" spans="1:32" ht="30" customHeight="1">
      <c r="A86" s="535">
        <f t="shared" si="12"/>
        <v>5</v>
      </c>
      <c r="B86" s="536"/>
      <c r="C86" s="257"/>
      <c r="D86" s="257"/>
      <c r="E86" s="32"/>
      <c r="F86" s="536"/>
      <c r="G86" s="536"/>
      <c r="H86" s="536"/>
      <c r="I86" s="536"/>
      <c r="J86" s="536"/>
      <c r="K86" s="537"/>
      <c r="L86" s="538"/>
      <c r="M86" s="538"/>
      <c r="N86" s="538"/>
      <c r="O86" s="538"/>
      <c r="P86" s="538"/>
      <c r="Q86" s="538"/>
      <c r="R86" s="538"/>
      <c r="S86" s="539"/>
      <c r="T86" s="540"/>
      <c r="U86" s="540"/>
      <c r="V86" s="540"/>
      <c r="W86" s="540"/>
      <c r="X86" s="541"/>
      <c r="Y86" s="541"/>
      <c r="Z86" s="541"/>
      <c r="AA86" s="541"/>
      <c r="AB86" s="541"/>
      <c r="AC86" s="541"/>
      <c r="AD86" s="542"/>
      <c r="AF86" s="50"/>
    </row>
    <row r="87" spans="1:32" ht="30" customHeight="1">
      <c r="A87" s="535">
        <f t="shared" si="12"/>
        <v>6</v>
      </c>
      <c r="B87" s="536"/>
      <c r="C87" s="257"/>
      <c r="D87" s="257"/>
      <c r="E87" s="32"/>
      <c r="F87" s="536"/>
      <c r="G87" s="536"/>
      <c r="H87" s="536"/>
      <c r="I87" s="536"/>
      <c r="J87" s="536"/>
      <c r="K87" s="537"/>
      <c r="L87" s="538"/>
      <c r="M87" s="538"/>
      <c r="N87" s="538"/>
      <c r="O87" s="538"/>
      <c r="P87" s="538"/>
      <c r="Q87" s="538"/>
      <c r="R87" s="538"/>
      <c r="S87" s="539"/>
      <c r="T87" s="540"/>
      <c r="U87" s="540"/>
      <c r="V87" s="540"/>
      <c r="W87" s="540"/>
      <c r="X87" s="541"/>
      <c r="Y87" s="541"/>
      <c r="Z87" s="541"/>
      <c r="AA87" s="541"/>
      <c r="AB87" s="541"/>
      <c r="AC87" s="541"/>
      <c r="AD87" s="542"/>
      <c r="AF87" s="50"/>
    </row>
    <row r="88" spans="1:32" ht="30" customHeight="1">
      <c r="A88" s="535">
        <f t="shared" si="12"/>
        <v>7</v>
      </c>
      <c r="B88" s="536"/>
      <c r="C88" s="257"/>
      <c r="D88" s="257"/>
      <c r="E88" s="32"/>
      <c r="F88" s="536"/>
      <c r="G88" s="536"/>
      <c r="H88" s="536"/>
      <c r="I88" s="536"/>
      <c r="J88" s="536"/>
      <c r="K88" s="537"/>
      <c r="L88" s="538"/>
      <c r="M88" s="538"/>
      <c r="N88" s="538"/>
      <c r="O88" s="538"/>
      <c r="P88" s="538"/>
      <c r="Q88" s="538"/>
      <c r="R88" s="538"/>
      <c r="S88" s="539"/>
      <c r="T88" s="540"/>
      <c r="U88" s="540"/>
      <c r="V88" s="540"/>
      <c r="W88" s="540"/>
      <c r="X88" s="541"/>
      <c r="Y88" s="541"/>
      <c r="Z88" s="541"/>
      <c r="AA88" s="541"/>
      <c r="AB88" s="541"/>
      <c r="AC88" s="541"/>
      <c r="AD88" s="542"/>
      <c r="AF88" s="50"/>
    </row>
    <row r="89" spans="1:32" ht="36" thickBot="1">
      <c r="A89" s="527" t="s">
        <v>378</v>
      </c>
      <c r="B89" s="527"/>
      <c r="C89" s="527"/>
      <c r="D89" s="527"/>
      <c r="E89" s="527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56" t="s">
        <v>111</v>
      </c>
      <c r="B90" s="530"/>
      <c r="C90" s="557" t="s">
        <v>52</v>
      </c>
      <c r="D90" s="557"/>
      <c r="E90" s="557" t="s">
        <v>53</v>
      </c>
      <c r="F90" s="557"/>
      <c r="G90" s="557"/>
      <c r="H90" s="557"/>
      <c r="I90" s="557"/>
      <c r="J90" s="557"/>
      <c r="K90" s="557" t="s">
        <v>54</v>
      </c>
      <c r="L90" s="557"/>
      <c r="M90" s="557"/>
      <c r="N90" s="557"/>
      <c r="O90" s="557"/>
      <c r="P90" s="557"/>
      <c r="Q90" s="557"/>
      <c r="R90" s="557"/>
      <c r="S90" s="557"/>
      <c r="T90" s="557" t="s">
        <v>55</v>
      </c>
      <c r="U90" s="557"/>
      <c r="V90" s="557" t="s">
        <v>56</v>
      </c>
      <c r="W90" s="557"/>
      <c r="X90" s="557"/>
      <c r="Y90" s="557" t="s">
        <v>51</v>
      </c>
      <c r="Z90" s="557"/>
      <c r="AA90" s="557"/>
      <c r="AB90" s="557"/>
      <c r="AC90" s="557"/>
      <c r="AD90" s="558"/>
      <c r="AF90" s="50"/>
    </row>
    <row r="91" spans="1:32" ht="30.75" customHeight="1">
      <c r="A91" s="543">
        <v>1</v>
      </c>
      <c r="B91" s="544"/>
      <c r="C91" s="559">
        <v>9</v>
      </c>
      <c r="D91" s="559"/>
      <c r="E91" s="559" t="s">
        <v>127</v>
      </c>
      <c r="F91" s="559"/>
      <c r="G91" s="559"/>
      <c r="H91" s="559"/>
      <c r="I91" s="559"/>
      <c r="J91" s="559"/>
      <c r="K91" s="559" t="s">
        <v>136</v>
      </c>
      <c r="L91" s="559"/>
      <c r="M91" s="559"/>
      <c r="N91" s="559"/>
      <c r="O91" s="559"/>
      <c r="P91" s="559"/>
      <c r="Q91" s="559"/>
      <c r="R91" s="559"/>
      <c r="S91" s="559"/>
      <c r="T91" s="559" t="s">
        <v>128</v>
      </c>
      <c r="U91" s="559"/>
      <c r="V91" s="560" t="s">
        <v>133</v>
      </c>
      <c r="W91" s="560"/>
      <c r="X91" s="560"/>
      <c r="Y91" s="561"/>
      <c r="Z91" s="561"/>
      <c r="AA91" s="561"/>
      <c r="AB91" s="561"/>
      <c r="AC91" s="561"/>
      <c r="AD91" s="562"/>
      <c r="AF91" s="50"/>
    </row>
    <row r="92" spans="1:32" ht="30.75" customHeight="1">
      <c r="A92" s="535">
        <v>2</v>
      </c>
      <c r="B92" s="536"/>
      <c r="C92" s="570"/>
      <c r="D92" s="570"/>
      <c r="E92" s="570"/>
      <c r="F92" s="570"/>
      <c r="G92" s="570"/>
      <c r="H92" s="570"/>
      <c r="I92" s="570"/>
      <c r="J92" s="570"/>
      <c r="K92" s="570"/>
      <c r="L92" s="570"/>
      <c r="M92" s="570"/>
      <c r="N92" s="570"/>
      <c r="O92" s="570"/>
      <c r="P92" s="570"/>
      <c r="Q92" s="570"/>
      <c r="R92" s="570"/>
      <c r="S92" s="570"/>
      <c r="T92" s="571"/>
      <c r="U92" s="571"/>
      <c r="V92" s="572"/>
      <c r="W92" s="572"/>
      <c r="X92" s="572"/>
      <c r="Y92" s="563"/>
      <c r="Z92" s="563"/>
      <c r="AA92" s="563"/>
      <c r="AB92" s="563"/>
      <c r="AC92" s="563"/>
      <c r="AD92" s="564"/>
      <c r="AF92" s="50"/>
    </row>
    <row r="93" spans="1:32" ht="30.75" customHeight="1" thickBot="1">
      <c r="A93" s="565">
        <v>3</v>
      </c>
      <c r="B93" s="566"/>
      <c r="C93" s="567"/>
      <c r="D93" s="567"/>
      <c r="E93" s="567"/>
      <c r="F93" s="567"/>
      <c r="G93" s="567"/>
      <c r="H93" s="567"/>
      <c r="I93" s="567"/>
      <c r="J93" s="567"/>
      <c r="K93" s="567"/>
      <c r="L93" s="567"/>
      <c r="M93" s="567"/>
      <c r="N93" s="567"/>
      <c r="O93" s="567"/>
      <c r="P93" s="567"/>
      <c r="Q93" s="567"/>
      <c r="R93" s="567"/>
      <c r="S93" s="567"/>
      <c r="T93" s="567"/>
      <c r="U93" s="567"/>
      <c r="V93" s="573"/>
      <c r="W93" s="573"/>
      <c r="X93" s="573"/>
      <c r="Y93" s="568"/>
      <c r="Z93" s="568"/>
      <c r="AA93" s="568"/>
      <c r="AB93" s="568"/>
      <c r="AC93" s="568"/>
      <c r="AD93" s="569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3" max="29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4A1D-C6D1-4210-8D97-A6150C602A5A}">
  <dimension ref="A1:AF93"/>
  <sheetViews>
    <sheetView view="pageBreakPreview" topLeftCell="A71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50" t="s">
        <v>379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1"/>
      <c r="B3" s="451"/>
      <c r="C3" s="451"/>
      <c r="D3" s="451"/>
      <c r="E3" s="451"/>
      <c r="F3" s="451"/>
      <c r="G3" s="45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52" t="s">
        <v>0</v>
      </c>
      <c r="B4" s="454" t="s">
        <v>1</v>
      </c>
      <c r="C4" s="454" t="s">
        <v>2</v>
      </c>
      <c r="D4" s="457" t="s">
        <v>3</v>
      </c>
      <c r="E4" s="459" t="s">
        <v>4</v>
      </c>
      <c r="F4" s="457" t="s">
        <v>5</v>
      </c>
      <c r="G4" s="454" t="s">
        <v>6</v>
      </c>
      <c r="H4" s="460" t="s">
        <v>7</v>
      </c>
      <c r="I4" s="480" t="s">
        <v>8</v>
      </c>
      <c r="J4" s="481"/>
      <c r="K4" s="481"/>
      <c r="L4" s="481"/>
      <c r="M4" s="481"/>
      <c r="N4" s="481"/>
      <c r="O4" s="482"/>
      <c r="P4" s="483" t="s">
        <v>9</v>
      </c>
      <c r="Q4" s="484"/>
      <c r="R4" s="486" t="s">
        <v>10</v>
      </c>
      <c r="S4" s="485"/>
      <c r="T4" s="485"/>
      <c r="U4" s="485"/>
      <c r="V4" s="487"/>
      <c r="W4" s="485" t="s">
        <v>11</v>
      </c>
      <c r="X4" s="485"/>
      <c r="Y4" s="485"/>
      <c r="Z4" s="485"/>
      <c r="AA4" s="487"/>
      <c r="AB4" s="488" t="s">
        <v>12</v>
      </c>
      <c r="AC4" s="462" t="s">
        <v>13</v>
      </c>
      <c r="AD4" s="462" t="s">
        <v>14</v>
      </c>
      <c r="AE4" s="54"/>
    </row>
    <row r="5" spans="1:32" ht="51" customHeight="1" thickBot="1">
      <c r="A5" s="453"/>
      <c r="B5" s="455"/>
      <c r="C5" s="456"/>
      <c r="D5" s="458"/>
      <c r="E5" s="458"/>
      <c r="F5" s="458"/>
      <c r="G5" s="455"/>
      <c r="H5" s="461"/>
      <c r="I5" s="55" t="s">
        <v>15</v>
      </c>
      <c r="J5" s="56" t="s">
        <v>16</v>
      </c>
      <c r="K5" s="271" t="s">
        <v>17</v>
      </c>
      <c r="L5" s="271" t="s">
        <v>18</v>
      </c>
      <c r="M5" s="271" t="s">
        <v>19</v>
      </c>
      <c r="N5" s="27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89"/>
      <c r="AC5" s="463"/>
      <c r="AD5" s="463"/>
      <c r="AE5" s="54"/>
    </row>
    <row r="6" spans="1:32" ht="27" customHeight="1">
      <c r="A6" s="112">
        <v>1</v>
      </c>
      <c r="B6" s="11" t="s">
        <v>57</v>
      </c>
      <c r="C6" s="34" t="s">
        <v>116</v>
      </c>
      <c r="D6" s="52" t="s">
        <v>130</v>
      </c>
      <c r="E6" s="53" t="s">
        <v>158</v>
      </c>
      <c r="F6" s="30" t="s">
        <v>146</v>
      </c>
      <c r="G6" s="12">
        <v>2</v>
      </c>
      <c r="H6" s="13">
        <v>24</v>
      </c>
      <c r="I6" s="31">
        <v>174000</v>
      </c>
      <c r="J6" s="14">
        <v>3190</v>
      </c>
      <c r="K6" s="15">
        <f>L6+2384+8412+9776+8821+8774+10138+6972+8852+4388+11916+2738</f>
        <v>86361</v>
      </c>
      <c r="L6" s="15">
        <f>257*2+1338*2</f>
        <v>3190</v>
      </c>
      <c r="M6" s="15">
        <f t="shared" ref="M6:M27" si="0">L6-N6</f>
        <v>3190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7</v>
      </c>
      <c r="Q6" s="40">
        <f t="shared" ref="Q6:Q27" si="3">SUM(R6:AA6)</f>
        <v>17</v>
      </c>
      <c r="R6" s="7"/>
      <c r="S6" s="6">
        <v>17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0.29166666666666669</v>
      </c>
      <c r="AD6" s="10">
        <f t="shared" ref="AD6:AD27" si="6">AC6*AB6*(1-O6)</f>
        <v>0.29166666666666669</v>
      </c>
      <c r="AE6" s="36">
        <f t="shared" ref="AE6:AE27" si="7">$AD$28</f>
        <v>0.48863636363636354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143</v>
      </c>
      <c r="D7" s="52" t="s">
        <v>150</v>
      </c>
      <c r="E7" s="53" t="s">
        <v>338</v>
      </c>
      <c r="F7" s="30" t="s">
        <v>348</v>
      </c>
      <c r="G7" s="12">
        <v>2</v>
      </c>
      <c r="H7" s="13">
        <v>24</v>
      </c>
      <c r="I7" s="31">
        <v>30000</v>
      </c>
      <c r="J7" s="14">
        <v>632</v>
      </c>
      <c r="K7" s="15">
        <f>L7</f>
        <v>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>
        <v>24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0.48863636363636354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112</v>
      </c>
      <c r="D8" s="52" t="s">
        <v>115</v>
      </c>
      <c r="E8" s="53" t="s">
        <v>361</v>
      </c>
      <c r="F8" s="30" t="s">
        <v>131</v>
      </c>
      <c r="G8" s="12">
        <v>1</v>
      </c>
      <c r="H8" s="13">
        <v>24</v>
      </c>
      <c r="I8" s="7">
        <v>30000</v>
      </c>
      <c r="J8" s="14">
        <v>2571</v>
      </c>
      <c r="K8" s="15">
        <f>L8</f>
        <v>2571</v>
      </c>
      <c r="L8" s="15">
        <f>223+2348</f>
        <v>2571</v>
      </c>
      <c r="M8" s="15">
        <f t="shared" si="0"/>
        <v>2571</v>
      </c>
      <c r="N8" s="15">
        <v>0</v>
      </c>
      <c r="O8" s="58">
        <f t="shared" si="1"/>
        <v>0</v>
      </c>
      <c r="P8" s="39">
        <f t="shared" si="2"/>
        <v>16</v>
      </c>
      <c r="Q8" s="40">
        <f t="shared" si="3"/>
        <v>8</v>
      </c>
      <c r="R8" s="7"/>
      <c r="S8" s="6">
        <v>8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0.66666666666666663</v>
      </c>
      <c r="AD8" s="10">
        <f t="shared" si="6"/>
        <v>0.66666666666666663</v>
      </c>
      <c r="AE8" s="36">
        <f t="shared" si="7"/>
        <v>0.48863636363636354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116</v>
      </c>
      <c r="D9" s="52" t="s">
        <v>150</v>
      </c>
      <c r="E9" s="53" t="s">
        <v>355</v>
      </c>
      <c r="F9" s="30" t="s">
        <v>301</v>
      </c>
      <c r="G9" s="12">
        <v>1</v>
      </c>
      <c r="H9" s="13">
        <v>24</v>
      </c>
      <c r="I9" s="7">
        <v>24000</v>
      </c>
      <c r="J9" s="14">
        <v>4805</v>
      </c>
      <c r="K9" s="15">
        <f>L9+4426</f>
        <v>9231</v>
      </c>
      <c r="L9" s="15">
        <f>2394+2411</f>
        <v>4805</v>
      </c>
      <c r="M9" s="15">
        <f t="shared" si="0"/>
        <v>4805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0.48863636363636354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241</v>
      </c>
      <c r="D10" s="52"/>
      <c r="E10" s="53" t="s">
        <v>383</v>
      </c>
      <c r="F10" s="30" t="s">
        <v>268</v>
      </c>
      <c r="G10" s="33">
        <v>2</v>
      </c>
      <c r="H10" s="35">
        <v>24</v>
      </c>
      <c r="I10" s="7">
        <v>5000</v>
      </c>
      <c r="J10" s="14">
        <v>7490</v>
      </c>
      <c r="K10" s="15">
        <f>L10</f>
        <v>7490</v>
      </c>
      <c r="L10" s="15">
        <f>773*2+2972*2</f>
        <v>7490</v>
      </c>
      <c r="M10" s="15">
        <f t="shared" si="0"/>
        <v>7490</v>
      </c>
      <c r="N10" s="15">
        <v>0</v>
      </c>
      <c r="O10" s="58">
        <f t="shared" si="1"/>
        <v>0</v>
      </c>
      <c r="P10" s="39">
        <f t="shared" si="2"/>
        <v>17</v>
      </c>
      <c r="Q10" s="40">
        <f t="shared" si="3"/>
        <v>7</v>
      </c>
      <c r="R10" s="7"/>
      <c r="S10" s="6"/>
      <c r="T10" s="16">
        <v>7</v>
      </c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0.70833333333333337</v>
      </c>
      <c r="AD10" s="10">
        <f t="shared" si="6"/>
        <v>0.70833333333333337</v>
      </c>
      <c r="AE10" s="36">
        <f t="shared" si="7"/>
        <v>0.48863636363636354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116</v>
      </c>
      <c r="D11" s="52" t="s">
        <v>124</v>
      </c>
      <c r="E11" s="53" t="s">
        <v>323</v>
      </c>
      <c r="F11" s="30" t="s">
        <v>134</v>
      </c>
      <c r="G11" s="33">
        <v>1</v>
      </c>
      <c r="H11" s="35">
        <v>24</v>
      </c>
      <c r="I11" s="7">
        <v>50000</v>
      </c>
      <c r="J11" s="14">
        <v>420</v>
      </c>
      <c r="K11" s="15">
        <f>L11</f>
        <v>420</v>
      </c>
      <c r="L11" s="15">
        <f>420</f>
        <v>420</v>
      </c>
      <c r="M11" s="15">
        <f t="shared" si="0"/>
        <v>420</v>
      </c>
      <c r="N11" s="15">
        <v>0</v>
      </c>
      <c r="O11" s="58">
        <f t="shared" si="1"/>
        <v>0</v>
      </c>
      <c r="P11" s="39">
        <f t="shared" si="2"/>
        <v>3</v>
      </c>
      <c r="Q11" s="40">
        <f t="shared" si="3"/>
        <v>21</v>
      </c>
      <c r="R11" s="7"/>
      <c r="S11" s="6">
        <v>21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0.125</v>
      </c>
      <c r="AD11" s="10">
        <f t="shared" si="6"/>
        <v>0.125</v>
      </c>
      <c r="AE11" s="36">
        <f t="shared" si="7"/>
        <v>0.48863636363636354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126</v>
      </c>
      <c r="F12" s="30" t="s">
        <v>167</v>
      </c>
      <c r="G12" s="12">
        <v>1</v>
      </c>
      <c r="H12" s="13">
        <v>22</v>
      </c>
      <c r="I12" s="31">
        <v>100000</v>
      </c>
      <c r="J12" s="5">
        <v>1169</v>
      </c>
      <c r="K12" s="15">
        <f>L12+4676+4488+5126+5538+5283+5334+5466+5473+5483+5485+5319+5208</f>
        <v>64048</v>
      </c>
      <c r="L12" s="15">
        <f>1169</f>
        <v>1169</v>
      </c>
      <c r="M12" s="15">
        <f t="shared" si="0"/>
        <v>1169</v>
      </c>
      <c r="N12" s="15">
        <v>0</v>
      </c>
      <c r="O12" s="58">
        <f t="shared" si="1"/>
        <v>0</v>
      </c>
      <c r="P12" s="39">
        <f t="shared" si="2"/>
        <v>6</v>
      </c>
      <c r="Q12" s="40">
        <f t="shared" si="3"/>
        <v>18</v>
      </c>
      <c r="R12" s="7"/>
      <c r="S12" s="6">
        <v>18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0.25</v>
      </c>
      <c r="AD12" s="10">
        <f t="shared" si="6"/>
        <v>0.25</v>
      </c>
      <c r="AE12" s="36">
        <f t="shared" si="7"/>
        <v>0.48863636363636354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124</v>
      </c>
      <c r="E13" s="53" t="s">
        <v>168</v>
      </c>
      <c r="F13" s="30" t="s">
        <v>131</v>
      </c>
      <c r="G13" s="33">
        <v>1</v>
      </c>
      <c r="H13" s="35">
        <v>24</v>
      </c>
      <c r="I13" s="7">
        <v>6000</v>
      </c>
      <c r="J13" s="14">
        <v>5511</v>
      </c>
      <c r="K13" s="15">
        <f>L13+4461</f>
        <v>9972</v>
      </c>
      <c r="L13" s="15">
        <f>2773+2738</f>
        <v>5511</v>
      </c>
      <c r="M13" s="15">
        <f t="shared" si="0"/>
        <v>5511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0.48863636363636354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369</v>
      </c>
      <c r="F14" s="30" t="s">
        <v>151</v>
      </c>
      <c r="G14" s="33">
        <v>1</v>
      </c>
      <c r="H14" s="35">
        <v>50</v>
      </c>
      <c r="I14" s="7">
        <v>1500</v>
      </c>
      <c r="J14" s="5">
        <v>716</v>
      </c>
      <c r="K14" s="15">
        <f>L14</f>
        <v>716</v>
      </c>
      <c r="L14" s="15">
        <f>716</f>
        <v>716</v>
      </c>
      <c r="M14" s="15">
        <f t="shared" si="0"/>
        <v>716</v>
      </c>
      <c r="N14" s="15">
        <v>0</v>
      </c>
      <c r="O14" s="58">
        <f t="shared" si="1"/>
        <v>0</v>
      </c>
      <c r="P14" s="39">
        <f t="shared" si="2"/>
        <v>8</v>
      </c>
      <c r="Q14" s="40">
        <f t="shared" si="3"/>
        <v>16</v>
      </c>
      <c r="R14" s="7"/>
      <c r="S14" s="6">
        <v>4</v>
      </c>
      <c r="T14" s="16"/>
      <c r="U14" s="16"/>
      <c r="V14" s="17">
        <v>12</v>
      </c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0.33333333333333331</v>
      </c>
      <c r="AD14" s="10">
        <f t="shared" si="6"/>
        <v>0.33333333333333331</v>
      </c>
      <c r="AE14" s="36">
        <f t="shared" si="7"/>
        <v>0.48863636363636354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123</v>
      </c>
      <c r="E15" s="53" t="s">
        <v>141</v>
      </c>
      <c r="F15" s="30" t="s">
        <v>135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0.48863636363636354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143</v>
      </c>
      <c r="D16" s="52" t="s">
        <v>115</v>
      </c>
      <c r="E16" s="53" t="s">
        <v>324</v>
      </c>
      <c r="F16" s="30" t="s">
        <v>362</v>
      </c>
      <c r="G16" s="12">
        <v>1</v>
      </c>
      <c r="H16" s="13">
        <v>24</v>
      </c>
      <c r="I16" s="7">
        <v>20000</v>
      </c>
      <c r="J16" s="14">
        <v>5953</v>
      </c>
      <c r="K16" s="15">
        <f>L16+5554</f>
        <v>11507</v>
      </c>
      <c r="L16" s="15">
        <f>2973+2980</f>
        <v>5953</v>
      </c>
      <c r="M16" s="15">
        <f t="shared" si="0"/>
        <v>5953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0.48863636363636354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143</v>
      </c>
      <c r="D17" s="52" t="s">
        <v>150</v>
      </c>
      <c r="E17" s="53" t="s">
        <v>159</v>
      </c>
      <c r="F17" s="30" t="s">
        <v>154</v>
      </c>
      <c r="G17" s="12">
        <v>3</v>
      </c>
      <c r="H17" s="13">
        <v>24</v>
      </c>
      <c r="I17" s="7">
        <v>260000</v>
      </c>
      <c r="J17" s="14">
        <v>14879</v>
      </c>
      <c r="K17" s="15">
        <f>L17+16128+16857+16941+16140+15960+17466+17355+17745+17910+17925+2610+16239+17901</f>
        <v>222056</v>
      </c>
      <c r="L17" s="15">
        <f>2345*3+2230*3+577*2</f>
        <v>14879</v>
      </c>
      <c r="M17" s="15">
        <f t="shared" si="0"/>
        <v>14879</v>
      </c>
      <c r="N17" s="15">
        <v>0</v>
      </c>
      <c r="O17" s="58">
        <f t="shared" si="1"/>
        <v>0</v>
      </c>
      <c r="P17" s="39">
        <f t="shared" si="2"/>
        <v>19</v>
      </c>
      <c r="Q17" s="40">
        <f t="shared" si="3"/>
        <v>5</v>
      </c>
      <c r="R17" s="7"/>
      <c r="S17" s="6">
        <v>5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0.79166666666666663</v>
      </c>
      <c r="AD17" s="10">
        <f t="shared" si="6"/>
        <v>0.79166666666666663</v>
      </c>
      <c r="AE17" s="36">
        <f t="shared" si="7"/>
        <v>0.48863636363636354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143</v>
      </c>
      <c r="D18" s="52" t="s">
        <v>349</v>
      </c>
      <c r="E18" s="53" t="s">
        <v>340</v>
      </c>
      <c r="F18" s="30" t="s">
        <v>350</v>
      </c>
      <c r="G18" s="33">
        <v>1</v>
      </c>
      <c r="H18" s="35">
        <v>24</v>
      </c>
      <c r="I18" s="7">
        <v>2000</v>
      </c>
      <c r="J18" s="14">
        <v>4805</v>
      </c>
      <c r="K18" s="15">
        <f>L18</f>
        <v>4805</v>
      </c>
      <c r="L18" s="15">
        <f>1999+2806</f>
        <v>4805</v>
      </c>
      <c r="M18" s="15">
        <f t="shared" si="0"/>
        <v>4805</v>
      </c>
      <c r="N18" s="15">
        <v>0</v>
      </c>
      <c r="O18" s="58">
        <f t="shared" si="1"/>
        <v>0</v>
      </c>
      <c r="P18" s="39">
        <f t="shared" si="2"/>
        <v>21</v>
      </c>
      <c r="Q18" s="40">
        <f t="shared" si="3"/>
        <v>3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3</v>
      </c>
      <c r="AB18" s="8">
        <f t="shared" si="4"/>
        <v>1</v>
      </c>
      <c r="AC18" s="9">
        <f t="shared" si="5"/>
        <v>0.875</v>
      </c>
      <c r="AD18" s="10">
        <f t="shared" si="6"/>
        <v>0.875</v>
      </c>
      <c r="AE18" s="36">
        <f t="shared" si="7"/>
        <v>0.48863636363636354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142</v>
      </c>
      <c r="E19" s="53" t="s">
        <v>161</v>
      </c>
      <c r="F19" s="30" t="s">
        <v>134</v>
      </c>
      <c r="G19" s="33">
        <v>1</v>
      </c>
      <c r="H19" s="35">
        <v>24</v>
      </c>
      <c r="I19" s="7">
        <v>31000</v>
      </c>
      <c r="J19" s="14">
        <v>1179</v>
      </c>
      <c r="K19" s="15">
        <f>L19+5079+5307+3503</f>
        <v>15068</v>
      </c>
      <c r="L19" s="15">
        <f>1179</f>
        <v>1179</v>
      </c>
      <c r="M19" s="15">
        <f t="shared" si="0"/>
        <v>1179</v>
      </c>
      <c r="N19" s="15">
        <v>0</v>
      </c>
      <c r="O19" s="58">
        <f t="shared" si="1"/>
        <v>0</v>
      </c>
      <c r="P19" s="39">
        <f t="shared" si="2"/>
        <v>6</v>
      </c>
      <c r="Q19" s="40">
        <f t="shared" si="3"/>
        <v>18</v>
      </c>
      <c r="R19" s="7"/>
      <c r="S19" s="6">
        <v>18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0.25</v>
      </c>
      <c r="AD19" s="10">
        <f t="shared" si="6"/>
        <v>0.25</v>
      </c>
      <c r="AE19" s="36">
        <f t="shared" si="7"/>
        <v>0.48863636363636354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116</v>
      </c>
      <c r="D20" s="52" t="s">
        <v>115</v>
      </c>
      <c r="E20" s="53" t="s">
        <v>356</v>
      </c>
      <c r="F20" s="30" t="s">
        <v>122</v>
      </c>
      <c r="G20" s="12">
        <v>1</v>
      </c>
      <c r="H20" s="13">
        <v>24</v>
      </c>
      <c r="I20" s="7">
        <v>24000</v>
      </c>
      <c r="J20" s="14">
        <v>5228</v>
      </c>
      <c r="K20" s="15">
        <f>L20+2446</f>
        <v>7674</v>
      </c>
      <c r="L20" s="15">
        <f>2604+2624</f>
        <v>5228</v>
      </c>
      <c r="M20" s="15">
        <f t="shared" si="0"/>
        <v>5228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0.48863636363636354</v>
      </c>
      <c r="AF20" s="84">
        <f t="shared" si="8"/>
        <v>15</v>
      </c>
    </row>
    <row r="21" spans="1:32" ht="27" customHeight="1">
      <c r="A21" s="96">
        <v>16</v>
      </c>
      <c r="B21" s="11" t="s">
        <v>57</v>
      </c>
      <c r="C21" s="11" t="s">
        <v>113</v>
      </c>
      <c r="D21" s="52"/>
      <c r="E21" s="53" t="s">
        <v>384</v>
      </c>
      <c r="F21" s="12" t="s">
        <v>114</v>
      </c>
      <c r="G21" s="12">
        <v>4</v>
      </c>
      <c r="H21" s="35">
        <v>20</v>
      </c>
      <c r="I21" s="7">
        <v>110000</v>
      </c>
      <c r="J21" s="14">
        <v>33068</v>
      </c>
      <c r="K21" s="15">
        <f>L21</f>
        <v>33068</v>
      </c>
      <c r="L21" s="15">
        <f>1073*4+7194*4</f>
        <v>33068</v>
      </c>
      <c r="M21" s="15">
        <f t="shared" si="0"/>
        <v>33068</v>
      </c>
      <c r="N21" s="15">
        <v>0</v>
      </c>
      <c r="O21" s="58">
        <f t="shared" si="1"/>
        <v>0</v>
      </c>
      <c r="P21" s="39">
        <f t="shared" si="2"/>
        <v>16</v>
      </c>
      <c r="Q21" s="40">
        <f t="shared" si="3"/>
        <v>8</v>
      </c>
      <c r="R21" s="7"/>
      <c r="S21" s="6">
        <v>8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0.66666666666666663</v>
      </c>
      <c r="AD21" s="10">
        <f t="shared" si="6"/>
        <v>0.66666666666666663</v>
      </c>
      <c r="AE21" s="36">
        <f t="shared" si="7"/>
        <v>0.48863636363636354</v>
      </c>
      <c r="AF21" s="84">
        <f t="shared" si="8"/>
        <v>16</v>
      </c>
    </row>
    <row r="22" spans="1:32" ht="27" customHeight="1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0.48863636363636354</v>
      </c>
      <c r="AF22" s="84">
        <f t="shared" si="8"/>
        <v>31</v>
      </c>
    </row>
    <row r="23" spans="1:32" ht="27" customHeight="1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0.48863636363636354</v>
      </c>
      <c r="AF23" s="84">
        <f t="shared" si="8"/>
        <v>32</v>
      </c>
    </row>
    <row r="24" spans="1:32" ht="27" customHeight="1">
      <c r="A24" s="96">
        <v>33</v>
      </c>
      <c r="B24" s="11" t="s">
        <v>57</v>
      </c>
      <c r="C24" s="11" t="s">
        <v>116</v>
      </c>
      <c r="D24" s="52" t="s">
        <v>150</v>
      </c>
      <c r="E24" s="53" t="s">
        <v>163</v>
      </c>
      <c r="F24" s="12" t="s">
        <v>145</v>
      </c>
      <c r="G24" s="12">
        <v>1</v>
      </c>
      <c r="H24" s="35">
        <v>20</v>
      </c>
      <c r="I24" s="7">
        <v>60000</v>
      </c>
      <c r="J24" s="14">
        <v>7905</v>
      </c>
      <c r="K24" s="15">
        <f>L24+4387+7770+5806</f>
        <v>25868</v>
      </c>
      <c r="L24" s="15">
        <f>4535+3370</f>
        <v>7905</v>
      </c>
      <c r="M24" s="15">
        <f t="shared" si="0"/>
        <v>7905</v>
      </c>
      <c r="N24" s="15">
        <v>0</v>
      </c>
      <c r="O24" s="58">
        <f t="shared" si="1"/>
        <v>0</v>
      </c>
      <c r="P24" s="39">
        <f t="shared" si="2"/>
        <v>24</v>
      </c>
      <c r="Q24" s="40">
        <f t="shared" si="3"/>
        <v>0</v>
      </c>
      <c r="R24" s="7"/>
      <c r="S24" s="6"/>
      <c r="T24" s="16"/>
      <c r="U24" s="16"/>
      <c r="V24" s="206"/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1</v>
      </c>
      <c r="AD24" s="10">
        <f t="shared" si="6"/>
        <v>1</v>
      </c>
      <c r="AE24" s="36">
        <f t="shared" si="7"/>
        <v>0.48863636363636354</v>
      </c>
      <c r="AF24" s="84">
        <f t="shared" si="8"/>
        <v>33</v>
      </c>
    </row>
    <row r="25" spans="1:32" ht="27" customHeight="1">
      <c r="A25" s="96">
        <v>34</v>
      </c>
      <c r="B25" s="11" t="s">
        <v>57</v>
      </c>
      <c r="C25" s="11" t="s">
        <v>116</v>
      </c>
      <c r="D25" s="52" t="s">
        <v>150</v>
      </c>
      <c r="E25" s="53" t="s">
        <v>165</v>
      </c>
      <c r="F25" s="12" t="s">
        <v>135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206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0.48863636363636354</v>
      </c>
      <c r="AF25" s="84">
        <f t="shared" si="8"/>
        <v>34</v>
      </c>
    </row>
    <row r="26" spans="1:32" ht="27" customHeight="1">
      <c r="A26" s="96">
        <v>35</v>
      </c>
      <c r="B26" s="11" t="s">
        <v>57</v>
      </c>
      <c r="C26" s="11" t="s">
        <v>116</v>
      </c>
      <c r="D26" s="52" t="s">
        <v>123</v>
      </c>
      <c r="E26" s="53" t="s">
        <v>137</v>
      </c>
      <c r="F26" s="12" t="s">
        <v>135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206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0.48863636363636354</v>
      </c>
      <c r="AF26" s="84">
        <f t="shared" si="8"/>
        <v>35</v>
      </c>
    </row>
    <row r="27" spans="1:32" ht="27" customHeight="1" thickBot="1">
      <c r="A27" s="96">
        <v>36</v>
      </c>
      <c r="B27" s="11" t="s">
        <v>57</v>
      </c>
      <c r="C27" s="11" t="s">
        <v>380</v>
      </c>
      <c r="D27" s="52"/>
      <c r="E27" s="53" t="s">
        <v>381</v>
      </c>
      <c r="F27" s="12" t="s">
        <v>382</v>
      </c>
      <c r="G27" s="12">
        <v>32</v>
      </c>
      <c r="H27" s="35">
        <v>20</v>
      </c>
      <c r="I27" s="7">
        <v>700000</v>
      </c>
      <c r="J27" s="14">
        <v>326528</v>
      </c>
      <c r="K27" s="15">
        <f>L27</f>
        <v>326528</v>
      </c>
      <c r="L27" s="15">
        <f>5632*32+4572*32</f>
        <v>326528</v>
      </c>
      <c r="M27" s="15">
        <f t="shared" si="0"/>
        <v>326528</v>
      </c>
      <c r="N27" s="15">
        <v>0</v>
      </c>
      <c r="O27" s="58">
        <f t="shared" si="1"/>
        <v>0</v>
      </c>
      <c r="P27" s="39">
        <f t="shared" si="2"/>
        <v>19</v>
      </c>
      <c r="Q27" s="40">
        <f t="shared" si="3"/>
        <v>5</v>
      </c>
      <c r="R27" s="7"/>
      <c r="S27" s="6"/>
      <c r="T27" s="16">
        <v>5</v>
      </c>
      <c r="U27" s="16"/>
      <c r="V27" s="206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0.79166666666666663</v>
      </c>
      <c r="AD27" s="10">
        <f t="shared" si="6"/>
        <v>0.79166666666666663</v>
      </c>
      <c r="AE27" s="36">
        <f t="shared" si="7"/>
        <v>0.48863636363636354</v>
      </c>
      <c r="AF27" s="84">
        <f t="shared" si="8"/>
        <v>36</v>
      </c>
    </row>
    <row r="28" spans="1:32" ht="31.5" customHeight="1" thickBot="1">
      <c r="A28" s="464" t="s">
        <v>34</v>
      </c>
      <c r="B28" s="465"/>
      <c r="C28" s="465"/>
      <c r="D28" s="465"/>
      <c r="E28" s="465"/>
      <c r="F28" s="465"/>
      <c r="G28" s="465"/>
      <c r="H28" s="466"/>
      <c r="I28" s="22">
        <f t="shared" ref="I28:N28" si="9">SUM(I6:I27)</f>
        <v>2119500</v>
      </c>
      <c r="J28" s="19">
        <f t="shared" si="9"/>
        <v>459993</v>
      </c>
      <c r="K28" s="20">
        <f t="shared" si="9"/>
        <v>1379383</v>
      </c>
      <c r="L28" s="21">
        <f t="shared" si="9"/>
        <v>425417</v>
      </c>
      <c r="M28" s="20">
        <f t="shared" si="9"/>
        <v>425417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258</v>
      </c>
      <c r="Q28" s="43">
        <f t="shared" si="10"/>
        <v>270</v>
      </c>
      <c r="R28" s="23">
        <f t="shared" si="10"/>
        <v>0</v>
      </c>
      <c r="S28" s="24">
        <f t="shared" si="10"/>
        <v>123</v>
      </c>
      <c r="T28" s="24">
        <f t="shared" si="10"/>
        <v>12</v>
      </c>
      <c r="U28" s="24">
        <f t="shared" si="10"/>
        <v>0</v>
      </c>
      <c r="V28" s="25">
        <f t="shared" si="10"/>
        <v>60</v>
      </c>
      <c r="W28" s="26">
        <f t="shared" si="10"/>
        <v>72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3</v>
      </c>
      <c r="AB28" s="28">
        <f>AVERAGE(AB6:AB27)</f>
        <v>0.8</v>
      </c>
      <c r="AC28" s="4">
        <f>AVERAGE(AC6:AC27)</f>
        <v>0.48863636363636354</v>
      </c>
      <c r="AD28" s="4">
        <f>AVERAGE(AD6:AD27)</f>
        <v>0.48863636363636354</v>
      </c>
      <c r="AE28" s="29"/>
    </row>
    <row r="29" spans="1:32">
      <c r="T29" s="50" t="s">
        <v>157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160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67" t="s">
        <v>45</v>
      </c>
      <c r="B55" s="467"/>
      <c r="C55" s="467"/>
      <c r="D55" s="467"/>
      <c r="E55" s="467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68" t="s">
        <v>385</v>
      </c>
      <c r="B56" s="469"/>
      <c r="C56" s="469"/>
      <c r="D56" s="469"/>
      <c r="E56" s="469"/>
      <c r="F56" s="469"/>
      <c r="G56" s="469"/>
      <c r="H56" s="469"/>
      <c r="I56" s="469"/>
      <c r="J56" s="469"/>
      <c r="K56" s="469"/>
      <c r="L56" s="469"/>
      <c r="M56" s="470"/>
      <c r="N56" s="471" t="s">
        <v>392</v>
      </c>
      <c r="O56" s="472"/>
      <c r="P56" s="472"/>
      <c r="Q56" s="472"/>
      <c r="R56" s="472"/>
      <c r="S56" s="472"/>
      <c r="T56" s="472"/>
      <c r="U56" s="472"/>
      <c r="V56" s="472"/>
      <c r="W56" s="472"/>
      <c r="X56" s="472"/>
      <c r="Y56" s="472"/>
      <c r="Z56" s="472"/>
      <c r="AA56" s="472"/>
      <c r="AB56" s="472"/>
      <c r="AC56" s="472"/>
      <c r="AD56" s="473"/>
    </row>
    <row r="57" spans="1:32" ht="27" customHeight="1">
      <c r="A57" s="474" t="s">
        <v>2</v>
      </c>
      <c r="B57" s="475"/>
      <c r="C57" s="270" t="s">
        <v>46</v>
      </c>
      <c r="D57" s="270" t="s">
        <v>47</v>
      </c>
      <c r="E57" s="270" t="s">
        <v>107</v>
      </c>
      <c r="F57" s="476" t="s">
        <v>106</v>
      </c>
      <c r="G57" s="477"/>
      <c r="H57" s="477"/>
      <c r="I57" s="477"/>
      <c r="J57" s="477"/>
      <c r="K57" s="477"/>
      <c r="L57" s="477"/>
      <c r="M57" s="478"/>
      <c r="N57" s="67" t="s">
        <v>110</v>
      </c>
      <c r="O57" s="270" t="s">
        <v>46</v>
      </c>
      <c r="P57" s="476" t="s">
        <v>47</v>
      </c>
      <c r="Q57" s="479"/>
      <c r="R57" s="476" t="s">
        <v>38</v>
      </c>
      <c r="S57" s="477"/>
      <c r="T57" s="477"/>
      <c r="U57" s="479"/>
      <c r="V57" s="476" t="s">
        <v>48</v>
      </c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500" t="s">
        <v>116</v>
      </c>
      <c r="B58" s="501"/>
      <c r="C58" s="265" t="s">
        <v>198</v>
      </c>
      <c r="D58" s="265" t="s">
        <v>140</v>
      </c>
      <c r="E58" s="266" t="s">
        <v>323</v>
      </c>
      <c r="F58" s="492" t="s">
        <v>386</v>
      </c>
      <c r="G58" s="493"/>
      <c r="H58" s="493"/>
      <c r="I58" s="493"/>
      <c r="J58" s="493"/>
      <c r="K58" s="493"/>
      <c r="L58" s="493"/>
      <c r="M58" s="494"/>
      <c r="N58" s="269" t="s">
        <v>116</v>
      </c>
      <c r="O58" s="263" t="s">
        <v>132</v>
      </c>
      <c r="P58" s="495" t="s">
        <v>130</v>
      </c>
      <c r="Q58" s="496"/>
      <c r="R58" s="495" t="s">
        <v>158</v>
      </c>
      <c r="S58" s="497"/>
      <c r="T58" s="497"/>
      <c r="U58" s="496"/>
      <c r="V58" s="498" t="s">
        <v>120</v>
      </c>
      <c r="W58" s="498"/>
      <c r="X58" s="498"/>
      <c r="Y58" s="498"/>
      <c r="Z58" s="498"/>
      <c r="AA58" s="498"/>
      <c r="AB58" s="498"/>
      <c r="AC58" s="498"/>
      <c r="AD58" s="499"/>
    </row>
    <row r="59" spans="1:32" ht="27" customHeight="1">
      <c r="A59" s="500" t="s">
        <v>116</v>
      </c>
      <c r="B59" s="501"/>
      <c r="C59" s="265" t="s">
        <v>132</v>
      </c>
      <c r="D59" s="265" t="s">
        <v>130</v>
      </c>
      <c r="E59" s="266" t="s">
        <v>158</v>
      </c>
      <c r="F59" s="492" t="s">
        <v>387</v>
      </c>
      <c r="G59" s="493"/>
      <c r="H59" s="493"/>
      <c r="I59" s="493"/>
      <c r="J59" s="493"/>
      <c r="K59" s="493"/>
      <c r="L59" s="493"/>
      <c r="M59" s="494"/>
      <c r="N59" s="269" t="s">
        <v>143</v>
      </c>
      <c r="O59" s="263" t="s">
        <v>169</v>
      </c>
      <c r="P59" s="495" t="s">
        <v>150</v>
      </c>
      <c r="Q59" s="496"/>
      <c r="R59" s="495" t="s">
        <v>338</v>
      </c>
      <c r="S59" s="497"/>
      <c r="T59" s="497"/>
      <c r="U59" s="496"/>
      <c r="V59" s="498" t="s">
        <v>120</v>
      </c>
      <c r="W59" s="498"/>
      <c r="X59" s="498"/>
      <c r="Y59" s="498"/>
      <c r="Z59" s="498"/>
      <c r="AA59" s="498"/>
      <c r="AB59" s="498"/>
      <c r="AC59" s="498"/>
      <c r="AD59" s="499"/>
    </row>
    <row r="60" spans="1:32" ht="27" customHeight="1">
      <c r="A60" s="500" t="s">
        <v>241</v>
      </c>
      <c r="B60" s="501"/>
      <c r="C60" s="265" t="s">
        <v>277</v>
      </c>
      <c r="D60" s="265"/>
      <c r="E60" s="266" t="s">
        <v>383</v>
      </c>
      <c r="F60" s="492" t="s">
        <v>125</v>
      </c>
      <c r="G60" s="493"/>
      <c r="H60" s="493"/>
      <c r="I60" s="493"/>
      <c r="J60" s="493"/>
      <c r="K60" s="493"/>
      <c r="L60" s="493"/>
      <c r="M60" s="494"/>
      <c r="N60" s="269" t="s">
        <v>116</v>
      </c>
      <c r="O60" s="263" t="s">
        <v>198</v>
      </c>
      <c r="P60" s="495" t="s">
        <v>140</v>
      </c>
      <c r="Q60" s="496"/>
      <c r="R60" s="495" t="s">
        <v>323</v>
      </c>
      <c r="S60" s="497"/>
      <c r="T60" s="497"/>
      <c r="U60" s="496"/>
      <c r="V60" s="498" t="s">
        <v>120</v>
      </c>
      <c r="W60" s="498"/>
      <c r="X60" s="498"/>
      <c r="Y60" s="498"/>
      <c r="Z60" s="498"/>
      <c r="AA60" s="498"/>
      <c r="AB60" s="498"/>
      <c r="AC60" s="498"/>
      <c r="AD60" s="499"/>
    </row>
    <row r="61" spans="1:32" ht="27" customHeight="1">
      <c r="A61" s="500" t="s">
        <v>112</v>
      </c>
      <c r="B61" s="501"/>
      <c r="C61" s="265" t="s">
        <v>193</v>
      </c>
      <c r="D61" s="265" t="s">
        <v>115</v>
      </c>
      <c r="E61" s="266" t="s">
        <v>361</v>
      </c>
      <c r="F61" s="492" t="s">
        <v>120</v>
      </c>
      <c r="G61" s="493"/>
      <c r="H61" s="493"/>
      <c r="I61" s="493"/>
      <c r="J61" s="493"/>
      <c r="K61" s="493"/>
      <c r="L61" s="493"/>
      <c r="M61" s="494"/>
      <c r="N61" s="269" t="s">
        <v>112</v>
      </c>
      <c r="O61" s="263" t="s">
        <v>221</v>
      </c>
      <c r="P61" s="495" t="s">
        <v>142</v>
      </c>
      <c r="Q61" s="496"/>
      <c r="R61" s="495" t="s">
        <v>161</v>
      </c>
      <c r="S61" s="497"/>
      <c r="T61" s="497"/>
      <c r="U61" s="496"/>
      <c r="V61" s="498" t="s">
        <v>120</v>
      </c>
      <c r="W61" s="498"/>
      <c r="X61" s="498"/>
      <c r="Y61" s="498"/>
      <c r="Z61" s="498"/>
      <c r="AA61" s="498"/>
      <c r="AB61" s="498"/>
      <c r="AC61" s="498"/>
      <c r="AD61" s="499"/>
    </row>
    <row r="62" spans="1:32" ht="27" customHeight="1">
      <c r="A62" s="500" t="s">
        <v>116</v>
      </c>
      <c r="B62" s="501"/>
      <c r="C62" s="265" t="s">
        <v>155</v>
      </c>
      <c r="D62" s="265" t="s">
        <v>115</v>
      </c>
      <c r="E62" s="266" t="s">
        <v>126</v>
      </c>
      <c r="F62" s="492" t="s">
        <v>388</v>
      </c>
      <c r="G62" s="493"/>
      <c r="H62" s="493"/>
      <c r="I62" s="493"/>
      <c r="J62" s="493"/>
      <c r="K62" s="493"/>
      <c r="L62" s="493"/>
      <c r="M62" s="494"/>
      <c r="N62" s="269"/>
      <c r="O62" s="263"/>
      <c r="P62" s="495"/>
      <c r="Q62" s="496"/>
      <c r="R62" s="495"/>
      <c r="S62" s="497"/>
      <c r="T62" s="497"/>
      <c r="U62" s="496"/>
      <c r="V62" s="498"/>
      <c r="W62" s="498"/>
      <c r="X62" s="498"/>
      <c r="Y62" s="498"/>
      <c r="Z62" s="498"/>
      <c r="AA62" s="498"/>
      <c r="AB62" s="498"/>
      <c r="AC62" s="498"/>
      <c r="AD62" s="499"/>
    </row>
    <row r="63" spans="1:32" ht="27" customHeight="1">
      <c r="A63" s="500" t="s">
        <v>380</v>
      </c>
      <c r="B63" s="501"/>
      <c r="C63" s="265" t="s">
        <v>389</v>
      </c>
      <c r="D63" s="265"/>
      <c r="E63" s="266" t="s">
        <v>381</v>
      </c>
      <c r="F63" s="492" t="s">
        <v>125</v>
      </c>
      <c r="G63" s="493"/>
      <c r="H63" s="493"/>
      <c r="I63" s="493"/>
      <c r="J63" s="493"/>
      <c r="K63" s="493"/>
      <c r="L63" s="493"/>
      <c r="M63" s="494"/>
      <c r="N63" s="269"/>
      <c r="O63" s="263"/>
      <c r="P63" s="495"/>
      <c r="Q63" s="496"/>
      <c r="R63" s="495"/>
      <c r="S63" s="497"/>
      <c r="T63" s="497"/>
      <c r="U63" s="496"/>
      <c r="V63" s="498"/>
      <c r="W63" s="498"/>
      <c r="X63" s="498"/>
      <c r="Y63" s="498"/>
      <c r="Z63" s="498"/>
      <c r="AA63" s="498"/>
      <c r="AB63" s="498"/>
      <c r="AC63" s="498"/>
      <c r="AD63" s="499"/>
    </row>
    <row r="64" spans="1:32" ht="27" customHeight="1">
      <c r="A64" s="490" t="s">
        <v>113</v>
      </c>
      <c r="B64" s="491"/>
      <c r="C64" s="266" t="s">
        <v>390</v>
      </c>
      <c r="D64" s="266"/>
      <c r="E64" s="266" t="s">
        <v>384</v>
      </c>
      <c r="F64" s="492" t="s">
        <v>125</v>
      </c>
      <c r="G64" s="493"/>
      <c r="H64" s="493"/>
      <c r="I64" s="493"/>
      <c r="J64" s="493"/>
      <c r="K64" s="493"/>
      <c r="L64" s="493"/>
      <c r="M64" s="494"/>
      <c r="N64" s="269"/>
      <c r="O64" s="263"/>
      <c r="P64" s="495"/>
      <c r="Q64" s="496"/>
      <c r="R64" s="495"/>
      <c r="S64" s="497"/>
      <c r="T64" s="497"/>
      <c r="U64" s="496"/>
      <c r="V64" s="498"/>
      <c r="W64" s="498"/>
      <c r="X64" s="498"/>
      <c r="Y64" s="498"/>
      <c r="Z64" s="498"/>
      <c r="AA64" s="498"/>
      <c r="AB64" s="498"/>
      <c r="AC64" s="498"/>
      <c r="AD64" s="499"/>
    </row>
    <row r="65" spans="1:32" ht="27" customHeight="1">
      <c r="A65" s="500" t="s">
        <v>112</v>
      </c>
      <c r="B65" s="501"/>
      <c r="C65" s="265" t="s">
        <v>221</v>
      </c>
      <c r="D65" s="265" t="s">
        <v>142</v>
      </c>
      <c r="E65" s="266" t="s">
        <v>161</v>
      </c>
      <c r="F65" s="492" t="s">
        <v>391</v>
      </c>
      <c r="G65" s="493"/>
      <c r="H65" s="493"/>
      <c r="I65" s="493"/>
      <c r="J65" s="493"/>
      <c r="K65" s="493"/>
      <c r="L65" s="493"/>
      <c r="M65" s="494"/>
      <c r="N65" s="269"/>
      <c r="O65" s="263"/>
      <c r="P65" s="495"/>
      <c r="Q65" s="496"/>
      <c r="R65" s="495"/>
      <c r="S65" s="497"/>
      <c r="T65" s="497"/>
      <c r="U65" s="496"/>
      <c r="V65" s="498"/>
      <c r="W65" s="498"/>
      <c r="X65" s="498"/>
      <c r="Y65" s="498"/>
      <c r="Z65" s="498"/>
      <c r="AA65" s="498"/>
      <c r="AB65" s="498"/>
      <c r="AC65" s="498"/>
      <c r="AD65" s="499"/>
    </row>
    <row r="66" spans="1:32" ht="27" customHeight="1">
      <c r="A66" s="500" t="s">
        <v>143</v>
      </c>
      <c r="B66" s="501"/>
      <c r="C66" s="265" t="s">
        <v>286</v>
      </c>
      <c r="D66" s="265"/>
      <c r="E66" s="266" t="s">
        <v>340</v>
      </c>
      <c r="F66" s="492" t="s">
        <v>120</v>
      </c>
      <c r="G66" s="493"/>
      <c r="H66" s="493"/>
      <c r="I66" s="493"/>
      <c r="J66" s="493"/>
      <c r="K66" s="493"/>
      <c r="L66" s="493"/>
      <c r="M66" s="494"/>
      <c r="N66" s="269"/>
      <c r="O66" s="263"/>
      <c r="P66" s="491"/>
      <c r="Q66" s="491"/>
      <c r="R66" s="491"/>
      <c r="S66" s="491"/>
      <c r="T66" s="491"/>
      <c r="U66" s="491"/>
      <c r="V66" s="498"/>
      <c r="W66" s="498"/>
      <c r="X66" s="498"/>
      <c r="Y66" s="498"/>
      <c r="Z66" s="498"/>
      <c r="AA66" s="498"/>
      <c r="AB66" s="498"/>
      <c r="AC66" s="498"/>
      <c r="AD66" s="499"/>
      <c r="AF66" s="84">
        <f>8*3000</f>
        <v>24000</v>
      </c>
    </row>
    <row r="67" spans="1:32" ht="27" customHeight="1" thickBot="1">
      <c r="A67" s="502" t="s">
        <v>112</v>
      </c>
      <c r="B67" s="503"/>
      <c r="C67" s="267" t="s">
        <v>206</v>
      </c>
      <c r="D67" s="268" t="s">
        <v>115</v>
      </c>
      <c r="E67" s="267" t="s">
        <v>369</v>
      </c>
      <c r="F67" s="504" t="s">
        <v>125</v>
      </c>
      <c r="G67" s="505"/>
      <c r="H67" s="505"/>
      <c r="I67" s="505"/>
      <c r="J67" s="505"/>
      <c r="K67" s="505"/>
      <c r="L67" s="505"/>
      <c r="M67" s="506"/>
      <c r="N67" s="111"/>
      <c r="O67" s="103"/>
      <c r="P67" s="507"/>
      <c r="Q67" s="507"/>
      <c r="R67" s="507"/>
      <c r="S67" s="507"/>
      <c r="T67" s="507"/>
      <c r="U67" s="507"/>
      <c r="V67" s="508"/>
      <c r="W67" s="508"/>
      <c r="X67" s="508"/>
      <c r="Y67" s="508"/>
      <c r="Z67" s="508"/>
      <c r="AA67" s="508"/>
      <c r="AB67" s="508"/>
      <c r="AC67" s="508"/>
      <c r="AD67" s="509"/>
      <c r="AF67" s="84">
        <f>16*3000</f>
        <v>48000</v>
      </c>
    </row>
    <row r="68" spans="1:32" ht="27.75" thickBot="1">
      <c r="A68" s="510" t="s">
        <v>393</v>
      </c>
      <c r="B68" s="510"/>
      <c r="C68" s="510"/>
      <c r="D68" s="510"/>
      <c r="E68" s="51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11" t="s">
        <v>111</v>
      </c>
      <c r="B69" s="512"/>
      <c r="C69" s="264" t="s">
        <v>2</v>
      </c>
      <c r="D69" s="264" t="s">
        <v>37</v>
      </c>
      <c r="E69" s="264" t="s">
        <v>3</v>
      </c>
      <c r="F69" s="512" t="s">
        <v>109</v>
      </c>
      <c r="G69" s="512"/>
      <c r="H69" s="512"/>
      <c r="I69" s="512"/>
      <c r="J69" s="512"/>
      <c r="K69" s="512" t="s">
        <v>39</v>
      </c>
      <c r="L69" s="512"/>
      <c r="M69" s="264" t="s">
        <v>40</v>
      </c>
      <c r="N69" s="512" t="s">
        <v>41</v>
      </c>
      <c r="O69" s="512"/>
      <c r="P69" s="513" t="s">
        <v>42</v>
      </c>
      <c r="Q69" s="514"/>
      <c r="R69" s="513" t="s">
        <v>43</v>
      </c>
      <c r="S69" s="515"/>
      <c r="T69" s="515"/>
      <c r="U69" s="515"/>
      <c r="V69" s="515"/>
      <c r="W69" s="515"/>
      <c r="X69" s="515"/>
      <c r="Y69" s="515"/>
      <c r="Z69" s="515"/>
      <c r="AA69" s="514"/>
      <c r="AB69" s="512" t="s">
        <v>44</v>
      </c>
      <c r="AC69" s="512"/>
      <c r="AD69" s="516"/>
      <c r="AF69" s="84">
        <f>SUM(AF66:AF68)</f>
        <v>96000</v>
      </c>
    </row>
    <row r="70" spans="1:32" ht="25.5" customHeight="1">
      <c r="A70" s="517">
        <v>1</v>
      </c>
      <c r="B70" s="518"/>
      <c r="C70" s="104" t="s">
        <v>116</v>
      </c>
      <c r="D70" s="259"/>
      <c r="E70" s="262" t="s">
        <v>123</v>
      </c>
      <c r="F70" s="519" t="s">
        <v>394</v>
      </c>
      <c r="G70" s="520"/>
      <c r="H70" s="520"/>
      <c r="I70" s="520"/>
      <c r="J70" s="521"/>
      <c r="K70" s="522" t="s">
        <v>134</v>
      </c>
      <c r="L70" s="522"/>
      <c r="M70" s="51" t="s">
        <v>395</v>
      </c>
      <c r="N70" s="523" t="s">
        <v>286</v>
      </c>
      <c r="O70" s="523"/>
      <c r="P70" s="524">
        <v>50</v>
      </c>
      <c r="Q70" s="524"/>
      <c r="R70" s="498" t="s">
        <v>396</v>
      </c>
      <c r="S70" s="498"/>
      <c r="T70" s="498"/>
      <c r="U70" s="498"/>
      <c r="V70" s="498"/>
      <c r="W70" s="498"/>
      <c r="X70" s="498"/>
      <c r="Y70" s="498"/>
      <c r="Z70" s="498"/>
      <c r="AA70" s="498"/>
      <c r="AB70" s="522"/>
      <c r="AC70" s="522"/>
      <c r="AD70" s="525"/>
      <c r="AF70" s="50"/>
    </row>
    <row r="71" spans="1:32" ht="25.5" customHeight="1">
      <c r="A71" s="517">
        <v>2</v>
      </c>
      <c r="B71" s="518"/>
      <c r="C71" s="104" t="s">
        <v>203</v>
      </c>
      <c r="D71" s="259"/>
      <c r="E71" s="262" t="s">
        <v>398</v>
      </c>
      <c r="F71" s="519" t="s">
        <v>397</v>
      </c>
      <c r="G71" s="520"/>
      <c r="H71" s="520"/>
      <c r="I71" s="520"/>
      <c r="J71" s="521"/>
      <c r="K71" s="522">
        <v>7301</v>
      </c>
      <c r="L71" s="522"/>
      <c r="M71" s="51" t="s">
        <v>178</v>
      </c>
      <c r="N71" s="523" t="s">
        <v>206</v>
      </c>
      <c r="O71" s="523"/>
      <c r="P71" s="524">
        <v>50</v>
      </c>
      <c r="Q71" s="524"/>
      <c r="R71" s="498"/>
      <c r="S71" s="498"/>
      <c r="T71" s="498"/>
      <c r="U71" s="498"/>
      <c r="V71" s="498"/>
      <c r="W71" s="498"/>
      <c r="X71" s="498"/>
      <c r="Y71" s="498"/>
      <c r="Z71" s="498"/>
      <c r="AA71" s="498"/>
      <c r="AB71" s="522"/>
      <c r="AC71" s="522"/>
      <c r="AD71" s="525"/>
      <c r="AF71" s="50"/>
    </row>
    <row r="72" spans="1:32" ht="25.5" customHeight="1">
      <c r="A72" s="517">
        <v>3</v>
      </c>
      <c r="B72" s="518"/>
      <c r="C72" s="104"/>
      <c r="D72" s="259"/>
      <c r="E72" s="262"/>
      <c r="F72" s="519"/>
      <c r="G72" s="520"/>
      <c r="H72" s="520"/>
      <c r="I72" s="520"/>
      <c r="J72" s="521"/>
      <c r="K72" s="522"/>
      <c r="L72" s="522"/>
      <c r="M72" s="51"/>
      <c r="N72" s="523"/>
      <c r="O72" s="523"/>
      <c r="P72" s="524"/>
      <c r="Q72" s="524"/>
      <c r="R72" s="498"/>
      <c r="S72" s="498"/>
      <c r="T72" s="498"/>
      <c r="U72" s="498"/>
      <c r="V72" s="498"/>
      <c r="W72" s="498"/>
      <c r="X72" s="498"/>
      <c r="Y72" s="498"/>
      <c r="Z72" s="498"/>
      <c r="AA72" s="498"/>
      <c r="AB72" s="522"/>
      <c r="AC72" s="522"/>
      <c r="AD72" s="525"/>
      <c r="AF72" s="50"/>
    </row>
    <row r="73" spans="1:32" ht="25.5" customHeight="1">
      <c r="A73" s="517">
        <v>4</v>
      </c>
      <c r="B73" s="518"/>
      <c r="C73" s="104"/>
      <c r="D73" s="259"/>
      <c r="E73" s="262"/>
      <c r="F73" s="519"/>
      <c r="G73" s="520"/>
      <c r="H73" s="520"/>
      <c r="I73" s="520"/>
      <c r="J73" s="521"/>
      <c r="K73" s="522"/>
      <c r="L73" s="522"/>
      <c r="M73" s="51"/>
      <c r="N73" s="523"/>
      <c r="O73" s="523"/>
      <c r="P73" s="524"/>
      <c r="Q73" s="524"/>
      <c r="R73" s="498"/>
      <c r="S73" s="498"/>
      <c r="T73" s="498"/>
      <c r="U73" s="498"/>
      <c r="V73" s="498"/>
      <c r="W73" s="498"/>
      <c r="X73" s="498"/>
      <c r="Y73" s="498"/>
      <c r="Z73" s="498"/>
      <c r="AA73" s="498"/>
      <c r="AB73" s="522"/>
      <c r="AC73" s="522"/>
      <c r="AD73" s="525"/>
      <c r="AF73" s="50"/>
    </row>
    <row r="74" spans="1:32" ht="25.5" customHeight="1">
      <c r="A74" s="517">
        <v>5</v>
      </c>
      <c r="B74" s="518"/>
      <c r="C74" s="104"/>
      <c r="D74" s="259"/>
      <c r="E74" s="262"/>
      <c r="F74" s="519"/>
      <c r="G74" s="520"/>
      <c r="H74" s="520"/>
      <c r="I74" s="520"/>
      <c r="J74" s="521"/>
      <c r="K74" s="522"/>
      <c r="L74" s="522"/>
      <c r="M74" s="51"/>
      <c r="N74" s="523"/>
      <c r="O74" s="523"/>
      <c r="P74" s="524"/>
      <c r="Q74" s="524"/>
      <c r="R74" s="498"/>
      <c r="S74" s="498"/>
      <c r="T74" s="498"/>
      <c r="U74" s="498"/>
      <c r="V74" s="498"/>
      <c r="W74" s="498"/>
      <c r="X74" s="498"/>
      <c r="Y74" s="498"/>
      <c r="Z74" s="498"/>
      <c r="AA74" s="498"/>
      <c r="AB74" s="522"/>
      <c r="AC74" s="522"/>
      <c r="AD74" s="525"/>
      <c r="AF74" s="50"/>
    </row>
    <row r="75" spans="1:32" ht="25.5" customHeight="1">
      <c r="A75" s="517">
        <v>6</v>
      </c>
      <c r="B75" s="518"/>
      <c r="C75" s="104"/>
      <c r="D75" s="259"/>
      <c r="E75" s="262"/>
      <c r="F75" s="519"/>
      <c r="G75" s="520"/>
      <c r="H75" s="520"/>
      <c r="I75" s="520"/>
      <c r="J75" s="521"/>
      <c r="K75" s="522"/>
      <c r="L75" s="522"/>
      <c r="M75" s="51"/>
      <c r="N75" s="523"/>
      <c r="O75" s="523"/>
      <c r="P75" s="524"/>
      <c r="Q75" s="524"/>
      <c r="R75" s="498"/>
      <c r="S75" s="498"/>
      <c r="T75" s="498"/>
      <c r="U75" s="498"/>
      <c r="V75" s="498"/>
      <c r="W75" s="498"/>
      <c r="X75" s="498"/>
      <c r="Y75" s="498"/>
      <c r="Z75" s="498"/>
      <c r="AA75" s="498"/>
      <c r="AB75" s="522"/>
      <c r="AC75" s="522"/>
      <c r="AD75" s="525"/>
      <c r="AF75" s="50"/>
    </row>
    <row r="76" spans="1:32" ht="25.5" customHeight="1">
      <c r="A76" s="517">
        <v>7</v>
      </c>
      <c r="B76" s="518"/>
      <c r="C76" s="104"/>
      <c r="D76" s="259"/>
      <c r="E76" s="262"/>
      <c r="F76" s="519"/>
      <c r="G76" s="520"/>
      <c r="H76" s="520"/>
      <c r="I76" s="520"/>
      <c r="J76" s="521"/>
      <c r="K76" s="522"/>
      <c r="L76" s="522"/>
      <c r="M76" s="51"/>
      <c r="N76" s="523"/>
      <c r="O76" s="523"/>
      <c r="P76" s="524"/>
      <c r="Q76" s="524"/>
      <c r="R76" s="498"/>
      <c r="S76" s="498"/>
      <c r="T76" s="498"/>
      <c r="U76" s="498"/>
      <c r="V76" s="498"/>
      <c r="W76" s="498"/>
      <c r="X76" s="498"/>
      <c r="Y76" s="498"/>
      <c r="Z76" s="498"/>
      <c r="AA76" s="498"/>
      <c r="AB76" s="522"/>
      <c r="AC76" s="522"/>
      <c r="AD76" s="525"/>
      <c r="AF76" s="50"/>
    </row>
    <row r="77" spans="1:32" ht="25.5" customHeight="1">
      <c r="A77" s="517">
        <v>8</v>
      </c>
      <c r="B77" s="518"/>
      <c r="C77" s="104"/>
      <c r="D77" s="259"/>
      <c r="E77" s="262"/>
      <c r="F77" s="526"/>
      <c r="G77" s="522"/>
      <c r="H77" s="522"/>
      <c r="I77" s="522"/>
      <c r="J77" s="522"/>
      <c r="K77" s="522"/>
      <c r="L77" s="522"/>
      <c r="M77" s="51"/>
      <c r="N77" s="523"/>
      <c r="O77" s="523"/>
      <c r="P77" s="524"/>
      <c r="Q77" s="524"/>
      <c r="R77" s="498"/>
      <c r="S77" s="498"/>
      <c r="T77" s="498"/>
      <c r="U77" s="498"/>
      <c r="V77" s="498"/>
      <c r="W77" s="498"/>
      <c r="X77" s="498"/>
      <c r="Y77" s="498"/>
      <c r="Z77" s="498"/>
      <c r="AA77" s="498"/>
      <c r="AB77" s="522"/>
      <c r="AC77" s="522"/>
      <c r="AD77" s="525"/>
      <c r="AF77" s="50"/>
    </row>
    <row r="78" spans="1:32" ht="25.5" customHeight="1">
      <c r="A78" s="517">
        <v>9</v>
      </c>
      <c r="B78" s="518"/>
      <c r="C78" s="104"/>
      <c r="D78" s="259"/>
      <c r="E78" s="262"/>
      <c r="F78" s="526"/>
      <c r="G78" s="522"/>
      <c r="H78" s="522"/>
      <c r="I78" s="522"/>
      <c r="J78" s="522"/>
      <c r="K78" s="522"/>
      <c r="L78" s="522"/>
      <c r="M78" s="51"/>
      <c r="N78" s="523"/>
      <c r="O78" s="523"/>
      <c r="P78" s="524"/>
      <c r="Q78" s="524"/>
      <c r="R78" s="498"/>
      <c r="S78" s="498"/>
      <c r="T78" s="498"/>
      <c r="U78" s="498"/>
      <c r="V78" s="498"/>
      <c r="W78" s="498"/>
      <c r="X78" s="498"/>
      <c r="Y78" s="498"/>
      <c r="Z78" s="498"/>
      <c r="AA78" s="498"/>
      <c r="AB78" s="522"/>
      <c r="AC78" s="522"/>
      <c r="AD78" s="525"/>
      <c r="AF78" s="50"/>
    </row>
    <row r="79" spans="1:32" ht="25.5" customHeight="1">
      <c r="A79" s="517">
        <v>10</v>
      </c>
      <c r="B79" s="518"/>
      <c r="C79" s="104"/>
      <c r="D79" s="259"/>
      <c r="E79" s="262"/>
      <c r="F79" s="526"/>
      <c r="G79" s="522"/>
      <c r="H79" s="522"/>
      <c r="I79" s="522"/>
      <c r="J79" s="522"/>
      <c r="K79" s="522"/>
      <c r="L79" s="522"/>
      <c r="M79" s="51"/>
      <c r="N79" s="523"/>
      <c r="O79" s="523"/>
      <c r="P79" s="524"/>
      <c r="Q79" s="524"/>
      <c r="R79" s="498"/>
      <c r="S79" s="498"/>
      <c r="T79" s="498"/>
      <c r="U79" s="498"/>
      <c r="V79" s="498"/>
      <c r="W79" s="498"/>
      <c r="X79" s="498"/>
      <c r="Y79" s="498"/>
      <c r="Z79" s="498"/>
      <c r="AA79" s="498"/>
      <c r="AB79" s="522"/>
      <c r="AC79" s="522"/>
      <c r="AD79" s="525"/>
      <c r="AF79" s="50"/>
    </row>
    <row r="80" spans="1:32" ht="26.25" customHeight="1" thickBot="1">
      <c r="A80" s="527" t="s">
        <v>399</v>
      </c>
      <c r="B80" s="527"/>
      <c r="C80" s="527"/>
      <c r="D80" s="527"/>
      <c r="E80" s="527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528" t="s">
        <v>111</v>
      </c>
      <c r="B81" s="529"/>
      <c r="C81" s="261" t="s">
        <v>2</v>
      </c>
      <c r="D81" s="261" t="s">
        <v>37</v>
      </c>
      <c r="E81" s="261" t="s">
        <v>121</v>
      </c>
      <c r="F81" s="530" t="s">
        <v>38</v>
      </c>
      <c r="G81" s="530"/>
      <c r="H81" s="530"/>
      <c r="I81" s="530"/>
      <c r="J81" s="530"/>
      <c r="K81" s="531" t="s">
        <v>58</v>
      </c>
      <c r="L81" s="532"/>
      <c r="M81" s="532"/>
      <c r="N81" s="532"/>
      <c r="O81" s="532"/>
      <c r="P81" s="532"/>
      <c r="Q81" s="532"/>
      <c r="R81" s="532"/>
      <c r="S81" s="533"/>
      <c r="T81" s="530" t="s">
        <v>49</v>
      </c>
      <c r="U81" s="530"/>
      <c r="V81" s="531" t="s">
        <v>50</v>
      </c>
      <c r="W81" s="533"/>
      <c r="X81" s="532" t="s">
        <v>51</v>
      </c>
      <c r="Y81" s="532"/>
      <c r="Z81" s="532"/>
      <c r="AA81" s="532"/>
      <c r="AB81" s="532"/>
      <c r="AC81" s="532"/>
      <c r="AD81" s="534"/>
      <c r="AF81" s="50"/>
    </row>
    <row r="82" spans="1:32" ht="33.75" customHeight="1">
      <c r="A82" s="543">
        <v>1</v>
      </c>
      <c r="B82" s="544"/>
      <c r="C82" s="260"/>
      <c r="D82" s="260"/>
      <c r="E82" s="65"/>
      <c r="F82" s="545"/>
      <c r="G82" s="546"/>
      <c r="H82" s="546"/>
      <c r="I82" s="546"/>
      <c r="J82" s="547"/>
      <c r="K82" s="548"/>
      <c r="L82" s="549"/>
      <c r="M82" s="549"/>
      <c r="N82" s="549"/>
      <c r="O82" s="549"/>
      <c r="P82" s="549"/>
      <c r="Q82" s="549"/>
      <c r="R82" s="549"/>
      <c r="S82" s="550"/>
      <c r="T82" s="551"/>
      <c r="U82" s="552"/>
      <c r="V82" s="553"/>
      <c r="W82" s="553"/>
      <c r="X82" s="554"/>
      <c r="Y82" s="554"/>
      <c r="Z82" s="554"/>
      <c r="AA82" s="554"/>
      <c r="AB82" s="554"/>
      <c r="AC82" s="554"/>
      <c r="AD82" s="555"/>
      <c r="AF82" s="50"/>
    </row>
    <row r="83" spans="1:32" ht="30" customHeight="1">
      <c r="A83" s="535">
        <f>A82+1</f>
        <v>2</v>
      </c>
      <c r="B83" s="536"/>
      <c r="C83" s="259"/>
      <c r="D83" s="259"/>
      <c r="E83" s="32"/>
      <c r="F83" s="536"/>
      <c r="G83" s="536"/>
      <c r="H83" s="536"/>
      <c r="I83" s="536"/>
      <c r="J83" s="536"/>
      <c r="K83" s="537"/>
      <c r="L83" s="538"/>
      <c r="M83" s="538"/>
      <c r="N83" s="538"/>
      <c r="O83" s="538"/>
      <c r="P83" s="538"/>
      <c r="Q83" s="538"/>
      <c r="R83" s="538"/>
      <c r="S83" s="539"/>
      <c r="T83" s="540"/>
      <c r="U83" s="540"/>
      <c r="V83" s="540"/>
      <c r="W83" s="540"/>
      <c r="X83" s="541"/>
      <c r="Y83" s="541"/>
      <c r="Z83" s="541"/>
      <c r="AA83" s="541"/>
      <c r="AB83" s="541"/>
      <c r="AC83" s="541"/>
      <c r="AD83" s="542"/>
      <c r="AF83" s="50"/>
    </row>
    <row r="84" spans="1:32" ht="30" customHeight="1">
      <c r="A84" s="535">
        <f t="shared" ref="A84:A88" si="11">A83+1</f>
        <v>3</v>
      </c>
      <c r="B84" s="536"/>
      <c r="C84" s="259"/>
      <c r="D84" s="259"/>
      <c r="E84" s="32"/>
      <c r="F84" s="536"/>
      <c r="G84" s="536"/>
      <c r="H84" s="536"/>
      <c r="I84" s="536"/>
      <c r="J84" s="536"/>
      <c r="K84" s="537"/>
      <c r="L84" s="538"/>
      <c r="M84" s="538"/>
      <c r="N84" s="538"/>
      <c r="O84" s="538"/>
      <c r="P84" s="538"/>
      <c r="Q84" s="538"/>
      <c r="R84" s="538"/>
      <c r="S84" s="539"/>
      <c r="T84" s="540"/>
      <c r="U84" s="540"/>
      <c r="V84" s="540"/>
      <c r="W84" s="540"/>
      <c r="X84" s="541"/>
      <c r="Y84" s="541"/>
      <c r="Z84" s="541"/>
      <c r="AA84" s="541"/>
      <c r="AB84" s="541"/>
      <c r="AC84" s="541"/>
      <c r="AD84" s="542"/>
      <c r="AF84" s="50"/>
    </row>
    <row r="85" spans="1:32" ht="30" customHeight="1">
      <c r="A85" s="535">
        <f t="shared" si="11"/>
        <v>4</v>
      </c>
      <c r="B85" s="536"/>
      <c r="C85" s="259"/>
      <c r="D85" s="259"/>
      <c r="E85" s="32"/>
      <c r="F85" s="536"/>
      <c r="G85" s="536"/>
      <c r="H85" s="536"/>
      <c r="I85" s="536"/>
      <c r="J85" s="536"/>
      <c r="K85" s="537"/>
      <c r="L85" s="538"/>
      <c r="M85" s="538"/>
      <c r="N85" s="538"/>
      <c r="O85" s="538"/>
      <c r="P85" s="538"/>
      <c r="Q85" s="538"/>
      <c r="R85" s="538"/>
      <c r="S85" s="539"/>
      <c r="T85" s="540"/>
      <c r="U85" s="540"/>
      <c r="V85" s="540"/>
      <c r="W85" s="540"/>
      <c r="X85" s="541"/>
      <c r="Y85" s="541"/>
      <c r="Z85" s="541"/>
      <c r="AA85" s="541"/>
      <c r="AB85" s="541"/>
      <c r="AC85" s="541"/>
      <c r="AD85" s="542"/>
      <c r="AF85" s="50"/>
    </row>
    <row r="86" spans="1:32" ht="30" customHeight="1">
      <c r="A86" s="535">
        <f t="shared" si="11"/>
        <v>5</v>
      </c>
      <c r="B86" s="536"/>
      <c r="C86" s="259"/>
      <c r="D86" s="259"/>
      <c r="E86" s="32"/>
      <c r="F86" s="536"/>
      <c r="G86" s="536"/>
      <c r="H86" s="536"/>
      <c r="I86" s="536"/>
      <c r="J86" s="536"/>
      <c r="K86" s="537"/>
      <c r="L86" s="538"/>
      <c r="M86" s="538"/>
      <c r="N86" s="538"/>
      <c r="O86" s="538"/>
      <c r="P86" s="538"/>
      <c r="Q86" s="538"/>
      <c r="R86" s="538"/>
      <c r="S86" s="539"/>
      <c r="T86" s="540"/>
      <c r="U86" s="540"/>
      <c r="V86" s="540"/>
      <c r="W86" s="540"/>
      <c r="X86" s="541"/>
      <c r="Y86" s="541"/>
      <c r="Z86" s="541"/>
      <c r="AA86" s="541"/>
      <c r="AB86" s="541"/>
      <c r="AC86" s="541"/>
      <c r="AD86" s="542"/>
      <c r="AF86" s="50"/>
    </row>
    <row r="87" spans="1:32" ht="30" customHeight="1">
      <c r="A87" s="535">
        <f t="shared" si="11"/>
        <v>6</v>
      </c>
      <c r="B87" s="536"/>
      <c r="C87" s="259"/>
      <c r="D87" s="259"/>
      <c r="E87" s="32"/>
      <c r="F87" s="536"/>
      <c r="G87" s="536"/>
      <c r="H87" s="536"/>
      <c r="I87" s="536"/>
      <c r="J87" s="536"/>
      <c r="K87" s="537"/>
      <c r="L87" s="538"/>
      <c r="M87" s="538"/>
      <c r="N87" s="538"/>
      <c r="O87" s="538"/>
      <c r="P87" s="538"/>
      <c r="Q87" s="538"/>
      <c r="R87" s="538"/>
      <c r="S87" s="539"/>
      <c r="T87" s="540"/>
      <c r="U87" s="540"/>
      <c r="V87" s="540"/>
      <c r="W87" s="540"/>
      <c r="X87" s="541"/>
      <c r="Y87" s="541"/>
      <c r="Z87" s="541"/>
      <c r="AA87" s="541"/>
      <c r="AB87" s="541"/>
      <c r="AC87" s="541"/>
      <c r="AD87" s="542"/>
      <c r="AF87" s="50"/>
    </row>
    <row r="88" spans="1:32" ht="30" customHeight="1">
      <c r="A88" s="535">
        <f t="shared" si="11"/>
        <v>7</v>
      </c>
      <c r="B88" s="536"/>
      <c r="C88" s="259"/>
      <c r="D88" s="259"/>
      <c r="E88" s="32"/>
      <c r="F88" s="536"/>
      <c r="G88" s="536"/>
      <c r="H88" s="536"/>
      <c r="I88" s="536"/>
      <c r="J88" s="536"/>
      <c r="K88" s="537"/>
      <c r="L88" s="538"/>
      <c r="M88" s="538"/>
      <c r="N88" s="538"/>
      <c r="O88" s="538"/>
      <c r="P88" s="538"/>
      <c r="Q88" s="538"/>
      <c r="R88" s="538"/>
      <c r="S88" s="539"/>
      <c r="T88" s="540"/>
      <c r="U88" s="540"/>
      <c r="V88" s="540"/>
      <c r="W88" s="540"/>
      <c r="X88" s="541"/>
      <c r="Y88" s="541"/>
      <c r="Z88" s="541"/>
      <c r="AA88" s="541"/>
      <c r="AB88" s="541"/>
      <c r="AC88" s="541"/>
      <c r="AD88" s="542"/>
      <c r="AF88" s="50"/>
    </row>
    <row r="89" spans="1:32" ht="36" thickBot="1">
      <c r="A89" s="527" t="s">
        <v>400</v>
      </c>
      <c r="B89" s="527"/>
      <c r="C89" s="527"/>
      <c r="D89" s="527"/>
      <c r="E89" s="527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56" t="s">
        <v>111</v>
      </c>
      <c r="B90" s="530"/>
      <c r="C90" s="557" t="s">
        <v>52</v>
      </c>
      <c r="D90" s="557"/>
      <c r="E90" s="557" t="s">
        <v>53</v>
      </c>
      <c r="F90" s="557"/>
      <c r="G90" s="557"/>
      <c r="H90" s="557"/>
      <c r="I90" s="557"/>
      <c r="J90" s="557"/>
      <c r="K90" s="557" t="s">
        <v>54</v>
      </c>
      <c r="L90" s="557"/>
      <c r="M90" s="557"/>
      <c r="N90" s="557"/>
      <c r="O90" s="557"/>
      <c r="P90" s="557"/>
      <c r="Q90" s="557"/>
      <c r="R90" s="557"/>
      <c r="S90" s="557"/>
      <c r="T90" s="557" t="s">
        <v>55</v>
      </c>
      <c r="U90" s="557"/>
      <c r="V90" s="557" t="s">
        <v>56</v>
      </c>
      <c r="W90" s="557"/>
      <c r="X90" s="557"/>
      <c r="Y90" s="557" t="s">
        <v>51</v>
      </c>
      <c r="Z90" s="557"/>
      <c r="AA90" s="557"/>
      <c r="AB90" s="557"/>
      <c r="AC90" s="557"/>
      <c r="AD90" s="558"/>
      <c r="AF90" s="50"/>
    </row>
    <row r="91" spans="1:32" ht="30.75" customHeight="1">
      <c r="A91" s="543">
        <v>1</v>
      </c>
      <c r="B91" s="544"/>
      <c r="C91" s="559">
        <v>9</v>
      </c>
      <c r="D91" s="559"/>
      <c r="E91" s="559" t="s">
        <v>127</v>
      </c>
      <c r="F91" s="559"/>
      <c r="G91" s="559"/>
      <c r="H91" s="559"/>
      <c r="I91" s="559"/>
      <c r="J91" s="559"/>
      <c r="K91" s="559" t="s">
        <v>136</v>
      </c>
      <c r="L91" s="559"/>
      <c r="M91" s="559"/>
      <c r="N91" s="559"/>
      <c r="O91" s="559"/>
      <c r="P91" s="559"/>
      <c r="Q91" s="559"/>
      <c r="R91" s="559"/>
      <c r="S91" s="559"/>
      <c r="T91" s="559" t="s">
        <v>128</v>
      </c>
      <c r="U91" s="559"/>
      <c r="V91" s="560" t="s">
        <v>133</v>
      </c>
      <c r="W91" s="560"/>
      <c r="X91" s="560"/>
      <c r="Y91" s="561"/>
      <c r="Z91" s="561"/>
      <c r="AA91" s="561"/>
      <c r="AB91" s="561"/>
      <c r="AC91" s="561"/>
      <c r="AD91" s="562"/>
      <c r="AF91" s="50"/>
    </row>
    <row r="92" spans="1:32" ht="30.75" customHeight="1">
      <c r="A92" s="535">
        <v>2</v>
      </c>
      <c r="B92" s="536"/>
      <c r="C92" s="570"/>
      <c r="D92" s="570"/>
      <c r="E92" s="570"/>
      <c r="F92" s="570"/>
      <c r="G92" s="570"/>
      <c r="H92" s="570"/>
      <c r="I92" s="570"/>
      <c r="J92" s="570"/>
      <c r="K92" s="570"/>
      <c r="L92" s="570"/>
      <c r="M92" s="570"/>
      <c r="N92" s="570"/>
      <c r="O92" s="570"/>
      <c r="P92" s="570"/>
      <c r="Q92" s="570"/>
      <c r="R92" s="570"/>
      <c r="S92" s="570"/>
      <c r="T92" s="571"/>
      <c r="U92" s="571"/>
      <c r="V92" s="572"/>
      <c r="W92" s="572"/>
      <c r="X92" s="572"/>
      <c r="Y92" s="563"/>
      <c r="Z92" s="563"/>
      <c r="AA92" s="563"/>
      <c r="AB92" s="563"/>
      <c r="AC92" s="563"/>
      <c r="AD92" s="564"/>
      <c r="AF92" s="50"/>
    </row>
    <row r="93" spans="1:32" ht="30.75" customHeight="1" thickBot="1">
      <c r="A93" s="565">
        <v>3</v>
      </c>
      <c r="B93" s="566"/>
      <c r="C93" s="567"/>
      <c r="D93" s="567"/>
      <c r="E93" s="567"/>
      <c r="F93" s="567"/>
      <c r="G93" s="567"/>
      <c r="H93" s="567"/>
      <c r="I93" s="567"/>
      <c r="J93" s="567"/>
      <c r="K93" s="567"/>
      <c r="L93" s="567"/>
      <c r="M93" s="567"/>
      <c r="N93" s="567"/>
      <c r="O93" s="567"/>
      <c r="P93" s="567"/>
      <c r="Q93" s="567"/>
      <c r="R93" s="567"/>
      <c r="S93" s="567"/>
      <c r="T93" s="567"/>
      <c r="U93" s="567"/>
      <c r="V93" s="573"/>
      <c r="W93" s="573"/>
      <c r="X93" s="573"/>
      <c r="Y93" s="568"/>
      <c r="Z93" s="568"/>
      <c r="AA93" s="568"/>
      <c r="AB93" s="568"/>
      <c r="AC93" s="568"/>
      <c r="AD93" s="569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3" max="29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5801-0C12-4EF7-A415-EE7DC159339B}">
  <dimension ref="A1:AF94"/>
  <sheetViews>
    <sheetView view="pageBreakPreview" topLeftCell="A7" zoomScale="70" zoomScaleNormal="72" zoomScaleSheetLayoutView="70" workbookViewId="0">
      <selection activeCell="M76" sqref="M7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50" t="s">
        <v>401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1"/>
      <c r="B3" s="451"/>
      <c r="C3" s="451"/>
      <c r="D3" s="451"/>
      <c r="E3" s="451"/>
      <c r="F3" s="451"/>
      <c r="G3" s="45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52" t="s">
        <v>0</v>
      </c>
      <c r="B4" s="454" t="s">
        <v>1</v>
      </c>
      <c r="C4" s="454" t="s">
        <v>2</v>
      </c>
      <c r="D4" s="457" t="s">
        <v>3</v>
      </c>
      <c r="E4" s="459" t="s">
        <v>4</v>
      </c>
      <c r="F4" s="457" t="s">
        <v>5</v>
      </c>
      <c r="G4" s="454" t="s">
        <v>6</v>
      </c>
      <c r="H4" s="460" t="s">
        <v>7</v>
      </c>
      <c r="I4" s="480" t="s">
        <v>8</v>
      </c>
      <c r="J4" s="481"/>
      <c r="K4" s="481"/>
      <c r="L4" s="481"/>
      <c r="M4" s="481"/>
      <c r="N4" s="481"/>
      <c r="O4" s="482"/>
      <c r="P4" s="483" t="s">
        <v>9</v>
      </c>
      <c r="Q4" s="484"/>
      <c r="R4" s="486" t="s">
        <v>10</v>
      </c>
      <c r="S4" s="485"/>
      <c r="T4" s="485"/>
      <c r="U4" s="485"/>
      <c r="V4" s="487"/>
      <c r="W4" s="485" t="s">
        <v>11</v>
      </c>
      <c r="X4" s="485"/>
      <c r="Y4" s="485"/>
      <c r="Z4" s="485"/>
      <c r="AA4" s="487"/>
      <c r="AB4" s="488" t="s">
        <v>12</v>
      </c>
      <c r="AC4" s="462" t="s">
        <v>13</v>
      </c>
      <c r="AD4" s="462" t="s">
        <v>14</v>
      </c>
      <c r="AE4" s="54"/>
    </row>
    <row r="5" spans="1:32" ht="51" customHeight="1" thickBot="1">
      <c r="A5" s="453"/>
      <c r="B5" s="455"/>
      <c r="C5" s="456"/>
      <c r="D5" s="458"/>
      <c r="E5" s="458"/>
      <c r="F5" s="458"/>
      <c r="G5" s="455"/>
      <c r="H5" s="461"/>
      <c r="I5" s="55" t="s">
        <v>15</v>
      </c>
      <c r="J5" s="56" t="s">
        <v>16</v>
      </c>
      <c r="K5" s="272" t="s">
        <v>17</v>
      </c>
      <c r="L5" s="272" t="s">
        <v>18</v>
      </c>
      <c r="M5" s="272" t="s">
        <v>19</v>
      </c>
      <c r="N5" s="27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89"/>
      <c r="AC5" s="463"/>
      <c r="AD5" s="463"/>
      <c r="AE5" s="54"/>
    </row>
    <row r="6" spans="1:32" ht="27" customHeight="1">
      <c r="A6" s="112">
        <v>1</v>
      </c>
      <c r="B6" s="11" t="s">
        <v>57</v>
      </c>
      <c r="C6" s="34" t="s">
        <v>116</v>
      </c>
      <c r="D6" s="52" t="s">
        <v>130</v>
      </c>
      <c r="E6" s="53" t="s">
        <v>158</v>
      </c>
      <c r="F6" s="30" t="s">
        <v>146</v>
      </c>
      <c r="G6" s="12">
        <v>2</v>
      </c>
      <c r="H6" s="13">
        <v>24</v>
      </c>
      <c r="I6" s="31">
        <v>174000</v>
      </c>
      <c r="J6" s="14">
        <v>6210</v>
      </c>
      <c r="K6" s="15">
        <f>L6+2384+8412+9776+8821+8774+10138+6972+8852+4388+11916+2738+3190</f>
        <v>92571</v>
      </c>
      <c r="L6" s="15">
        <f>3105*2</f>
        <v>6210</v>
      </c>
      <c r="M6" s="15">
        <f t="shared" ref="M6:M28" si="0">L6-N6</f>
        <v>6210</v>
      </c>
      <c r="N6" s="15">
        <v>0</v>
      </c>
      <c r="O6" s="58">
        <f t="shared" ref="O6:O29" si="1">IF(L6=0,"0",N6/L6)</f>
        <v>0</v>
      </c>
      <c r="P6" s="39">
        <f t="shared" ref="P6:P28" si="2">IF(L6=0,"0",(24-Q6))</f>
        <v>14</v>
      </c>
      <c r="Q6" s="40">
        <f t="shared" ref="Q6:Q28" si="3">SUM(R6:AA6)</f>
        <v>10</v>
      </c>
      <c r="R6" s="7"/>
      <c r="S6" s="6">
        <v>10</v>
      </c>
      <c r="T6" s="16"/>
      <c r="U6" s="16"/>
      <c r="V6" s="17"/>
      <c r="W6" s="5"/>
      <c r="X6" s="16"/>
      <c r="Y6" s="16"/>
      <c r="Z6" s="16"/>
      <c r="AA6" s="18"/>
      <c r="AB6" s="8">
        <f t="shared" ref="AB6:AB28" si="4">IF(J6=0,"0",(L6/J6))</f>
        <v>1</v>
      </c>
      <c r="AC6" s="9">
        <f t="shared" ref="AC6:AC28" si="5">IF(P6=0,"0",(P6/24))</f>
        <v>0.58333333333333337</v>
      </c>
      <c r="AD6" s="10">
        <f t="shared" ref="AD6:AD28" si="6">AC6*AB6*(1-O6)</f>
        <v>0.58333333333333337</v>
      </c>
      <c r="AE6" s="36">
        <f t="shared" ref="AE6:AE28" si="7">$AD$29</f>
        <v>0.59000470952885553</v>
      </c>
      <c r="AF6" s="84">
        <f t="shared" ref="AF6:AF28" si="8">A6</f>
        <v>1</v>
      </c>
    </row>
    <row r="7" spans="1:32" ht="27" customHeight="1">
      <c r="A7" s="112">
        <v>2</v>
      </c>
      <c r="B7" s="11" t="s">
        <v>57</v>
      </c>
      <c r="C7" s="34" t="s">
        <v>116</v>
      </c>
      <c r="D7" s="52" t="s">
        <v>317</v>
      </c>
      <c r="E7" s="53" t="s">
        <v>402</v>
      </c>
      <c r="F7" s="30" t="s">
        <v>154</v>
      </c>
      <c r="G7" s="12">
        <v>8</v>
      </c>
      <c r="H7" s="13">
        <v>24</v>
      </c>
      <c r="I7" s="31">
        <v>31000</v>
      </c>
      <c r="J7" s="14">
        <v>34552</v>
      </c>
      <c r="K7" s="15">
        <f>L7</f>
        <v>34552</v>
      </c>
      <c r="L7" s="15">
        <f>1056*8+3263*8</f>
        <v>34552</v>
      </c>
      <c r="M7" s="15">
        <f t="shared" si="0"/>
        <v>34552</v>
      </c>
      <c r="N7" s="15">
        <v>0</v>
      </c>
      <c r="O7" s="58">
        <f t="shared" si="1"/>
        <v>0</v>
      </c>
      <c r="P7" s="39">
        <f t="shared" si="2"/>
        <v>19</v>
      </c>
      <c r="Q7" s="40">
        <f t="shared" si="3"/>
        <v>5</v>
      </c>
      <c r="R7" s="7"/>
      <c r="S7" s="6"/>
      <c r="T7" s="16">
        <v>5</v>
      </c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0.79166666666666663</v>
      </c>
      <c r="AD7" s="10">
        <f t="shared" si="6"/>
        <v>0.79166666666666663</v>
      </c>
      <c r="AE7" s="36">
        <f t="shared" si="7"/>
        <v>0.59000470952885553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112</v>
      </c>
      <c r="D8" s="52" t="s">
        <v>115</v>
      </c>
      <c r="E8" s="53" t="s">
        <v>361</v>
      </c>
      <c r="F8" s="30" t="s">
        <v>131</v>
      </c>
      <c r="G8" s="12">
        <v>1</v>
      </c>
      <c r="H8" s="13">
        <v>24</v>
      </c>
      <c r="I8" s="7">
        <v>30000</v>
      </c>
      <c r="J8" s="14">
        <v>4669</v>
      </c>
      <c r="K8" s="15">
        <f>L8+2571</f>
        <v>7240</v>
      </c>
      <c r="L8" s="15">
        <f>2335+2334</f>
        <v>4669</v>
      </c>
      <c r="M8" s="15">
        <f t="shared" si="0"/>
        <v>4669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0.59000470952885553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116</v>
      </c>
      <c r="D9" s="52" t="s">
        <v>150</v>
      </c>
      <c r="E9" s="53" t="s">
        <v>355</v>
      </c>
      <c r="F9" s="30" t="s">
        <v>301</v>
      </c>
      <c r="G9" s="12">
        <v>1</v>
      </c>
      <c r="H9" s="13">
        <v>24</v>
      </c>
      <c r="I9" s="7">
        <v>24000</v>
      </c>
      <c r="J9" s="14">
        <v>4815</v>
      </c>
      <c r="K9" s="15">
        <f>L9+4426+4805</f>
        <v>14046</v>
      </c>
      <c r="L9" s="15">
        <f>2406+2409</f>
        <v>4815</v>
      </c>
      <c r="M9" s="15">
        <f t="shared" si="0"/>
        <v>4815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0.59000470952885553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241</v>
      </c>
      <c r="D10" s="52"/>
      <c r="E10" s="53" t="s">
        <v>383</v>
      </c>
      <c r="F10" s="30" t="s">
        <v>268</v>
      </c>
      <c r="G10" s="33">
        <v>2</v>
      </c>
      <c r="H10" s="35">
        <v>24</v>
      </c>
      <c r="I10" s="7">
        <v>5000</v>
      </c>
      <c r="J10" s="14">
        <v>10820</v>
      </c>
      <c r="K10" s="15">
        <f>L10+7490</f>
        <v>18310</v>
      </c>
      <c r="L10" s="15">
        <f>2422*2+2988*2</f>
        <v>10820</v>
      </c>
      <c r="M10" s="15">
        <f t="shared" si="0"/>
        <v>10820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0.59000470952885553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116</v>
      </c>
      <c r="D11" s="52" t="s">
        <v>124</v>
      </c>
      <c r="E11" s="53" t="s">
        <v>323</v>
      </c>
      <c r="F11" s="30" t="s">
        <v>134</v>
      </c>
      <c r="G11" s="33">
        <v>1</v>
      </c>
      <c r="H11" s="35">
        <v>24</v>
      </c>
      <c r="I11" s="7">
        <v>50000</v>
      </c>
      <c r="J11" s="14">
        <v>2071</v>
      </c>
      <c r="K11" s="15">
        <f>L11+420</f>
        <v>2491</v>
      </c>
      <c r="L11" s="15">
        <f>933+1138</f>
        <v>2071</v>
      </c>
      <c r="M11" s="15">
        <f t="shared" si="0"/>
        <v>2071</v>
      </c>
      <c r="N11" s="15">
        <v>0</v>
      </c>
      <c r="O11" s="58">
        <f t="shared" si="1"/>
        <v>0</v>
      </c>
      <c r="P11" s="39">
        <f t="shared" si="2"/>
        <v>10</v>
      </c>
      <c r="Q11" s="40">
        <f t="shared" si="3"/>
        <v>14</v>
      </c>
      <c r="R11" s="7"/>
      <c r="S11" s="6">
        <v>14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0.41666666666666669</v>
      </c>
      <c r="AD11" s="10">
        <f t="shared" si="6"/>
        <v>0.41666666666666669</v>
      </c>
      <c r="AE11" s="36">
        <f t="shared" si="7"/>
        <v>0.59000470952885553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126</v>
      </c>
      <c r="F12" s="30" t="s">
        <v>167</v>
      </c>
      <c r="G12" s="12">
        <v>1</v>
      </c>
      <c r="H12" s="13">
        <v>22</v>
      </c>
      <c r="I12" s="31">
        <v>100000</v>
      </c>
      <c r="J12" s="5">
        <v>1517</v>
      </c>
      <c r="K12" s="15">
        <f>L12+4676+4488+5126+5538+5283+5334+5466+5473+5483+5485+5319+5208+1169</f>
        <v>65565</v>
      </c>
      <c r="L12" s="15">
        <f>1517</f>
        <v>1517</v>
      </c>
      <c r="M12" s="15">
        <f t="shared" si="0"/>
        <v>1517</v>
      </c>
      <c r="N12" s="15">
        <v>0</v>
      </c>
      <c r="O12" s="58">
        <f t="shared" si="1"/>
        <v>0</v>
      </c>
      <c r="P12" s="39">
        <f t="shared" si="2"/>
        <v>6</v>
      </c>
      <c r="Q12" s="40">
        <f t="shared" si="3"/>
        <v>18</v>
      </c>
      <c r="R12" s="7"/>
      <c r="S12" s="6"/>
      <c r="T12" s="16"/>
      <c r="U12" s="16"/>
      <c r="V12" s="17"/>
      <c r="W12" s="5">
        <v>18</v>
      </c>
      <c r="X12" s="16"/>
      <c r="Y12" s="16"/>
      <c r="Z12" s="16"/>
      <c r="AA12" s="18"/>
      <c r="AB12" s="8">
        <f t="shared" si="4"/>
        <v>1</v>
      </c>
      <c r="AC12" s="9">
        <f t="shared" si="5"/>
        <v>0.25</v>
      </c>
      <c r="AD12" s="10">
        <f t="shared" si="6"/>
        <v>0.25</v>
      </c>
      <c r="AE12" s="36">
        <f t="shared" si="7"/>
        <v>0.59000470952885553</v>
      </c>
      <c r="AF12" s="84">
        <f t="shared" si="8"/>
        <v>7</v>
      </c>
    </row>
    <row r="13" spans="1:32" ht="27" customHeight="1">
      <c r="A13" s="96">
        <v>7</v>
      </c>
      <c r="B13" s="11" t="s">
        <v>57</v>
      </c>
      <c r="C13" s="34" t="s">
        <v>116</v>
      </c>
      <c r="D13" s="52" t="s">
        <v>115</v>
      </c>
      <c r="E13" s="53" t="s">
        <v>403</v>
      </c>
      <c r="F13" s="30" t="s">
        <v>167</v>
      </c>
      <c r="G13" s="12">
        <v>1</v>
      </c>
      <c r="H13" s="13">
        <v>22</v>
      </c>
      <c r="I13" s="31">
        <v>70000</v>
      </c>
      <c r="J13" s="5">
        <v>3050</v>
      </c>
      <c r="K13" s="15">
        <f>L13</f>
        <v>3050</v>
      </c>
      <c r="L13" s="15">
        <f>3050</f>
        <v>3050</v>
      </c>
      <c r="M13" s="15">
        <f t="shared" ref="M13" si="9">L13-N13</f>
        <v>3050</v>
      </c>
      <c r="N13" s="15">
        <v>0</v>
      </c>
      <c r="O13" s="58">
        <f t="shared" ref="O13" si="10">IF(L13=0,"0",N13/L13)</f>
        <v>0</v>
      </c>
      <c r="P13" s="39">
        <f t="shared" ref="P13" si="11">IF(L13=0,"0",(24-Q13))</f>
        <v>16</v>
      </c>
      <c r="Q13" s="40">
        <f t="shared" ref="Q13" si="12">SUM(R13:AA13)</f>
        <v>8</v>
      </c>
      <c r="R13" s="7"/>
      <c r="S13" s="6"/>
      <c r="T13" s="16">
        <v>8</v>
      </c>
      <c r="U13" s="16"/>
      <c r="V13" s="17"/>
      <c r="W13" s="5"/>
      <c r="X13" s="16"/>
      <c r="Y13" s="16"/>
      <c r="Z13" s="16"/>
      <c r="AA13" s="18"/>
      <c r="AB13" s="8">
        <f t="shared" ref="AB13" si="13">IF(J13=0,"0",(L13/J13))</f>
        <v>1</v>
      </c>
      <c r="AC13" s="9">
        <f t="shared" ref="AC13" si="14">IF(P13=0,"0",(P13/24))</f>
        <v>0.66666666666666663</v>
      </c>
      <c r="AD13" s="10">
        <f t="shared" ref="AD13" si="15">AC13*AB13*(1-O13)</f>
        <v>0.66666666666666663</v>
      </c>
      <c r="AE13" s="36">
        <f t="shared" si="7"/>
        <v>0.59000470952885553</v>
      </c>
      <c r="AF13" s="84">
        <f t="shared" ref="AF13" si="16">A13</f>
        <v>7</v>
      </c>
    </row>
    <row r="14" spans="1:32" ht="27" customHeight="1">
      <c r="A14" s="96">
        <v>8</v>
      </c>
      <c r="B14" s="11" t="s">
        <v>57</v>
      </c>
      <c r="C14" s="11" t="s">
        <v>112</v>
      </c>
      <c r="D14" s="52" t="s">
        <v>124</v>
      </c>
      <c r="E14" s="53" t="s">
        <v>168</v>
      </c>
      <c r="F14" s="30" t="s">
        <v>131</v>
      </c>
      <c r="G14" s="33">
        <v>1</v>
      </c>
      <c r="H14" s="35">
        <v>24</v>
      </c>
      <c r="I14" s="7">
        <v>6000</v>
      </c>
      <c r="J14" s="14">
        <v>4705</v>
      </c>
      <c r="K14" s="15">
        <f>L14+4461+5511</f>
        <v>14677</v>
      </c>
      <c r="L14" s="15">
        <f>1957+2748</f>
        <v>4705</v>
      </c>
      <c r="M14" s="15">
        <f t="shared" si="0"/>
        <v>4705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 t="shared" si="6"/>
        <v>1</v>
      </c>
      <c r="AE14" s="36">
        <f t="shared" si="7"/>
        <v>0.59000470952885553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369</v>
      </c>
      <c r="F15" s="30" t="s">
        <v>151</v>
      </c>
      <c r="G15" s="33">
        <v>1</v>
      </c>
      <c r="H15" s="35">
        <v>50</v>
      </c>
      <c r="I15" s="7">
        <v>1500</v>
      </c>
      <c r="J15" s="5">
        <v>757</v>
      </c>
      <c r="K15" s="15">
        <f>L15+716</f>
        <v>1473</v>
      </c>
      <c r="L15" s="15">
        <f>757</f>
        <v>757</v>
      </c>
      <c r="M15" s="15">
        <f t="shared" si="0"/>
        <v>757</v>
      </c>
      <c r="N15" s="15">
        <v>0</v>
      </c>
      <c r="O15" s="58">
        <f t="shared" si="1"/>
        <v>0</v>
      </c>
      <c r="P15" s="39">
        <f t="shared" si="2"/>
        <v>8</v>
      </c>
      <c r="Q15" s="40">
        <f t="shared" si="3"/>
        <v>16</v>
      </c>
      <c r="R15" s="7"/>
      <c r="S15" s="6">
        <v>4</v>
      </c>
      <c r="T15" s="16"/>
      <c r="U15" s="16"/>
      <c r="V15" s="17">
        <v>12</v>
      </c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0.33333333333333331</v>
      </c>
      <c r="AD15" s="10">
        <f t="shared" si="6"/>
        <v>0.33333333333333331</v>
      </c>
      <c r="AE15" s="36">
        <f t="shared" si="7"/>
        <v>0.59000470952885553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116</v>
      </c>
      <c r="D16" s="52" t="s">
        <v>123</v>
      </c>
      <c r="E16" s="53" t="s">
        <v>141</v>
      </c>
      <c r="F16" s="30" t="s">
        <v>135</v>
      </c>
      <c r="G16" s="12">
        <v>4</v>
      </c>
      <c r="H16" s="13">
        <v>24</v>
      </c>
      <c r="I16" s="31">
        <v>12000</v>
      </c>
      <c r="J16" s="14">
        <v>12356</v>
      </c>
      <c r="K16" s="15">
        <f>L16+12356</f>
        <v>12356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0.59000470952885553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143</v>
      </c>
      <c r="D17" s="52" t="s">
        <v>115</v>
      </c>
      <c r="E17" s="53" t="s">
        <v>324</v>
      </c>
      <c r="F17" s="30" t="s">
        <v>362</v>
      </c>
      <c r="G17" s="12">
        <v>1</v>
      </c>
      <c r="H17" s="13">
        <v>24</v>
      </c>
      <c r="I17" s="7">
        <v>20000</v>
      </c>
      <c r="J17" s="14">
        <v>5939</v>
      </c>
      <c r="K17" s="15">
        <f>L17+5554+5953</f>
        <v>17446</v>
      </c>
      <c r="L17" s="15">
        <f>2952+2987</f>
        <v>5939</v>
      </c>
      <c r="M17" s="15">
        <f t="shared" si="0"/>
        <v>5939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0.59000470952885553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143</v>
      </c>
      <c r="D18" s="52" t="s">
        <v>150</v>
      </c>
      <c r="E18" s="53" t="s">
        <v>159</v>
      </c>
      <c r="F18" s="30" t="s">
        <v>154</v>
      </c>
      <c r="G18" s="12">
        <v>3</v>
      </c>
      <c r="H18" s="13">
        <v>24</v>
      </c>
      <c r="I18" s="7">
        <v>260000</v>
      </c>
      <c r="J18" s="14">
        <v>13701</v>
      </c>
      <c r="K18" s="15">
        <f>L18+16128+16857+16941+16140+15960+17466+17355+17745+17910+17925+2610+16239+17901+14879</f>
        <v>235757</v>
      </c>
      <c r="L18" s="15">
        <f>2911*3+1656*3</f>
        <v>13701</v>
      </c>
      <c r="M18" s="15">
        <f t="shared" si="0"/>
        <v>13701</v>
      </c>
      <c r="N18" s="15">
        <v>0</v>
      </c>
      <c r="O18" s="58">
        <f t="shared" si="1"/>
        <v>0</v>
      </c>
      <c r="P18" s="39">
        <f t="shared" si="2"/>
        <v>19</v>
      </c>
      <c r="Q18" s="40">
        <f t="shared" si="3"/>
        <v>5</v>
      </c>
      <c r="R18" s="7"/>
      <c r="S18" s="6">
        <v>5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0.79166666666666663</v>
      </c>
      <c r="AD18" s="10">
        <f t="shared" si="6"/>
        <v>0.79166666666666663</v>
      </c>
      <c r="AE18" s="36">
        <f t="shared" si="7"/>
        <v>0.59000470952885553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143</v>
      </c>
      <c r="D19" s="52" t="s">
        <v>349</v>
      </c>
      <c r="E19" s="53" t="s">
        <v>340</v>
      </c>
      <c r="F19" s="30" t="s">
        <v>350</v>
      </c>
      <c r="G19" s="33">
        <v>1</v>
      </c>
      <c r="H19" s="35">
        <v>24</v>
      </c>
      <c r="I19" s="7">
        <v>2000</v>
      </c>
      <c r="J19" s="14">
        <v>4805</v>
      </c>
      <c r="K19" s="15">
        <f>L19+4805</f>
        <v>4805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0.59000470952885553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142</v>
      </c>
      <c r="E20" s="53" t="s">
        <v>161</v>
      </c>
      <c r="F20" s="30" t="s">
        <v>134</v>
      </c>
      <c r="G20" s="33">
        <v>1</v>
      </c>
      <c r="H20" s="35">
        <v>24</v>
      </c>
      <c r="I20" s="7">
        <v>31000</v>
      </c>
      <c r="J20" s="14">
        <v>3568</v>
      </c>
      <c r="K20" s="15">
        <f>L20+5079+5307+3503+1179</f>
        <v>18636</v>
      </c>
      <c r="L20" s="15">
        <f>2064+1504</f>
        <v>3568</v>
      </c>
      <c r="M20" s="15">
        <f t="shared" si="0"/>
        <v>3568</v>
      </c>
      <c r="N20" s="15">
        <v>0</v>
      </c>
      <c r="O20" s="58">
        <f t="shared" si="1"/>
        <v>0</v>
      </c>
      <c r="P20" s="39">
        <f t="shared" si="2"/>
        <v>18</v>
      </c>
      <c r="Q20" s="40">
        <f t="shared" si="3"/>
        <v>6</v>
      </c>
      <c r="R20" s="7"/>
      <c r="S20" s="6">
        <v>6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0.75</v>
      </c>
      <c r="AD20" s="10">
        <f t="shared" si="6"/>
        <v>0.75</v>
      </c>
      <c r="AE20" s="36">
        <f t="shared" si="7"/>
        <v>0.59000470952885553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116</v>
      </c>
      <c r="D21" s="52" t="s">
        <v>115</v>
      </c>
      <c r="E21" s="53" t="s">
        <v>356</v>
      </c>
      <c r="F21" s="30" t="s">
        <v>122</v>
      </c>
      <c r="G21" s="12">
        <v>1</v>
      </c>
      <c r="H21" s="13">
        <v>24</v>
      </c>
      <c r="I21" s="7">
        <v>24000</v>
      </c>
      <c r="J21" s="14">
        <v>5293</v>
      </c>
      <c r="K21" s="15">
        <f>L21+2446+5228</f>
        <v>12897</v>
      </c>
      <c r="L21" s="15">
        <f>2609+2614</f>
        <v>5223</v>
      </c>
      <c r="M21" s="15">
        <f t="shared" si="0"/>
        <v>5223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0.98677498583034196</v>
      </c>
      <c r="AC21" s="9">
        <f t="shared" si="5"/>
        <v>1</v>
      </c>
      <c r="AD21" s="10">
        <f t="shared" si="6"/>
        <v>0.98677498583034196</v>
      </c>
      <c r="AE21" s="36">
        <f t="shared" si="7"/>
        <v>0.59000470952885553</v>
      </c>
      <c r="AF21" s="84">
        <f t="shared" si="8"/>
        <v>15</v>
      </c>
    </row>
    <row r="22" spans="1:32" ht="27" customHeight="1">
      <c r="A22" s="96">
        <v>16</v>
      </c>
      <c r="B22" s="11" t="s">
        <v>57</v>
      </c>
      <c r="C22" s="11" t="s">
        <v>113</v>
      </c>
      <c r="D22" s="52"/>
      <c r="E22" s="53" t="s">
        <v>384</v>
      </c>
      <c r="F22" s="12" t="s">
        <v>114</v>
      </c>
      <c r="G22" s="12">
        <v>4</v>
      </c>
      <c r="H22" s="35">
        <v>20</v>
      </c>
      <c r="I22" s="7">
        <v>110000</v>
      </c>
      <c r="J22" s="14">
        <v>77956</v>
      </c>
      <c r="K22" s="15">
        <f>L22+33068</f>
        <v>111024</v>
      </c>
      <c r="L22" s="15">
        <f>9509*4+9980*4</f>
        <v>77956</v>
      </c>
      <c r="M22" s="15">
        <f t="shared" si="0"/>
        <v>77956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0.59000470952885553</v>
      </c>
      <c r="AF22" s="84">
        <f t="shared" si="8"/>
        <v>16</v>
      </c>
    </row>
    <row r="23" spans="1:32" ht="27" customHeight="1">
      <c r="A23" s="96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0.59000470952885553</v>
      </c>
      <c r="AF23" s="84">
        <f t="shared" si="8"/>
        <v>31</v>
      </c>
    </row>
    <row r="24" spans="1:32" ht="27" customHeight="1">
      <c r="A24" s="96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0.59000470952885553</v>
      </c>
      <c r="AF24" s="84">
        <f t="shared" si="8"/>
        <v>32</v>
      </c>
    </row>
    <row r="25" spans="1:32" ht="27" customHeight="1">
      <c r="A25" s="96">
        <v>33</v>
      </c>
      <c r="B25" s="11" t="s">
        <v>57</v>
      </c>
      <c r="C25" s="11" t="s">
        <v>116</v>
      </c>
      <c r="D25" s="52" t="s">
        <v>150</v>
      </c>
      <c r="E25" s="53" t="s">
        <v>163</v>
      </c>
      <c r="F25" s="12" t="s">
        <v>145</v>
      </c>
      <c r="G25" s="12">
        <v>1</v>
      </c>
      <c r="H25" s="35">
        <v>20</v>
      </c>
      <c r="I25" s="7">
        <v>60000</v>
      </c>
      <c r="J25" s="14">
        <v>7479</v>
      </c>
      <c r="K25" s="15">
        <f>L25+4387+7770+5806+7905</f>
        <v>33347</v>
      </c>
      <c r="L25" s="15">
        <f>4485+2994</f>
        <v>7479</v>
      </c>
      <c r="M25" s="15">
        <f t="shared" si="0"/>
        <v>7479</v>
      </c>
      <c r="N25" s="15">
        <v>0</v>
      </c>
      <c r="O25" s="58">
        <f t="shared" si="1"/>
        <v>0</v>
      </c>
      <c r="P25" s="39">
        <f t="shared" si="2"/>
        <v>24</v>
      </c>
      <c r="Q25" s="40">
        <f t="shared" si="3"/>
        <v>0</v>
      </c>
      <c r="R25" s="7"/>
      <c r="S25" s="6"/>
      <c r="T25" s="16"/>
      <c r="U25" s="16"/>
      <c r="V25" s="206"/>
      <c r="W25" s="5"/>
      <c r="X25" s="16"/>
      <c r="Y25" s="16"/>
      <c r="Z25" s="16"/>
      <c r="AA25" s="18"/>
      <c r="AB25" s="8">
        <f t="shared" si="4"/>
        <v>1</v>
      </c>
      <c r="AC25" s="9">
        <f t="shared" si="5"/>
        <v>1</v>
      </c>
      <c r="AD25" s="10">
        <f t="shared" si="6"/>
        <v>1</v>
      </c>
      <c r="AE25" s="36">
        <f t="shared" si="7"/>
        <v>0.59000470952885553</v>
      </c>
      <c r="AF25" s="84">
        <f t="shared" si="8"/>
        <v>33</v>
      </c>
    </row>
    <row r="26" spans="1:32" ht="27" customHeight="1">
      <c r="A26" s="96">
        <v>34</v>
      </c>
      <c r="B26" s="11" t="s">
        <v>57</v>
      </c>
      <c r="C26" s="11" t="s">
        <v>116</v>
      </c>
      <c r="D26" s="52" t="s">
        <v>150</v>
      </c>
      <c r="E26" s="53" t="s">
        <v>165</v>
      </c>
      <c r="F26" s="12" t="s">
        <v>135</v>
      </c>
      <c r="G26" s="12">
        <v>4</v>
      </c>
      <c r="H26" s="35">
        <v>20</v>
      </c>
      <c r="I26" s="7">
        <v>240000</v>
      </c>
      <c r="J26" s="14">
        <v>9988</v>
      </c>
      <c r="K26" s="15">
        <f>L26+24768+29084+29040+29804+27780+4064+26996+28972+25428+29132+9988</f>
        <v>265056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206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0.59000470952885553</v>
      </c>
      <c r="AF26" s="84">
        <f t="shared" si="8"/>
        <v>34</v>
      </c>
    </row>
    <row r="27" spans="1:32" ht="27" customHeight="1">
      <c r="A27" s="96">
        <v>35</v>
      </c>
      <c r="B27" s="11" t="s">
        <v>57</v>
      </c>
      <c r="C27" s="11" t="s">
        <v>116</v>
      </c>
      <c r="D27" s="52" t="s">
        <v>123</v>
      </c>
      <c r="E27" s="53" t="s">
        <v>137</v>
      </c>
      <c r="F27" s="12" t="s">
        <v>135</v>
      </c>
      <c r="G27" s="12">
        <v>4</v>
      </c>
      <c r="H27" s="35">
        <v>20</v>
      </c>
      <c r="I27" s="7">
        <v>240000</v>
      </c>
      <c r="J27" s="14">
        <v>11600</v>
      </c>
      <c r="K27" s="15">
        <f>L27+25004+29968+31848+29672+31736+27000+29200+29420+29140+11600</f>
        <v>274588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206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0.59000470952885553</v>
      </c>
      <c r="AF27" s="84">
        <f t="shared" si="8"/>
        <v>35</v>
      </c>
    </row>
    <row r="28" spans="1:32" ht="27" customHeight="1" thickBot="1">
      <c r="A28" s="96">
        <v>36</v>
      </c>
      <c r="B28" s="11" t="s">
        <v>57</v>
      </c>
      <c r="C28" s="11" t="s">
        <v>380</v>
      </c>
      <c r="D28" s="52"/>
      <c r="E28" s="53" t="s">
        <v>381</v>
      </c>
      <c r="F28" s="12" t="s">
        <v>382</v>
      </c>
      <c r="G28" s="12">
        <v>32</v>
      </c>
      <c r="H28" s="35">
        <v>20</v>
      </c>
      <c r="I28" s="7">
        <v>700000</v>
      </c>
      <c r="J28" s="14">
        <v>448864</v>
      </c>
      <c r="K28" s="15">
        <f>L28+326528</f>
        <v>775392</v>
      </c>
      <c r="L28" s="15">
        <f>7967*32+6060*32</f>
        <v>448864</v>
      </c>
      <c r="M28" s="15">
        <f t="shared" si="0"/>
        <v>448864</v>
      </c>
      <c r="N28" s="15">
        <v>0</v>
      </c>
      <c r="O28" s="58">
        <f t="shared" si="1"/>
        <v>0</v>
      </c>
      <c r="P28" s="39">
        <f t="shared" si="2"/>
        <v>24</v>
      </c>
      <c r="Q28" s="40">
        <f t="shared" si="3"/>
        <v>0</v>
      </c>
      <c r="R28" s="7"/>
      <c r="S28" s="6"/>
      <c r="T28" s="16"/>
      <c r="U28" s="16"/>
      <c r="V28" s="206"/>
      <c r="W28" s="5"/>
      <c r="X28" s="16"/>
      <c r="Y28" s="16"/>
      <c r="Z28" s="16"/>
      <c r="AA28" s="18"/>
      <c r="AB28" s="8">
        <f t="shared" si="4"/>
        <v>1</v>
      </c>
      <c r="AC28" s="9">
        <f t="shared" si="5"/>
        <v>1</v>
      </c>
      <c r="AD28" s="10">
        <f t="shared" si="6"/>
        <v>1</v>
      </c>
      <c r="AE28" s="36">
        <f t="shared" si="7"/>
        <v>0.59000470952885553</v>
      </c>
      <c r="AF28" s="84">
        <f t="shared" si="8"/>
        <v>36</v>
      </c>
    </row>
    <row r="29" spans="1:32" ht="31.5" customHeight="1" thickBot="1">
      <c r="A29" s="464" t="s">
        <v>34</v>
      </c>
      <c r="B29" s="465"/>
      <c r="C29" s="465"/>
      <c r="D29" s="465"/>
      <c r="E29" s="465"/>
      <c r="F29" s="465"/>
      <c r="G29" s="465"/>
      <c r="H29" s="466"/>
      <c r="I29" s="22">
        <f t="shared" ref="I29:N29" si="17">SUM(I6:I28)</f>
        <v>2190500</v>
      </c>
      <c r="J29" s="19">
        <f t="shared" si="17"/>
        <v>674715</v>
      </c>
      <c r="K29" s="20">
        <f t="shared" si="17"/>
        <v>2015279</v>
      </c>
      <c r="L29" s="21">
        <f t="shared" si="17"/>
        <v>635896</v>
      </c>
      <c r="M29" s="20">
        <f t="shared" si="17"/>
        <v>635896</v>
      </c>
      <c r="N29" s="21">
        <f t="shared" si="17"/>
        <v>0</v>
      </c>
      <c r="O29" s="41">
        <f t="shared" si="1"/>
        <v>0</v>
      </c>
      <c r="P29" s="42">
        <f t="shared" ref="P29:AA29" si="18">SUM(P6:P28)</f>
        <v>326</v>
      </c>
      <c r="Q29" s="43">
        <f t="shared" si="18"/>
        <v>226</v>
      </c>
      <c r="R29" s="23">
        <f t="shared" si="18"/>
        <v>0</v>
      </c>
      <c r="S29" s="24">
        <f t="shared" si="18"/>
        <v>39</v>
      </c>
      <c r="T29" s="24">
        <f t="shared" si="18"/>
        <v>13</v>
      </c>
      <c r="U29" s="24">
        <f t="shared" si="18"/>
        <v>0</v>
      </c>
      <c r="V29" s="25">
        <f t="shared" si="18"/>
        <v>60</v>
      </c>
      <c r="W29" s="26">
        <f t="shared" si="18"/>
        <v>90</v>
      </c>
      <c r="X29" s="27">
        <f t="shared" si="18"/>
        <v>0</v>
      </c>
      <c r="Y29" s="27">
        <f t="shared" si="18"/>
        <v>0</v>
      </c>
      <c r="Z29" s="27">
        <f t="shared" si="18"/>
        <v>0</v>
      </c>
      <c r="AA29" s="27">
        <f t="shared" si="18"/>
        <v>24</v>
      </c>
      <c r="AB29" s="28">
        <f>AVERAGE(AB6:AB28)</f>
        <v>0.80889404694430211</v>
      </c>
      <c r="AC29" s="4">
        <f>AVERAGE(AC6:AC28)</f>
        <v>0.59057971014492761</v>
      </c>
      <c r="AD29" s="4">
        <f>AVERAGE(AD6:AD28)</f>
        <v>0.59000470952885553</v>
      </c>
      <c r="AE29" s="29"/>
    </row>
    <row r="30" spans="1:32">
      <c r="T30" s="50" t="s">
        <v>157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160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5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467" t="s">
        <v>45</v>
      </c>
      <c r="B56" s="467"/>
      <c r="C56" s="467"/>
      <c r="D56" s="467"/>
      <c r="E56" s="467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468" t="s">
        <v>404</v>
      </c>
      <c r="B57" s="469"/>
      <c r="C57" s="469"/>
      <c r="D57" s="469"/>
      <c r="E57" s="469"/>
      <c r="F57" s="469"/>
      <c r="G57" s="469"/>
      <c r="H57" s="469"/>
      <c r="I57" s="469"/>
      <c r="J57" s="469"/>
      <c r="K57" s="469"/>
      <c r="L57" s="469"/>
      <c r="M57" s="470"/>
      <c r="N57" s="471" t="s">
        <v>406</v>
      </c>
      <c r="O57" s="472"/>
      <c r="P57" s="472"/>
      <c r="Q57" s="472"/>
      <c r="R57" s="472"/>
      <c r="S57" s="472"/>
      <c r="T57" s="472"/>
      <c r="U57" s="472"/>
      <c r="V57" s="472"/>
      <c r="W57" s="472"/>
      <c r="X57" s="472"/>
      <c r="Y57" s="472"/>
      <c r="Z57" s="472"/>
      <c r="AA57" s="472"/>
      <c r="AB57" s="472"/>
      <c r="AC57" s="472"/>
      <c r="AD57" s="473"/>
    </row>
    <row r="58" spans="1:32" ht="27" customHeight="1">
      <c r="A58" s="474" t="s">
        <v>2</v>
      </c>
      <c r="B58" s="475"/>
      <c r="C58" s="273" t="s">
        <v>46</v>
      </c>
      <c r="D58" s="273" t="s">
        <v>47</v>
      </c>
      <c r="E58" s="273" t="s">
        <v>107</v>
      </c>
      <c r="F58" s="476" t="s">
        <v>106</v>
      </c>
      <c r="G58" s="477"/>
      <c r="H58" s="477"/>
      <c r="I58" s="477"/>
      <c r="J58" s="477"/>
      <c r="K58" s="477"/>
      <c r="L58" s="477"/>
      <c r="M58" s="478"/>
      <c r="N58" s="67" t="s">
        <v>110</v>
      </c>
      <c r="O58" s="273" t="s">
        <v>46</v>
      </c>
      <c r="P58" s="476" t="s">
        <v>47</v>
      </c>
      <c r="Q58" s="479"/>
      <c r="R58" s="476" t="s">
        <v>38</v>
      </c>
      <c r="S58" s="477"/>
      <c r="T58" s="477"/>
      <c r="U58" s="479"/>
      <c r="V58" s="476" t="s">
        <v>48</v>
      </c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500" t="s">
        <v>116</v>
      </c>
      <c r="B59" s="501"/>
      <c r="C59" s="276" t="s">
        <v>198</v>
      </c>
      <c r="D59" s="276" t="s">
        <v>140</v>
      </c>
      <c r="E59" s="275" t="s">
        <v>323</v>
      </c>
      <c r="F59" s="492" t="s">
        <v>386</v>
      </c>
      <c r="G59" s="493"/>
      <c r="H59" s="493"/>
      <c r="I59" s="493"/>
      <c r="J59" s="493"/>
      <c r="K59" s="493"/>
      <c r="L59" s="493"/>
      <c r="M59" s="494"/>
      <c r="N59" s="274" t="s">
        <v>143</v>
      </c>
      <c r="O59" s="281" t="s">
        <v>169</v>
      </c>
      <c r="P59" s="495" t="s">
        <v>150</v>
      </c>
      <c r="Q59" s="496"/>
      <c r="R59" s="495" t="s">
        <v>338</v>
      </c>
      <c r="S59" s="497"/>
      <c r="T59" s="497"/>
      <c r="U59" s="496"/>
      <c r="V59" s="498" t="s">
        <v>120</v>
      </c>
      <c r="W59" s="498"/>
      <c r="X59" s="498"/>
      <c r="Y59" s="498"/>
      <c r="Z59" s="498"/>
      <c r="AA59" s="498"/>
      <c r="AB59" s="498"/>
      <c r="AC59" s="498"/>
      <c r="AD59" s="499"/>
    </row>
    <row r="60" spans="1:32" ht="27" customHeight="1">
      <c r="A60" s="500" t="s">
        <v>116</v>
      </c>
      <c r="B60" s="501"/>
      <c r="C60" s="276" t="s">
        <v>132</v>
      </c>
      <c r="D60" s="276" t="s">
        <v>130</v>
      </c>
      <c r="E60" s="275" t="s">
        <v>158</v>
      </c>
      <c r="F60" s="492" t="s">
        <v>120</v>
      </c>
      <c r="G60" s="493"/>
      <c r="H60" s="493"/>
      <c r="I60" s="493"/>
      <c r="J60" s="493"/>
      <c r="K60" s="493"/>
      <c r="L60" s="493"/>
      <c r="M60" s="494"/>
      <c r="N60" s="274" t="s">
        <v>116</v>
      </c>
      <c r="O60" s="281" t="s">
        <v>198</v>
      </c>
      <c r="P60" s="495" t="s">
        <v>140</v>
      </c>
      <c r="Q60" s="496"/>
      <c r="R60" s="495" t="s">
        <v>323</v>
      </c>
      <c r="S60" s="497"/>
      <c r="T60" s="497"/>
      <c r="U60" s="496"/>
      <c r="V60" s="498" t="s">
        <v>120</v>
      </c>
      <c r="W60" s="498"/>
      <c r="X60" s="498"/>
      <c r="Y60" s="498"/>
      <c r="Z60" s="498"/>
      <c r="AA60" s="498"/>
      <c r="AB60" s="498"/>
      <c r="AC60" s="498"/>
      <c r="AD60" s="499"/>
    </row>
    <row r="61" spans="1:32" ht="27" customHeight="1">
      <c r="A61" s="500" t="s">
        <v>116</v>
      </c>
      <c r="B61" s="501"/>
      <c r="C61" s="276" t="s">
        <v>155</v>
      </c>
      <c r="D61" s="276" t="s">
        <v>115</v>
      </c>
      <c r="E61" s="275" t="s">
        <v>126</v>
      </c>
      <c r="F61" s="492" t="s">
        <v>120</v>
      </c>
      <c r="G61" s="493"/>
      <c r="H61" s="493"/>
      <c r="I61" s="493"/>
      <c r="J61" s="493"/>
      <c r="K61" s="493"/>
      <c r="L61" s="493"/>
      <c r="M61" s="494"/>
      <c r="N61" s="274" t="s">
        <v>112</v>
      </c>
      <c r="O61" s="281" t="s">
        <v>259</v>
      </c>
      <c r="P61" s="495" t="s">
        <v>140</v>
      </c>
      <c r="Q61" s="496"/>
      <c r="R61" s="495" t="s">
        <v>407</v>
      </c>
      <c r="S61" s="497"/>
      <c r="T61" s="497"/>
      <c r="U61" s="496"/>
      <c r="V61" s="498" t="s">
        <v>125</v>
      </c>
      <c r="W61" s="498"/>
      <c r="X61" s="498"/>
      <c r="Y61" s="498"/>
      <c r="Z61" s="498"/>
      <c r="AA61" s="498"/>
      <c r="AB61" s="498"/>
      <c r="AC61" s="498"/>
      <c r="AD61" s="499"/>
    </row>
    <row r="62" spans="1:32" ht="27" customHeight="1">
      <c r="A62" s="500" t="s">
        <v>116</v>
      </c>
      <c r="B62" s="501"/>
      <c r="C62" s="276" t="s">
        <v>155</v>
      </c>
      <c r="D62" s="276" t="s">
        <v>115</v>
      </c>
      <c r="E62" s="275" t="s">
        <v>403</v>
      </c>
      <c r="F62" s="492" t="s">
        <v>125</v>
      </c>
      <c r="G62" s="493"/>
      <c r="H62" s="493"/>
      <c r="I62" s="493"/>
      <c r="J62" s="493"/>
      <c r="K62" s="493"/>
      <c r="L62" s="493"/>
      <c r="M62" s="494"/>
      <c r="N62" s="274" t="s">
        <v>241</v>
      </c>
      <c r="O62" s="281" t="s">
        <v>198</v>
      </c>
      <c r="P62" s="495" t="s">
        <v>142</v>
      </c>
      <c r="Q62" s="496"/>
      <c r="R62" s="495" t="s">
        <v>408</v>
      </c>
      <c r="S62" s="497"/>
      <c r="T62" s="497"/>
      <c r="U62" s="496"/>
      <c r="V62" s="498" t="s">
        <v>125</v>
      </c>
      <c r="W62" s="498"/>
      <c r="X62" s="498"/>
      <c r="Y62" s="498"/>
      <c r="Z62" s="498"/>
      <c r="AA62" s="498"/>
      <c r="AB62" s="498"/>
      <c r="AC62" s="498"/>
      <c r="AD62" s="499"/>
    </row>
    <row r="63" spans="1:32" ht="27" customHeight="1">
      <c r="A63" s="500" t="s">
        <v>112</v>
      </c>
      <c r="B63" s="501"/>
      <c r="C63" s="276" t="s">
        <v>221</v>
      </c>
      <c r="D63" s="276" t="s">
        <v>142</v>
      </c>
      <c r="E63" s="275" t="s">
        <v>161</v>
      </c>
      <c r="F63" s="492" t="s">
        <v>405</v>
      </c>
      <c r="G63" s="493"/>
      <c r="H63" s="493"/>
      <c r="I63" s="493"/>
      <c r="J63" s="493"/>
      <c r="K63" s="493"/>
      <c r="L63" s="493"/>
      <c r="M63" s="494"/>
      <c r="N63" s="274"/>
      <c r="O63" s="281"/>
      <c r="P63" s="495"/>
      <c r="Q63" s="496"/>
      <c r="R63" s="495"/>
      <c r="S63" s="497"/>
      <c r="T63" s="497"/>
      <c r="U63" s="496"/>
      <c r="V63" s="498"/>
      <c r="W63" s="498"/>
      <c r="X63" s="498"/>
      <c r="Y63" s="498"/>
      <c r="Z63" s="498"/>
      <c r="AA63" s="498"/>
      <c r="AB63" s="498"/>
      <c r="AC63" s="498"/>
      <c r="AD63" s="499"/>
    </row>
    <row r="64" spans="1:32" ht="27" customHeight="1">
      <c r="A64" s="500" t="s">
        <v>116</v>
      </c>
      <c r="B64" s="501"/>
      <c r="C64" s="276" t="s">
        <v>129</v>
      </c>
      <c r="D64" s="276" t="s">
        <v>115</v>
      </c>
      <c r="E64" s="275" t="s">
        <v>356</v>
      </c>
      <c r="F64" s="492" t="s">
        <v>368</v>
      </c>
      <c r="G64" s="493"/>
      <c r="H64" s="493"/>
      <c r="I64" s="493"/>
      <c r="J64" s="493"/>
      <c r="K64" s="493"/>
      <c r="L64" s="493"/>
      <c r="M64" s="494"/>
      <c r="N64" s="274"/>
      <c r="O64" s="281"/>
      <c r="P64" s="495"/>
      <c r="Q64" s="496"/>
      <c r="R64" s="495"/>
      <c r="S64" s="497"/>
      <c r="T64" s="497"/>
      <c r="U64" s="496"/>
      <c r="V64" s="498"/>
      <c r="W64" s="498"/>
      <c r="X64" s="498"/>
      <c r="Y64" s="498"/>
      <c r="Z64" s="498"/>
      <c r="AA64" s="498"/>
      <c r="AB64" s="498"/>
      <c r="AC64" s="498"/>
      <c r="AD64" s="499"/>
    </row>
    <row r="65" spans="1:32" ht="27" customHeight="1">
      <c r="A65" s="490"/>
      <c r="B65" s="491"/>
      <c r="C65" s="275"/>
      <c r="D65" s="275"/>
      <c r="E65" s="275"/>
      <c r="F65" s="492"/>
      <c r="G65" s="493"/>
      <c r="H65" s="493"/>
      <c r="I65" s="493"/>
      <c r="J65" s="493"/>
      <c r="K65" s="493"/>
      <c r="L65" s="493"/>
      <c r="M65" s="494"/>
      <c r="N65" s="274"/>
      <c r="O65" s="281"/>
      <c r="P65" s="495"/>
      <c r="Q65" s="496"/>
      <c r="R65" s="495"/>
      <c r="S65" s="497"/>
      <c r="T65" s="497"/>
      <c r="U65" s="496"/>
      <c r="V65" s="498"/>
      <c r="W65" s="498"/>
      <c r="X65" s="498"/>
      <c r="Y65" s="498"/>
      <c r="Z65" s="498"/>
      <c r="AA65" s="498"/>
      <c r="AB65" s="498"/>
      <c r="AC65" s="498"/>
      <c r="AD65" s="499"/>
    </row>
    <row r="66" spans="1:32" ht="27" customHeight="1">
      <c r="A66" s="500"/>
      <c r="B66" s="501"/>
      <c r="C66" s="276"/>
      <c r="D66" s="276"/>
      <c r="E66" s="275"/>
      <c r="F66" s="492"/>
      <c r="G66" s="493"/>
      <c r="H66" s="493"/>
      <c r="I66" s="493"/>
      <c r="J66" s="493"/>
      <c r="K66" s="493"/>
      <c r="L66" s="493"/>
      <c r="M66" s="494"/>
      <c r="N66" s="274"/>
      <c r="O66" s="281"/>
      <c r="P66" s="495"/>
      <c r="Q66" s="496"/>
      <c r="R66" s="495"/>
      <c r="S66" s="497"/>
      <c r="T66" s="497"/>
      <c r="U66" s="496"/>
      <c r="V66" s="498"/>
      <c r="W66" s="498"/>
      <c r="X66" s="498"/>
      <c r="Y66" s="498"/>
      <c r="Z66" s="498"/>
      <c r="AA66" s="498"/>
      <c r="AB66" s="498"/>
      <c r="AC66" s="498"/>
      <c r="AD66" s="499"/>
    </row>
    <row r="67" spans="1:32" ht="27" customHeight="1">
      <c r="A67" s="500"/>
      <c r="B67" s="501"/>
      <c r="C67" s="276"/>
      <c r="D67" s="276"/>
      <c r="E67" s="275"/>
      <c r="F67" s="492"/>
      <c r="G67" s="493"/>
      <c r="H67" s="493"/>
      <c r="I67" s="493"/>
      <c r="J67" s="493"/>
      <c r="K67" s="493"/>
      <c r="L67" s="493"/>
      <c r="M67" s="494"/>
      <c r="N67" s="274"/>
      <c r="O67" s="281"/>
      <c r="P67" s="491"/>
      <c r="Q67" s="491"/>
      <c r="R67" s="491"/>
      <c r="S67" s="491"/>
      <c r="T67" s="491"/>
      <c r="U67" s="491"/>
      <c r="V67" s="498"/>
      <c r="W67" s="498"/>
      <c r="X67" s="498"/>
      <c r="Y67" s="498"/>
      <c r="Z67" s="498"/>
      <c r="AA67" s="498"/>
      <c r="AB67" s="498"/>
      <c r="AC67" s="498"/>
      <c r="AD67" s="499"/>
      <c r="AF67" s="84">
        <f>8*3000</f>
        <v>24000</v>
      </c>
    </row>
    <row r="68" spans="1:32" ht="27" customHeight="1" thickBot="1">
      <c r="A68" s="502"/>
      <c r="B68" s="503"/>
      <c r="C68" s="277"/>
      <c r="D68" s="278"/>
      <c r="E68" s="277"/>
      <c r="F68" s="504"/>
      <c r="G68" s="505"/>
      <c r="H68" s="505"/>
      <c r="I68" s="505"/>
      <c r="J68" s="505"/>
      <c r="K68" s="505"/>
      <c r="L68" s="505"/>
      <c r="M68" s="506"/>
      <c r="N68" s="111"/>
      <c r="O68" s="103"/>
      <c r="P68" s="507"/>
      <c r="Q68" s="507"/>
      <c r="R68" s="507"/>
      <c r="S68" s="507"/>
      <c r="T68" s="507"/>
      <c r="U68" s="507"/>
      <c r="V68" s="508"/>
      <c r="W68" s="508"/>
      <c r="X68" s="508"/>
      <c r="Y68" s="508"/>
      <c r="Z68" s="508"/>
      <c r="AA68" s="508"/>
      <c r="AB68" s="508"/>
      <c r="AC68" s="508"/>
      <c r="AD68" s="509"/>
      <c r="AF68" s="84">
        <f>16*3000</f>
        <v>48000</v>
      </c>
    </row>
    <row r="69" spans="1:32" ht="27.75" thickBot="1">
      <c r="A69" s="510" t="s">
        <v>409</v>
      </c>
      <c r="B69" s="510"/>
      <c r="C69" s="510"/>
      <c r="D69" s="510"/>
      <c r="E69" s="510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4">
        <v>24000</v>
      </c>
    </row>
    <row r="70" spans="1:32" ht="29.25" customHeight="1" thickBot="1">
      <c r="A70" s="511" t="s">
        <v>111</v>
      </c>
      <c r="B70" s="512"/>
      <c r="C70" s="279" t="s">
        <v>2</v>
      </c>
      <c r="D70" s="279" t="s">
        <v>37</v>
      </c>
      <c r="E70" s="279" t="s">
        <v>3</v>
      </c>
      <c r="F70" s="512" t="s">
        <v>109</v>
      </c>
      <c r="G70" s="512"/>
      <c r="H70" s="512"/>
      <c r="I70" s="512"/>
      <c r="J70" s="512"/>
      <c r="K70" s="512" t="s">
        <v>39</v>
      </c>
      <c r="L70" s="512"/>
      <c r="M70" s="279" t="s">
        <v>40</v>
      </c>
      <c r="N70" s="512" t="s">
        <v>41</v>
      </c>
      <c r="O70" s="512"/>
      <c r="P70" s="513" t="s">
        <v>42</v>
      </c>
      <c r="Q70" s="514"/>
      <c r="R70" s="513" t="s">
        <v>43</v>
      </c>
      <c r="S70" s="515"/>
      <c r="T70" s="515"/>
      <c r="U70" s="515"/>
      <c r="V70" s="515"/>
      <c r="W70" s="515"/>
      <c r="X70" s="515"/>
      <c r="Y70" s="515"/>
      <c r="Z70" s="515"/>
      <c r="AA70" s="514"/>
      <c r="AB70" s="512" t="s">
        <v>44</v>
      </c>
      <c r="AC70" s="512"/>
      <c r="AD70" s="516"/>
      <c r="AF70" s="84">
        <f>SUM(AF67:AF69)</f>
        <v>96000</v>
      </c>
    </row>
    <row r="71" spans="1:32" ht="25.5" customHeight="1">
      <c r="A71" s="517">
        <v>1</v>
      </c>
      <c r="B71" s="518"/>
      <c r="C71" s="104" t="s">
        <v>203</v>
      </c>
      <c r="D71" s="283"/>
      <c r="E71" s="280" t="s">
        <v>398</v>
      </c>
      <c r="F71" s="519" t="s">
        <v>397</v>
      </c>
      <c r="G71" s="520"/>
      <c r="H71" s="520"/>
      <c r="I71" s="520"/>
      <c r="J71" s="521"/>
      <c r="K71" s="522">
        <v>7301</v>
      </c>
      <c r="L71" s="522"/>
      <c r="M71" s="51" t="s">
        <v>178</v>
      </c>
      <c r="N71" s="523" t="s">
        <v>206</v>
      </c>
      <c r="O71" s="523"/>
      <c r="P71" s="524">
        <v>50</v>
      </c>
      <c r="Q71" s="524"/>
      <c r="R71" s="498"/>
      <c r="S71" s="498"/>
      <c r="T71" s="498"/>
      <c r="U71" s="498"/>
      <c r="V71" s="498"/>
      <c r="W71" s="498"/>
      <c r="X71" s="498"/>
      <c r="Y71" s="498"/>
      <c r="Z71" s="498"/>
      <c r="AA71" s="498"/>
      <c r="AB71" s="522"/>
      <c r="AC71" s="522"/>
      <c r="AD71" s="525"/>
      <c r="AF71" s="50"/>
    </row>
    <row r="72" spans="1:32" ht="25.5" customHeight="1">
      <c r="A72" s="517">
        <v>2</v>
      </c>
      <c r="B72" s="518"/>
      <c r="C72" s="104" t="s">
        <v>143</v>
      </c>
      <c r="D72" s="283"/>
      <c r="E72" s="280" t="s">
        <v>411</v>
      </c>
      <c r="F72" s="519" t="s">
        <v>410</v>
      </c>
      <c r="G72" s="520"/>
      <c r="H72" s="520"/>
      <c r="I72" s="520"/>
      <c r="J72" s="521"/>
      <c r="K72" s="522" t="s">
        <v>131</v>
      </c>
      <c r="L72" s="522"/>
      <c r="M72" s="51" t="s">
        <v>205</v>
      </c>
      <c r="N72" s="523" t="s">
        <v>286</v>
      </c>
      <c r="O72" s="523"/>
      <c r="P72" s="524">
        <v>100</v>
      </c>
      <c r="Q72" s="524"/>
      <c r="R72" s="498"/>
      <c r="S72" s="498"/>
      <c r="T72" s="498"/>
      <c r="U72" s="498"/>
      <c r="V72" s="498"/>
      <c r="W72" s="498"/>
      <c r="X72" s="498"/>
      <c r="Y72" s="498"/>
      <c r="Z72" s="498"/>
      <c r="AA72" s="498"/>
      <c r="AB72" s="522"/>
      <c r="AC72" s="522"/>
      <c r="AD72" s="525"/>
      <c r="AF72" s="50"/>
    </row>
    <row r="73" spans="1:32" ht="25.5" customHeight="1">
      <c r="A73" s="517">
        <v>3</v>
      </c>
      <c r="B73" s="518"/>
      <c r="C73" s="104" t="s">
        <v>143</v>
      </c>
      <c r="D73" s="283"/>
      <c r="E73" s="280" t="s">
        <v>411</v>
      </c>
      <c r="F73" s="519" t="s">
        <v>412</v>
      </c>
      <c r="G73" s="520"/>
      <c r="H73" s="520"/>
      <c r="I73" s="520"/>
      <c r="J73" s="521"/>
      <c r="K73" s="522" t="s">
        <v>131</v>
      </c>
      <c r="L73" s="522"/>
      <c r="M73" s="51" t="s">
        <v>205</v>
      </c>
      <c r="N73" s="523" t="s">
        <v>286</v>
      </c>
      <c r="O73" s="523"/>
      <c r="P73" s="524">
        <v>100</v>
      </c>
      <c r="Q73" s="524"/>
      <c r="R73" s="498" t="s">
        <v>396</v>
      </c>
      <c r="S73" s="498"/>
      <c r="T73" s="498"/>
      <c r="U73" s="498"/>
      <c r="V73" s="498"/>
      <c r="W73" s="498"/>
      <c r="X73" s="498"/>
      <c r="Y73" s="498"/>
      <c r="Z73" s="498"/>
      <c r="AA73" s="498"/>
      <c r="AB73" s="522"/>
      <c r="AC73" s="522"/>
      <c r="AD73" s="525"/>
      <c r="AF73" s="50"/>
    </row>
    <row r="74" spans="1:32" ht="25.5" customHeight="1">
      <c r="A74" s="517">
        <v>4</v>
      </c>
      <c r="B74" s="518"/>
      <c r="C74" s="104" t="s">
        <v>116</v>
      </c>
      <c r="D74" s="283"/>
      <c r="E74" s="280" t="s">
        <v>130</v>
      </c>
      <c r="F74" s="519" t="s">
        <v>413</v>
      </c>
      <c r="G74" s="520"/>
      <c r="H74" s="520"/>
      <c r="I74" s="520"/>
      <c r="J74" s="521"/>
      <c r="K74" s="522" t="s">
        <v>134</v>
      </c>
      <c r="L74" s="522"/>
      <c r="M74" s="51" t="s">
        <v>178</v>
      </c>
      <c r="N74" s="523" t="s">
        <v>286</v>
      </c>
      <c r="O74" s="523"/>
      <c r="P74" s="524">
        <v>50</v>
      </c>
      <c r="Q74" s="524"/>
      <c r="R74" s="498"/>
      <c r="S74" s="498"/>
      <c r="T74" s="498"/>
      <c r="U74" s="498"/>
      <c r="V74" s="498"/>
      <c r="W74" s="498"/>
      <c r="X74" s="498"/>
      <c r="Y74" s="498"/>
      <c r="Z74" s="498"/>
      <c r="AA74" s="498"/>
      <c r="AB74" s="522"/>
      <c r="AC74" s="522"/>
      <c r="AD74" s="525"/>
      <c r="AF74" s="50"/>
    </row>
    <row r="75" spans="1:32" ht="25.5" customHeight="1">
      <c r="A75" s="517">
        <v>5</v>
      </c>
      <c r="B75" s="518"/>
      <c r="C75" s="104" t="s">
        <v>116</v>
      </c>
      <c r="D75" s="283"/>
      <c r="E75" s="280" t="s">
        <v>317</v>
      </c>
      <c r="F75" s="519" t="s">
        <v>414</v>
      </c>
      <c r="G75" s="520"/>
      <c r="H75" s="520"/>
      <c r="I75" s="520"/>
      <c r="J75" s="521"/>
      <c r="K75" s="522" t="s">
        <v>134</v>
      </c>
      <c r="L75" s="522"/>
      <c r="M75" s="51" t="s">
        <v>178</v>
      </c>
      <c r="N75" s="523" t="s">
        <v>286</v>
      </c>
      <c r="O75" s="523"/>
      <c r="P75" s="524">
        <v>100</v>
      </c>
      <c r="Q75" s="524"/>
      <c r="R75" s="498"/>
      <c r="S75" s="498"/>
      <c r="T75" s="498"/>
      <c r="U75" s="498"/>
      <c r="V75" s="498"/>
      <c r="W75" s="498"/>
      <c r="X75" s="498"/>
      <c r="Y75" s="498"/>
      <c r="Z75" s="498"/>
      <c r="AA75" s="498"/>
      <c r="AB75" s="522"/>
      <c r="AC75" s="522"/>
      <c r="AD75" s="525"/>
      <c r="AF75" s="50"/>
    </row>
    <row r="76" spans="1:32" ht="25.5" customHeight="1">
      <c r="A76" s="517">
        <v>6</v>
      </c>
      <c r="B76" s="518"/>
      <c r="C76" s="104"/>
      <c r="D76" s="283"/>
      <c r="E76" s="280"/>
      <c r="F76" s="519"/>
      <c r="G76" s="520"/>
      <c r="H76" s="520"/>
      <c r="I76" s="520"/>
      <c r="J76" s="521"/>
      <c r="K76" s="522"/>
      <c r="L76" s="522"/>
      <c r="M76" s="51"/>
      <c r="N76" s="523"/>
      <c r="O76" s="523"/>
      <c r="P76" s="524"/>
      <c r="Q76" s="524"/>
      <c r="R76" s="498"/>
      <c r="S76" s="498"/>
      <c r="T76" s="498"/>
      <c r="U76" s="498"/>
      <c r="V76" s="498"/>
      <c r="W76" s="498"/>
      <c r="X76" s="498"/>
      <c r="Y76" s="498"/>
      <c r="Z76" s="498"/>
      <c r="AA76" s="498"/>
      <c r="AB76" s="522"/>
      <c r="AC76" s="522"/>
      <c r="AD76" s="525"/>
      <c r="AF76" s="50"/>
    </row>
    <row r="77" spans="1:32" ht="25.5" customHeight="1">
      <c r="A77" s="517">
        <v>7</v>
      </c>
      <c r="B77" s="518"/>
      <c r="C77" s="104"/>
      <c r="D77" s="283"/>
      <c r="E77" s="280"/>
      <c r="F77" s="519"/>
      <c r="G77" s="520"/>
      <c r="H77" s="520"/>
      <c r="I77" s="520"/>
      <c r="J77" s="521"/>
      <c r="K77" s="522"/>
      <c r="L77" s="522"/>
      <c r="M77" s="51"/>
      <c r="N77" s="523"/>
      <c r="O77" s="523"/>
      <c r="P77" s="524"/>
      <c r="Q77" s="524"/>
      <c r="R77" s="498"/>
      <c r="S77" s="498"/>
      <c r="T77" s="498"/>
      <c r="U77" s="498"/>
      <c r="V77" s="498"/>
      <c r="W77" s="498"/>
      <c r="X77" s="498"/>
      <c r="Y77" s="498"/>
      <c r="Z77" s="498"/>
      <c r="AA77" s="498"/>
      <c r="AB77" s="522"/>
      <c r="AC77" s="522"/>
      <c r="AD77" s="525"/>
      <c r="AF77" s="50"/>
    </row>
    <row r="78" spans="1:32" ht="25.5" customHeight="1">
      <c r="A78" s="517">
        <v>8</v>
      </c>
      <c r="B78" s="518"/>
      <c r="C78" s="104"/>
      <c r="D78" s="283"/>
      <c r="E78" s="280"/>
      <c r="F78" s="526"/>
      <c r="G78" s="522"/>
      <c r="H78" s="522"/>
      <c r="I78" s="522"/>
      <c r="J78" s="522"/>
      <c r="K78" s="522"/>
      <c r="L78" s="522"/>
      <c r="M78" s="51"/>
      <c r="N78" s="523"/>
      <c r="O78" s="523"/>
      <c r="P78" s="524"/>
      <c r="Q78" s="524"/>
      <c r="R78" s="498"/>
      <c r="S78" s="498"/>
      <c r="T78" s="498"/>
      <c r="U78" s="498"/>
      <c r="V78" s="498"/>
      <c r="W78" s="498"/>
      <c r="X78" s="498"/>
      <c r="Y78" s="498"/>
      <c r="Z78" s="498"/>
      <c r="AA78" s="498"/>
      <c r="AB78" s="522"/>
      <c r="AC78" s="522"/>
      <c r="AD78" s="525"/>
      <c r="AF78" s="50"/>
    </row>
    <row r="79" spans="1:32" ht="25.5" customHeight="1">
      <c r="A79" s="517">
        <v>9</v>
      </c>
      <c r="B79" s="518"/>
      <c r="C79" s="104"/>
      <c r="D79" s="283"/>
      <c r="E79" s="280"/>
      <c r="F79" s="526"/>
      <c r="G79" s="522"/>
      <c r="H79" s="522"/>
      <c r="I79" s="522"/>
      <c r="J79" s="522"/>
      <c r="K79" s="522"/>
      <c r="L79" s="522"/>
      <c r="M79" s="51"/>
      <c r="N79" s="523"/>
      <c r="O79" s="523"/>
      <c r="P79" s="524"/>
      <c r="Q79" s="524"/>
      <c r="R79" s="498"/>
      <c r="S79" s="498"/>
      <c r="T79" s="498"/>
      <c r="U79" s="498"/>
      <c r="V79" s="498"/>
      <c r="W79" s="498"/>
      <c r="X79" s="498"/>
      <c r="Y79" s="498"/>
      <c r="Z79" s="498"/>
      <c r="AA79" s="498"/>
      <c r="AB79" s="522"/>
      <c r="AC79" s="522"/>
      <c r="AD79" s="525"/>
      <c r="AF79" s="50"/>
    </row>
    <row r="80" spans="1:32" ht="25.5" customHeight="1">
      <c r="A80" s="517">
        <v>10</v>
      </c>
      <c r="B80" s="518"/>
      <c r="C80" s="104"/>
      <c r="D80" s="283"/>
      <c r="E80" s="280"/>
      <c r="F80" s="526"/>
      <c r="G80" s="522"/>
      <c r="H80" s="522"/>
      <c r="I80" s="522"/>
      <c r="J80" s="522"/>
      <c r="K80" s="522"/>
      <c r="L80" s="522"/>
      <c r="M80" s="51"/>
      <c r="N80" s="523"/>
      <c r="O80" s="523"/>
      <c r="P80" s="524"/>
      <c r="Q80" s="524"/>
      <c r="R80" s="498"/>
      <c r="S80" s="498"/>
      <c r="T80" s="498"/>
      <c r="U80" s="498"/>
      <c r="V80" s="498"/>
      <c r="W80" s="498"/>
      <c r="X80" s="498"/>
      <c r="Y80" s="498"/>
      <c r="Z80" s="498"/>
      <c r="AA80" s="498"/>
      <c r="AB80" s="522"/>
      <c r="AC80" s="522"/>
      <c r="AD80" s="525"/>
      <c r="AF80" s="50"/>
    </row>
    <row r="81" spans="1:32" ht="26.25" customHeight="1" thickBot="1">
      <c r="A81" s="527" t="s">
        <v>415</v>
      </c>
      <c r="B81" s="527"/>
      <c r="C81" s="527"/>
      <c r="D81" s="527"/>
      <c r="E81" s="527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528" t="s">
        <v>111</v>
      </c>
      <c r="B82" s="529"/>
      <c r="C82" s="282" t="s">
        <v>2</v>
      </c>
      <c r="D82" s="282" t="s">
        <v>37</v>
      </c>
      <c r="E82" s="282" t="s">
        <v>121</v>
      </c>
      <c r="F82" s="530" t="s">
        <v>38</v>
      </c>
      <c r="G82" s="530"/>
      <c r="H82" s="530"/>
      <c r="I82" s="530"/>
      <c r="J82" s="530"/>
      <c r="K82" s="531" t="s">
        <v>58</v>
      </c>
      <c r="L82" s="532"/>
      <c r="M82" s="532"/>
      <c r="N82" s="532"/>
      <c r="O82" s="532"/>
      <c r="P82" s="532"/>
      <c r="Q82" s="532"/>
      <c r="R82" s="532"/>
      <c r="S82" s="533"/>
      <c r="T82" s="530" t="s">
        <v>49</v>
      </c>
      <c r="U82" s="530"/>
      <c r="V82" s="531" t="s">
        <v>50</v>
      </c>
      <c r="W82" s="533"/>
      <c r="X82" s="532" t="s">
        <v>51</v>
      </c>
      <c r="Y82" s="532"/>
      <c r="Z82" s="532"/>
      <c r="AA82" s="532"/>
      <c r="AB82" s="532"/>
      <c r="AC82" s="532"/>
      <c r="AD82" s="534"/>
      <c r="AF82" s="50"/>
    </row>
    <row r="83" spans="1:32" ht="33.75" customHeight="1">
      <c r="A83" s="543">
        <v>1</v>
      </c>
      <c r="B83" s="544"/>
      <c r="C83" s="284"/>
      <c r="D83" s="284"/>
      <c r="E83" s="65"/>
      <c r="F83" s="545"/>
      <c r="G83" s="546"/>
      <c r="H83" s="546"/>
      <c r="I83" s="546"/>
      <c r="J83" s="547"/>
      <c r="K83" s="548"/>
      <c r="L83" s="549"/>
      <c r="M83" s="549"/>
      <c r="N83" s="549"/>
      <c r="O83" s="549"/>
      <c r="P83" s="549"/>
      <c r="Q83" s="549"/>
      <c r="R83" s="549"/>
      <c r="S83" s="550"/>
      <c r="T83" s="551"/>
      <c r="U83" s="552"/>
      <c r="V83" s="553"/>
      <c r="W83" s="553"/>
      <c r="X83" s="554"/>
      <c r="Y83" s="554"/>
      <c r="Z83" s="554"/>
      <c r="AA83" s="554"/>
      <c r="AB83" s="554"/>
      <c r="AC83" s="554"/>
      <c r="AD83" s="555"/>
      <c r="AF83" s="50"/>
    </row>
    <row r="84" spans="1:32" ht="30" customHeight="1">
      <c r="A84" s="535">
        <f>A83+1</f>
        <v>2</v>
      </c>
      <c r="B84" s="536"/>
      <c r="C84" s="283"/>
      <c r="D84" s="283"/>
      <c r="E84" s="32"/>
      <c r="F84" s="536"/>
      <c r="G84" s="536"/>
      <c r="H84" s="536"/>
      <c r="I84" s="536"/>
      <c r="J84" s="536"/>
      <c r="K84" s="537"/>
      <c r="L84" s="538"/>
      <c r="M84" s="538"/>
      <c r="N84" s="538"/>
      <c r="O84" s="538"/>
      <c r="P84" s="538"/>
      <c r="Q84" s="538"/>
      <c r="R84" s="538"/>
      <c r="S84" s="539"/>
      <c r="T84" s="540"/>
      <c r="U84" s="540"/>
      <c r="V84" s="540"/>
      <c r="W84" s="540"/>
      <c r="X84" s="541"/>
      <c r="Y84" s="541"/>
      <c r="Z84" s="541"/>
      <c r="AA84" s="541"/>
      <c r="AB84" s="541"/>
      <c r="AC84" s="541"/>
      <c r="AD84" s="542"/>
      <c r="AF84" s="50"/>
    </row>
    <row r="85" spans="1:32" ht="30" customHeight="1">
      <c r="A85" s="535">
        <f t="shared" ref="A85:A89" si="19">A84+1</f>
        <v>3</v>
      </c>
      <c r="B85" s="536"/>
      <c r="C85" s="283"/>
      <c r="D85" s="283"/>
      <c r="E85" s="32"/>
      <c r="F85" s="536"/>
      <c r="G85" s="536"/>
      <c r="H85" s="536"/>
      <c r="I85" s="536"/>
      <c r="J85" s="536"/>
      <c r="K85" s="537"/>
      <c r="L85" s="538"/>
      <c r="M85" s="538"/>
      <c r="N85" s="538"/>
      <c r="O85" s="538"/>
      <c r="P85" s="538"/>
      <c r="Q85" s="538"/>
      <c r="R85" s="538"/>
      <c r="S85" s="539"/>
      <c r="T85" s="540"/>
      <c r="U85" s="540"/>
      <c r="V85" s="540"/>
      <c r="W85" s="540"/>
      <c r="X85" s="541"/>
      <c r="Y85" s="541"/>
      <c r="Z85" s="541"/>
      <c r="AA85" s="541"/>
      <c r="AB85" s="541"/>
      <c r="AC85" s="541"/>
      <c r="AD85" s="542"/>
      <c r="AF85" s="50"/>
    </row>
    <row r="86" spans="1:32" ht="30" customHeight="1">
      <c r="A86" s="535">
        <f t="shared" si="19"/>
        <v>4</v>
      </c>
      <c r="B86" s="536"/>
      <c r="C86" s="283"/>
      <c r="D86" s="283"/>
      <c r="E86" s="32"/>
      <c r="F86" s="536"/>
      <c r="G86" s="536"/>
      <c r="H86" s="536"/>
      <c r="I86" s="536"/>
      <c r="J86" s="536"/>
      <c r="K86" s="537"/>
      <c r="L86" s="538"/>
      <c r="M86" s="538"/>
      <c r="N86" s="538"/>
      <c r="O86" s="538"/>
      <c r="P86" s="538"/>
      <c r="Q86" s="538"/>
      <c r="R86" s="538"/>
      <c r="S86" s="539"/>
      <c r="T86" s="540"/>
      <c r="U86" s="540"/>
      <c r="V86" s="540"/>
      <c r="W86" s="540"/>
      <c r="X86" s="541"/>
      <c r="Y86" s="541"/>
      <c r="Z86" s="541"/>
      <c r="AA86" s="541"/>
      <c r="AB86" s="541"/>
      <c r="AC86" s="541"/>
      <c r="AD86" s="542"/>
      <c r="AF86" s="50"/>
    </row>
    <row r="87" spans="1:32" ht="30" customHeight="1">
      <c r="A87" s="535">
        <f t="shared" si="19"/>
        <v>5</v>
      </c>
      <c r="B87" s="536"/>
      <c r="C87" s="283"/>
      <c r="D87" s="283"/>
      <c r="E87" s="32"/>
      <c r="F87" s="536"/>
      <c r="G87" s="536"/>
      <c r="H87" s="536"/>
      <c r="I87" s="536"/>
      <c r="J87" s="536"/>
      <c r="K87" s="537"/>
      <c r="L87" s="538"/>
      <c r="M87" s="538"/>
      <c r="N87" s="538"/>
      <c r="O87" s="538"/>
      <c r="P87" s="538"/>
      <c r="Q87" s="538"/>
      <c r="R87" s="538"/>
      <c r="S87" s="539"/>
      <c r="T87" s="540"/>
      <c r="U87" s="540"/>
      <c r="V87" s="540"/>
      <c r="W87" s="540"/>
      <c r="X87" s="541"/>
      <c r="Y87" s="541"/>
      <c r="Z87" s="541"/>
      <c r="AA87" s="541"/>
      <c r="AB87" s="541"/>
      <c r="AC87" s="541"/>
      <c r="AD87" s="542"/>
      <c r="AF87" s="50"/>
    </row>
    <row r="88" spans="1:32" ht="30" customHeight="1">
      <c r="A88" s="535">
        <f t="shared" si="19"/>
        <v>6</v>
      </c>
      <c r="B88" s="536"/>
      <c r="C88" s="283"/>
      <c r="D88" s="283"/>
      <c r="E88" s="32"/>
      <c r="F88" s="536"/>
      <c r="G88" s="536"/>
      <c r="H88" s="536"/>
      <c r="I88" s="536"/>
      <c r="J88" s="536"/>
      <c r="K88" s="537"/>
      <c r="L88" s="538"/>
      <c r="M88" s="538"/>
      <c r="N88" s="538"/>
      <c r="O88" s="538"/>
      <c r="P88" s="538"/>
      <c r="Q88" s="538"/>
      <c r="R88" s="538"/>
      <c r="S88" s="539"/>
      <c r="T88" s="540"/>
      <c r="U88" s="540"/>
      <c r="V88" s="540"/>
      <c r="W88" s="540"/>
      <c r="X88" s="541"/>
      <c r="Y88" s="541"/>
      <c r="Z88" s="541"/>
      <c r="AA88" s="541"/>
      <c r="AB88" s="541"/>
      <c r="AC88" s="541"/>
      <c r="AD88" s="542"/>
      <c r="AF88" s="50"/>
    </row>
    <row r="89" spans="1:32" ht="30" customHeight="1">
      <c r="A89" s="535">
        <f t="shared" si="19"/>
        <v>7</v>
      </c>
      <c r="B89" s="536"/>
      <c r="C89" s="283"/>
      <c r="D89" s="283"/>
      <c r="E89" s="32"/>
      <c r="F89" s="536"/>
      <c r="G89" s="536"/>
      <c r="H89" s="536"/>
      <c r="I89" s="536"/>
      <c r="J89" s="536"/>
      <c r="K89" s="537"/>
      <c r="L89" s="538"/>
      <c r="M89" s="538"/>
      <c r="N89" s="538"/>
      <c r="O89" s="538"/>
      <c r="P89" s="538"/>
      <c r="Q89" s="538"/>
      <c r="R89" s="538"/>
      <c r="S89" s="539"/>
      <c r="T89" s="540"/>
      <c r="U89" s="540"/>
      <c r="V89" s="540"/>
      <c r="W89" s="540"/>
      <c r="X89" s="541"/>
      <c r="Y89" s="541"/>
      <c r="Z89" s="541"/>
      <c r="AA89" s="541"/>
      <c r="AB89" s="541"/>
      <c r="AC89" s="541"/>
      <c r="AD89" s="542"/>
      <c r="AF89" s="50"/>
    </row>
    <row r="90" spans="1:32" ht="36" thickBot="1">
      <c r="A90" s="527" t="s">
        <v>416</v>
      </c>
      <c r="B90" s="527"/>
      <c r="C90" s="527"/>
      <c r="D90" s="527"/>
      <c r="E90" s="527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556" t="s">
        <v>111</v>
      </c>
      <c r="B91" s="530"/>
      <c r="C91" s="557" t="s">
        <v>52</v>
      </c>
      <c r="D91" s="557"/>
      <c r="E91" s="557" t="s">
        <v>53</v>
      </c>
      <c r="F91" s="557"/>
      <c r="G91" s="557"/>
      <c r="H91" s="557"/>
      <c r="I91" s="557"/>
      <c r="J91" s="557"/>
      <c r="K91" s="557" t="s">
        <v>54</v>
      </c>
      <c r="L91" s="557"/>
      <c r="M91" s="557"/>
      <c r="N91" s="557"/>
      <c r="O91" s="557"/>
      <c r="P91" s="557"/>
      <c r="Q91" s="557"/>
      <c r="R91" s="557"/>
      <c r="S91" s="557"/>
      <c r="T91" s="557" t="s">
        <v>55</v>
      </c>
      <c r="U91" s="557"/>
      <c r="V91" s="557" t="s">
        <v>56</v>
      </c>
      <c r="W91" s="557"/>
      <c r="X91" s="557"/>
      <c r="Y91" s="557" t="s">
        <v>51</v>
      </c>
      <c r="Z91" s="557"/>
      <c r="AA91" s="557"/>
      <c r="AB91" s="557"/>
      <c r="AC91" s="557"/>
      <c r="AD91" s="558"/>
      <c r="AF91" s="50"/>
    </row>
    <row r="92" spans="1:32" ht="30.75" customHeight="1">
      <c r="A92" s="543">
        <v>1</v>
      </c>
      <c r="B92" s="544"/>
      <c r="C92" s="559">
        <v>9</v>
      </c>
      <c r="D92" s="559"/>
      <c r="E92" s="559" t="s">
        <v>127</v>
      </c>
      <c r="F92" s="559"/>
      <c r="G92" s="559"/>
      <c r="H92" s="559"/>
      <c r="I92" s="559"/>
      <c r="J92" s="559"/>
      <c r="K92" s="559" t="s">
        <v>136</v>
      </c>
      <c r="L92" s="559"/>
      <c r="M92" s="559"/>
      <c r="N92" s="559"/>
      <c r="O92" s="559"/>
      <c r="P92" s="559"/>
      <c r="Q92" s="559"/>
      <c r="R92" s="559"/>
      <c r="S92" s="559"/>
      <c r="T92" s="559" t="s">
        <v>128</v>
      </c>
      <c r="U92" s="559"/>
      <c r="V92" s="560" t="s">
        <v>133</v>
      </c>
      <c r="W92" s="560"/>
      <c r="X92" s="560"/>
      <c r="Y92" s="561"/>
      <c r="Z92" s="561"/>
      <c r="AA92" s="561"/>
      <c r="AB92" s="561"/>
      <c r="AC92" s="561"/>
      <c r="AD92" s="562"/>
      <c r="AF92" s="50"/>
    </row>
    <row r="93" spans="1:32" ht="30.75" customHeight="1">
      <c r="A93" s="535">
        <v>2</v>
      </c>
      <c r="B93" s="536"/>
      <c r="C93" s="570"/>
      <c r="D93" s="570"/>
      <c r="E93" s="570"/>
      <c r="F93" s="570"/>
      <c r="G93" s="570"/>
      <c r="H93" s="570"/>
      <c r="I93" s="570"/>
      <c r="J93" s="570"/>
      <c r="K93" s="570"/>
      <c r="L93" s="570"/>
      <c r="M93" s="570"/>
      <c r="N93" s="570"/>
      <c r="O93" s="570"/>
      <c r="P93" s="570"/>
      <c r="Q93" s="570"/>
      <c r="R93" s="570"/>
      <c r="S93" s="570"/>
      <c r="T93" s="571"/>
      <c r="U93" s="571"/>
      <c r="V93" s="572"/>
      <c r="W93" s="572"/>
      <c r="X93" s="572"/>
      <c r="Y93" s="563"/>
      <c r="Z93" s="563"/>
      <c r="AA93" s="563"/>
      <c r="AB93" s="563"/>
      <c r="AC93" s="563"/>
      <c r="AD93" s="564"/>
      <c r="AF93" s="50"/>
    </row>
    <row r="94" spans="1:32" ht="30.75" customHeight="1" thickBot="1">
      <c r="A94" s="565">
        <v>3</v>
      </c>
      <c r="B94" s="566"/>
      <c r="C94" s="567"/>
      <c r="D94" s="567"/>
      <c r="E94" s="567"/>
      <c r="F94" s="567"/>
      <c r="G94" s="567"/>
      <c r="H94" s="567"/>
      <c r="I94" s="567"/>
      <c r="J94" s="567"/>
      <c r="K94" s="567"/>
      <c r="L94" s="567"/>
      <c r="M94" s="567"/>
      <c r="N94" s="567"/>
      <c r="O94" s="567"/>
      <c r="P94" s="567"/>
      <c r="Q94" s="567"/>
      <c r="R94" s="567"/>
      <c r="S94" s="567"/>
      <c r="T94" s="567"/>
      <c r="U94" s="567"/>
      <c r="V94" s="573"/>
      <c r="W94" s="573"/>
      <c r="X94" s="573"/>
      <c r="Y94" s="568"/>
      <c r="Z94" s="568"/>
      <c r="AA94" s="568"/>
      <c r="AB94" s="568"/>
      <c r="AC94" s="568"/>
      <c r="AD94" s="569"/>
      <c r="AF94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4" max="29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D4BA-AF39-4E1D-BEFC-B52593522361}">
  <dimension ref="A1:AF93"/>
  <sheetViews>
    <sheetView view="pageBreakPreview" zoomScale="70" zoomScaleNormal="72" zoomScaleSheetLayoutView="70" workbookViewId="0">
      <selection activeCell="K82" sqref="K82:S8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50" t="s">
        <v>417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1"/>
      <c r="B3" s="451"/>
      <c r="C3" s="451"/>
      <c r="D3" s="451"/>
      <c r="E3" s="451"/>
      <c r="F3" s="451"/>
      <c r="G3" s="45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52" t="s">
        <v>0</v>
      </c>
      <c r="B4" s="454" t="s">
        <v>1</v>
      </c>
      <c r="C4" s="454" t="s">
        <v>2</v>
      </c>
      <c r="D4" s="457" t="s">
        <v>3</v>
      </c>
      <c r="E4" s="459" t="s">
        <v>4</v>
      </c>
      <c r="F4" s="457" t="s">
        <v>5</v>
      </c>
      <c r="G4" s="454" t="s">
        <v>6</v>
      </c>
      <c r="H4" s="460" t="s">
        <v>7</v>
      </c>
      <c r="I4" s="480" t="s">
        <v>8</v>
      </c>
      <c r="J4" s="481"/>
      <c r="K4" s="481"/>
      <c r="L4" s="481"/>
      <c r="M4" s="481"/>
      <c r="N4" s="481"/>
      <c r="O4" s="482"/>
      <c r="P4" s="483" t="s">
        <v>9</v>
      </c>
      <c r="Q4" s="484"/>
      <c r="R4" s="486" t="s">
        <v>10</v>
      </c>
      <c r="S4" s="485"/>
      <c r="T4" s="485"/>
      <c r="U4" s="485"/>
      <c r="V4" s="487"/>
      <c r="W4" s="485" t="s">
        <v>11</v>
      </c>
      <c r="X4" s="485"/>
      <c r="Y4" s="485"/>
      <c r="Z4" s="485"/>
      <c r="AA4" s="487"/>
      <c r="AB4" s="488" t="s">
        <v>12</v>
      </c>
      <c r="AC4" s="462" t="s">
        <v>13</v>
      </c>
      <c r="AD4" s="462" t="s">
        <v>14</v>
      </c>
      <c r="AE4" s="54"/>
    </row>
    <row r="5" spans="1:32" ht="51" customHeight="1" thickBot="1">
      <c r="A5" s="453"/>
      <c r="B5" s="455"/>
      <c r="C5" s="456"/>
      <c r="D5" s="458"/>
      <c r="E5" s="458"/>
      <c r="F5" s="458"/>
      <c r="G5" s="455"/>
      <c r="H5" s="461"/>
      <c r="I5" s="55" t="s">
        <v>15</v>
      </c>
      <c r="J5" s="56" t="s">
        <v>16</v>
      </c>
      <c r="K5" s="297" t="s">
        <v>17</v>
      </c>
      <c r="L5" s="297" t="s">
        <v>18</v>
      </c>
      <c r="M5" s="297" t="s">
        <v>19</v>
      </c>
      <c r="N5" s="29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89"/>
      <c r="AC5" s="463"/>
      <c r="AD5" s="463"/>
      <c r="AE5" s="54"/>
    </row>
    <row r="6" spans="1:32" ht="27" customHeight="1">
      <c r="A6" s="112">
        <v>1</v>
      </c>
      <c r="B6" s="11" t="s">
        <v>57</v>
      </c>
      <c r="C6" s="34" t="s">
        <v>116</v>
      </c>
      <c r="D6" s="52" t="s">
        <v>130</v>
      </c>
      <c r="E6" s="53" t="s">
        <v>158</v>
      </c>
      <c r="F6" s="30" t="s">
        <v>146</v>
      </c>
      <c r="G6" s="12">
        <v>2</v>
      </c>
      <c r="H6" s="13">
        <v>24</v>
      </c>
      <c r="I6" s="31">
        <v>174000</v>
      </c>
      <c r="J6" s="14">
        <v>12800</v>
      </c>
      <c r="K6" s="15">
        <f>L6+2384+8412+9776+8821+8774+10138+6972+8852+4388+11916+2738+3190+6210</f>
        <v>105371</v>
      </c>
      <c r="L6" s="15">
        <f>3118*2+3282*2</f>
        <v>12800</v>
      </c>
      <c r="M6" s="15">
        <f t="shared" ref="M6:M27" si="0">L6-N6</f>
        <v>12800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23</v>
      </c>
      <c r="Q6" s="40">
        <f t="shared" ref="Q6:Q27" si="3">SUM(R6:AA6)</f>
        <v>1</v>
      </c>
      <c r="R6" s="7"/>
      <c r="S6" s="6">
        <v>1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0.95833333333333337</v>
      </c>
      <c r="AD6" s="10">
        <f t="shared" ref="AD6:AD27" si="6">AC6*AB6*(1-O6)</f>
        <v>0.95833333333333337</v>
      </c>
      <c r="AE6" s="36">
        <f t="shared" ref="AE6:AE27" si="7">$AD$28</f>
        <v>0.58712121212121204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116</v>
      </c>
      <c r="D7" s="52" t="s">
        <v>317</v>
      </c>
      <c r="E7" s="53" t="s">
        <v>402</v>
      </c>
      <c r="F7" s="30" t="s">
        <v>154</v>
      </c>
      <c r="G7" s="12">
        <v>8</v>
      </c>
      <c r="H7" s="13">
        <v>24</v>
      </c>
      <c r="I7" s="31">
        <v>31000</v>
      </c>
      <c r="J7" s="14">
        <v>34552</v>
      </c>
      <c r="K7" s="15">
        <f>L7+34552</f>
        <v>34552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0.58712121212121204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112</v>
      </c>
      <c r="D8" s="52" t="s">
        <v>115</v>
      </c>
      <c r="E8" s="53" t="s">
        <v>361</v>
      </c>
      <c r="F8" s="30" t="s">
        <v>131</v>
      </c>
      <c r="G8" s="12">
        <v>1</v>
      </c>
      <c r="H8" s="13">
        <v>24</v>
      </c>
      <c r="I8" s="7">
        <v>30000</v>
      </c>
      <c r="J8" s="14">
        <v>4519</v>
      </c>
      <c r="K8" s="15">
        <f>L8+2571+4669</f>
        <v>11759</v>
      </c>
      <c r="L8" s="15">
        <f>2344+2175</f>
        <v>4519</v>
      </c>
      <c r="M8" s="15">
        <f t="shared" si="0"/>
        <v>4519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0.58712121212121204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116</v>
      </c>
      <c r="D9" s="52" t="s">
        <v>150</v>
      </c>
      <c r="E9" s="53" t="s">
        <v>355</v>
      </c>
      <c r="F9" s="30" t="s">
        <v>301</v>
      </c>
      <c r="G9" s="12">
        <v>1</v>
      </c>
      <c r="H9" s="13">
        <v>24</v>
      </c>
      <c r="I9" s="7">
        <v>24000</v>
      </c>
      <c r="J9" s="14">
        <v>3688</v>
      </c>
      <c r="K9" s="15">
        <f>L9+4426+4805+4815</f>
        <v>17734</v>
      </c>
      <c r="L9" s="15">
        <f>1334+2354</f>
        <v>3688</v>
      </c>
      <c r="M9" s="15">
        <f t="shared" si="0"/>
        <v>3688</v>
      </c>
      <c r="N9" s="15">
        <v>0</v>
      </c>
      <c r="O9" s="58">
        <f t="shared" si="1"/>
        <v>0</v>
      </c>
      <c r="P9" s="39">
        <f t="shared" si="2"/>
        <v>19</v>
      </c>
      <c r="Q9" s="40">
        <f t="shared" si="3"/>
        <v>5</v>
      </c>
      <c r="R9" s="7"/>
      <c r="S9" s="6">
        <v>5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0.79166666666666663</v>
      </c>
      <c r="AD9" s="10">
        <f t="shared" si="6"/>
        <v>0.79166666666666663</v>
      </c>
      <c r="AE9" s="36">
        <f t="shared" si="7"/>
        <v>0.58712121212121204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241</v>
      </c>
      <c r="D10" s="52"/>
      <c r="E10" s="53" t="s">
        <v>408</v>
      </c>
      <c r="F10" s="30" t="s">
        <v>362</v>
      </c>
      <c r="G10" s="33">
        <v>2</v>
      </c>
      <c r="H10" s="35">
        <v>24</v>
      </c>
      <c r="I10" s="7">
        <v>5000</v>
      </c>
      <c r="J10" s="14">
        <v>10780</v>
      </c>
      <c r="K10" s="15">
        <f>L10</f>
        <v>10780</v>
      </c>
      <c r="L10" s="15">
        <f>2524*2+2866*2</f>
        <v>10780</v>
      </c>
      <c r="M10" s="15">
        <f t="shared" si="0"/>
        <v>10780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0.58712121212121204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116</v>
      </c>
      <c r="D11" s="52" t="s">
        <v>124</v>
      </c>
      <c r="E11" s="53" t="s">
        <v>323</v>
      </c>
      <c r="F11" s="30" t="s">
        <v>134</v>
      </c>
      <c r="G11" s="33">
        <v>1</v>
      </c>
      <c r="H11" s="35">
        <v>24</v>
      </c>
      <c r="I11" s="7">
        <v>50000</v>
      </c>
      <c r="J11" s="14">
        <v>2071</v>
      </c>
      <c r="K11" s="15">
        <f>L11+420+2071</f>
        <v>2491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0.58712121212121204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403</v>
      </c>
      <c r="F12" s="30" t="s">
        <v>167</v>
      </c>
      <c r="G12" s="12">
        <v>1</v>
      </c>
      <c r="H12" s="13">
        <v>22</v>
      </c>
      <c r="I12" s="31">
        <v>70000</v>
      </c>
      <c r="J12" s="5">
        <v>5463</v>
      </c>
      <c r="K12" s="15">
        <f>L12+3050</f>
        <v>8513</v>
      </c>
      <c r="L12" s="15">
        <f>2751+2712</f>
        <v>5463</v>
      </c>
      <c r="M12" s="15">
        <f t="shared" si="0"/>
        <v>5463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0.58712121212121204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124</v>
      </c>
      <c r="E13" s="53" t="s">
        <v>407</v>
      </c>
      <c r="F13" s="30" t="s">
        <v>131</v>
      </c>
      <c r="G13" s="33">
        <v>1</v>
      </c>
      <c r="H13" s="35">
        <v>24</v>
      </c>
      <c r="I13" s="7">
        <v>10000</v>
      </c>
      <c r="J13" s="14">
        <v>5375</v>
      </c>
      <c r="K13" s="15">
        <f>L13</f>
        <v>5375</v>
      </c>
      <c r="L13" s="15">
        <f>2481+2894</f>
        <v>5375</v>
      </c>
      <c r="M13" s="15">
        <f t="shared" si="0"/>
        <v>5375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0.58712121212121204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369</v>
      </c>
      <c r="F14" s="30" t="s">
        <v>151</v>
      </c>
      <c r="G14" s="33">
        <v>1</v>
      </c>
      <c r="H14" s="35">
        <v>50</v>
      </c>
      <c r="I14" s="7">
        <v>1500</v>
      </c>
      <c r="J14" s="5">
        <v>921</v>
      </c>
      <c r="K14" s="15">
        <f>L14+716+757</f>
        <v>2394</v>
      </c>
      <c r="L14" s="15">
        <v>921</v>
      </c>
      <c r="M14" s="15">
        <f t="shared" si="0"/>
        <v>921</v>
      </c>
      <c r="N14" s="15">
        <v>0</v>
      </c>
      <c r="O14" s="58">
        <f t="shared" si="1"/>
        <v>0</v>
      </c>
      <c r="P14" s="39">
        <f t="shared" si="2"/>
        <v>12</v>
      </c>
      <c r="Q14" s="40">
        <f t="shared" si="3"/>
        <v>12</v>
      </c>
      <c r="R14" s="7"/>
      <c r="S14" s="6"/>
      <c r="T14" s="16"/>
      <c r="U14" s="16"/>
      <c r="V14" s="17">
        <v>12</v>
      </c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0.5</v>
      </c>
      <c r="AD14" s="10">
        <f t="shared" si="6"/>
        <v>0.5</v>
      </c>
      <c r="AE14" s="36">
        <f t="shared" si="7"/>
        <v>0.58712121212121204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123</v>
      </c>
      <c r="E15" s="53" t="s">
        <v>141</v>
      </c>
      <c r="F15" s="30" t="s">
        <v>135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0.58712121212121204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143</v>
      </c>
      <c r="D16" s="52" t="s">
        <v>115</v>
      </c>
      <c r="E16" s="53" t="s">
        <v>324</v>
      </c>
      <c r="F16" s="30" t="s">
        <v>362</v>
      </c>
      <c r="G16" s="12">
        <v>1</v>
      </c>
      <c r="H16" s="13">
        <v>24</v>
      </c>
      <c r="I16" s="7">
        <v>20000</v>
      </c>
      <c r="J16" s="14">
        <v>4717</v>
      </c>
      <c r="K16" s="15">
        <f>L16+5554+5953+5939</f>
        <v>22163</v>
      </c>
      <c r="L16" s="15">
        <f>1778+2939</f>
        <v>4717</v>
      </c>
      <c r="M16" s="15">
        <f t="shared" si="0"/>
        <v>4717</v>
      </c>
      <c r="N16" s="15">
        <v>0</v>
      </c>
      <c r="O16" s="58">
        <f t="shared" si="1"/>
        <v>0</v>
      </c>
      <c r="P16" s="39">
        <f t="shared" si="2"/>
        <v>21</v>
      </c>
      <c r="Q16" s="40">
        <f t="shared" si="3"/>
        <v>3</v>
      </c>
      <c r="R16" s="7"/>
      <c r="S16" s="6">
        <v>3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0.875</v>
      </c>
      <c r="AD16" s="10">
        <f t="shared" si="6"/>
        <v>0.875</v>
      </c>
      <c r="AE16" s="36">
        <f t="shared" si="7"/>
        <v>0.58712121212121204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143</v>
      </c>
      <c r="D17" s="52" t="s">
        <v>150</v>
      </c>
      <c r="E17" s="53" t="s">
        <v>159</v>
      </c>
      <c r="F17" s="30" t="s">
        <v>154</v>
      </c>
      <c r="G17" s="12">
        <v>3</v>
      </c>
      <c r="H17" s="13">
        <v>24</v>
      </c>
      <c r="I17" s="7">
        <v>260000</v>
      </c>
      <c r="J17" s="14">
        <v>18378</v>
      </c>
      <c r="K17" s="15">
        <f>L17+16128+16857+16941+16140+15960+17466+17355+17745+17910+17925+2610+16239+17901+14879+13701</f>
        <v>254135</v>
      </c>
      <c r="L17" s="15">
        <f>3093*3+3033*3</f>
        <v>18378</v>
      </c>
      <c r="M17" s="15">
        <f t="shared" si="0"/>
        <v>18378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0.58712121212121204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116</v>
      </c>
      <c r="D18" s="52" t="s">
        <v>124</v>
      </c>
      <c r="E18" s="53" t="s">
        <v>323</v>
      </c>
      <c r="F18" s="30" t="s">
        <v>134</v>
      </c>
      <c r="G18" s="33">
        <v>1</v>
      </c>
      <c r="H18" s="35">
        <v>24</v>
      </c>
      <c r="I18" s="7">
        <v>50000</v>
      </c>
      <c r="J18" s="14">
        <v>4611</v>
      </c>
      <c r="K18" s="15">
        <f>L18</f>
        <v>4611</v>
      </c>
      <c r="L18" s="15">
        <f>1462+3149</f>
        <v>4611</v>
      </c>
      <c r="M18" s="15">
        <f t="shared" si="0"/>
        <v>4611</v>
      </c>
      <c r="N18" s="15">
        <v>0</v>
      </c>
      <c r="O18" s="58">
        <f t="shared" si="1"/>
        <v>0</v>
      </c>
      <c r="P18" s="39">
        <f t="shared" si="2"/>
        <v>20</v>
      </c>
      <c r="Q18" s="40">
        <f t="shared" si="3"/>
        <v>4</v>
      </c>
      <c r="R18" s="7"/>
      <c r="S18" s="6">
        <v>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0.83333333333333337</v>
      </c>
      <c r="AD18" s="10">
        <f t="shared" si="6"/>
        <v>0.83333333333333337</v>
      </c>
      <c r="AE18" s="36">
        <f t="shared" si="7"/>
        <v>0.58712121212121204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142</v>
      </c>
      <c r="E19" s="53" t="s">
        <v>161</v>
      </c>
      <c r="F19" s="30" t="s">
        <v>134</v>
      </c>
      <c r="G19" s="33">
        <v>1</v>
      </c>
      <c r="H19" s="35">
        <v>24</v>
      </c>
      <c r="I19" s="7">
        <v>54000</v>
      </c>
      <c r="J19" s="14">
        <v>5398</v>
      </c>
      <c r="K19" s="15">
        <f>L19+5079+5307+3503+1179+3568</f>
        <v>24034</v>
      </c>
      <c r="L19" s="15">
        <f>2733+2665</f>
        <v>5398</v>
      </c>
      <c r="M19" s="15">
        <f t="shared" si="0"/>
        <v>5398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0.58712121212121204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116</v>
      </c>
      <c r="D20" s="52" t="s">
        <v>115</v>
      </c>
      <c r="E20" s="53" t="s">
        <v>356</v>
      </c>
      <c r="F20" s="30" t="s">
        <v>122</v>
      </c>
      <c r="G20" s="12">
        <v>1</v>
      </c>
      <c r="H20" s="13">
        <v>24</v>
      </c>
      <c r="I20" s="7">
        <v>24000</v>
      </c>
      <c r="J20" s="14">
        <v>3767</v>
      </c>
      <c r="K20" s="15">
        <f>L20+2446+5228+5223</f>
        <v>16664</v>
      </c>
      <c r="L20" s="15">
        <f>2624+1143</f>
        <v>3767</v>
      </c>
      <c r="M20" s="15">
        <f t="shared" si="0"/>
        <v>3767</v>
      </c>
      <c r="N20" s="15">
        <v>0</v>
      </c>
      <c r="O20" s="58">
        <f t="shared" si="1"/>
        <v>0</v>
      </c>
      <c r="P20" s="39">
        <f t="shared" si="2"/>
        <v>19</v>
      </c>
      <c r="Q20" s="40">
        <f t="shared" si="3"/>
        <v>5</v>
      </c>
      <c r="R20" s="7"/>
      <c r="S20" s="6">
        <v>5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0.79166666666666663</v>
      </c>
      <c r="AD20" s="10">
        <f t="shared" si="6"/>
        <v>0.79166666666666663</v>
      </c>
      <c r="AE20" s="36">
        <f t="shared" si="7"/>
        <v>0.58712121212121204</v>
      </c>
      <c r="AF20" s="84">
        <f t="shared" si="8"/>
        <v>15</v>
      </c>
    </row>
    <row r="21" spans="1:32" ht="27" customHeight="1">
      <c r="A21" s="96">
        <v>16</v>
      </c>
      <c r="B21" s="11" t="s">
        <v>57</v>
      </c>
      <c r="C21" s="11" t="s">
        <v>113</v>
      </c>
      <c r="D21" s="52"/>
      <c r="E21" s="53" t="s">
        <v>384</v>
      </c>
      <c r="F21" s="12" t="s">
        <v>114</v>
      </c>
      <c r="G21" s="12">
        <v>4</v>
      </c>
      <c r="H21" s="35">
        <v>20</v>
      </c>
      <c r="I21" s="7">
        <v>110000</v>
      </c>
      <c r="J21" s="14">
        <v>67572</v>
      </c>
      <c r="K21" s="15">
        <f>L21+33068+77956</f>
        <v>178596</v>
      </c>
      <c r="L21" s="15">
        <f>9062*4+7831*4</f>
        <v>67572</v>
      </c>
      <c r="M21" s="15">
        <f t="shared" si="0"/>
        <v>67572</v>
      </c>
      <c r="N21" s="15">
        <v>0</v>
      </c>
      <c r="O21" s="58">
        <f t="shared" si="1"/>
        <v>0</v>
      </c>
      <c r="P21" s="39">
        <f t="shared" si="2"/>
        <v>22</v>
      </c>
      <c r="Q21" s="40">
        <f t="shared" si="3"/>
        <v>2</v>
      </c>
      <c r="R21" s="7">
        <v>2</v>
      </c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0.91666666666666663</v>
      </c>
      <c r="AD21" s="10">
        <f t="shared" si="6"/>
        <v>0.91666666666666663</v>
      </c>
      <c r="AE21" s="36">
        <f t="shared" si="7"/>
        <v>0.58712121212121204</v>
      </c>
      <c r="AF21" s="84">
        <f t="shared" si="8"/>
        <v>16</v>
      </c>
    </row>
    <row r="22" spans="1:32" ht="27" customHeight="1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0.58712121212121204</v>
      </c>
      <c r="AF22" s="84">
        <f t="shared" si="8"/>
        <v>31</v>
      </c>
    </row>
    <row r="23" spans="1:32" ht="27" customHeight="1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0.58712121212121204</v>
      </c>
      <c r="AF23" s="84">
        <f t="shared" si="8"/>
        <v>32</v>
      </c>
    </row>
    <row r="24" spans="1:32" ht="27" customHeight="1">
      <c r="A24" s="96">
        <v>33</v>
      </c>
      <c r="B24" s="11" t="s">
        <v>57</v>
      </c>
      <c r="C24" s="11" t="s">
        <v>116</v>
      </c>
      <c r="D24" s="52" t="s">
        <v>150</v>
      </c>
      <c r="E24" s="53" t="s">
        <v>163</v>
      </c>
      <c r="F24" s="12" t="s">
        <v>145</v>
      </c>
      <c r="G24" s="12">
        <v>1</v>
      </c>
      <c r="H24" s="35">
        <v>20</v>
      </c>
      <c r="I24" s="7">
        <v>140000</v>
      </c>
      <c r="J24" s="14">
        <v>7369</v>
      </c>
      <c r="K24" s="15">
        <f>L24+4387+7770+5806+7905+7479</f>
        <v>40716</v>
      </c>
      <c r="L24" s="15">
        <f>3340+4029</f>
        <v>7369</v>
      </c>
      <c r="M24" s="15">
        <f t="shared" si="0"/>
        <v>7369</v>
      </c>
      <c r="N24" s="15">
        <v>0</v>
      </c>
      <c r="O24" s="58">
        <f t="shared" si="1"/>
        <v>0</v>
      </c>
      <c r="P24" s="39">
        <f t="shared" si="2"/>
        <v>24</v>
      </c>
      <c r="Q24" s="40">
        <f t="shared" si="3"/>
        <v>0</v>
      </c>
      <c r="R24" s="7"/>
      <c r="S24" s="6"/>
      <c r="T24" s="16"/>
      <c r="U24" s="16"/>
      <c r="V24" s="206"/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1</v>
      </c>
      <c r="AD24" s="10">
        <f t="shared" si="6"/>
        <v>1</v>
      </c>
      <c r="AE24" s="36">
        <f t="shared" si="7"/>
        <v>0.58712121212121204</v>
      </c>
      <c r="AF24" s="84">
        <f t="shared" si="8"/>
        <v>33</v>
      </c>
    </row>
    <row r="25" spans="1:32" ht="27" customHeight="1">
      <c r="A25" s="96">
        <v>34</v>
      </c>
      <c r="B25" s="11" t="s">
        <v>57</v>
      </c>
      <c r="C25" s="11" t="s">
        <v>116</v>
      </c>
      <c r="D25" s="52" t="s">
        <v>150</v>
      </c>
      <c r="E25" s="53" t="s">
        <v>165</v>
      </c>
      <c r="F25" s="12" t="s">
        <v>135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206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0.58712121212121204</v>
      </c>
      <c r="AF25" s="84">
        <f t="shared" si="8"/>
        <v>34</v>
      </c>
    </row>
    <row r="26" spans="1:32" ht="27" customHeight="1">
      <c r="A26" s="96">
        <v>35</v>
      </c>
      <c r="B26" s="11" t="s">
        <v>57</v>
      </c>
      <c r="C26" s="11" t="s">
        <v>116</v>
      </c>
      <c r="D26" s="52" t="s">
        <v>123</v>
      </c>
      <c r="E26" s="53" t="s">
        <v>137</v>
      </c>
      <c r="F26" s="12" t="s">
        <v>135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206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0.58712121212121204</v>
      </c>
      <c r="AF26" s="84">
        <f t="shared" si="8"/>
        <v>35</v>
      </c>
    </row>
    <row r="27" spans="1:32" ht="27" customHeight="1" thickBot="1">
      <c r="A27" s="96">
        <v>36</v>
      </c>
      <c r="B27" s="11" t="s">
        <v>57</v>
      </c>
      <c r="C27" s="11" t="s">
        <v>380</v>
      </c>
      <c r="D27" s="52"/>
      <c r="E27" s="53" t="s">
        <v>381</v>
      </c>
      <c r="F27" s="12" t="s">
        <v>382</v>
      </c>
      <c r="G27" s="12">
        <v>32</v>
      </c>
      <c r="H27" s="35">
        <v>20</v>
      </c>
      <c r="I27" s="7">
        <v>700000</v>
      </c>
      <c r="J27" s="14">
        <v>89792</v>
      </c>
      <c r="K27" s="15">
        <f>L27+326528+448864</f>
        <v>865184</v>
      </c>
      <c r="L27" s="15">
        <f>2806*32</f>
        <v>89792</v>
      </c>
      <c r="M27" s="15">
        <f t="shared" si="0"/>
        <v>89792</v>
      </c>
      <c r="N27" s="15">
        <v>0</v>
      </c>
      <c r="O27" s="58">
        <f t="shared" si="1"/>
        <v>0</v>
      </c>
      <c r="P27" s="39">
        <f t="shared" si="2"/>
        <v>6</v>
      </c>
      <c r="Q27" s="40">
        <f t="shared" si="3"/>
        <v>18</v>
      </c>
      <c r="R27" s="7"/>
      <c r="S27" s="6"/>
      <c r="T27" s="16"/>
      <c r="U27" s="16"/>
      <c r="V27" s="206"/>
      <c r="W27" s="5">
        <v>18</v>
      </c>
      <c r="X27" s="16"/>
      <c r="Y27" s="16"/>
      <c r="Z27" s="16"/>
      <c r="AA27" s="18"/>
      <c r="AB27" s="8">
        <f t="shared" si="4"/>
        <v>1</v>
      </c>
      <c r="AC27" s="9">
        <f t="shared" si="5"/>
        <v>0.25</v>
      </c>
      <c r="AD27" s="10">
        <f t="shared" si="6"/>
        <v>0.25</v>
      </c>
      <c r="AE27" s="36">
        <f t="shared" si="7"/>
        <v>0.58712121212121204</v>
      </c>
      <c r="AF27" s="84">
        <f t="shared" si="8"/>
        <v>36</v>
      </c>
    </row>
    <row r="28" spans="1:32" ht="31.5" customHeight="1" thickBot="1">
      <c r="A28" s="464" t="s">
        <v>34</v>
      </c>
      <c r="B28" s="465"/>
      <c r="C28" s="465"/>
      <c r="D28" s="465"/>
      <c r="E28" s="465"/>
      <c r="F28" s="465"/>
      <c r="G28" s="465"/>
      <c r="H28" s="466"/>
      <c r="I28" s="22">
        <f t="shared" ref="I28:N28" si="9">SUM(I6:I27)</f>
        <v>2245500</v>
      </c>
      <c r="J28" s="19">
        <f t="shared" si="9"/>
        <v>315717</v>
      </c>
      <c r="K28" s="20">
        <f t="shared" si="9"/>
        <v>2157072</v>
      </c>
      <c r="L28" s="21">
        <f t="shared" si="9"/>
        <v>245150</v>
      </c>
      <c r="M28" s="20">
        <f t="shared" si="9"/>
        <v>245150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310</v>
      </c>
      <c r="Q28" s="43">
        <f t="shared" si="10"/>
        <v>218</v>
      </c>
      <c r="R28" s="23">
        <f t="shared" si="10"/>
        <v>2</v>
      </c>
      <c r="S28" s="24">
        <f t="shared" si="10"/>
        <v>18</v>
      </c>
      <c r="T28" s="24">
        <f t="shared" si="10"/>
        <v>0</v>
      </c>
      <c r="U28" s="24">
        <f t="shared" si="10"/>
        <v>0</v>
      </c>
      <c r="V28" s="25">
        <f t="shared" si="10"/>
        <v>60</v>
      </c>
      <c r="W28" s="26">
        <f t="shared" si="10"/>
        <v>90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48</v>
      </c>
      <c r="AB28" s="28">
        <f>AVERAGE(AB6:AB27)</f>
        <v>0.75</v>
      </c>
      <c r="AC28" s="4">
        <f>AVERAGE(AC6:AC27)</f>
        <v>0.58712121212121204</v>
      </c>
      <c r="AD28" s="4">
        <f>AVERAGE(AD6:AD27)</f>
        <v>0.58712121212121204</v>
      </c>
      <c r="AE28" s="29"/>
    </row>
    <row r="29" spans="1:32">
      <c r="T29" s="50" t="s">
        <v>157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160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67" t="s">
        <v>45</v>
      </c>
      <c r="B55" s="467"/>
      <c r="C55" s="467"/>
      <c r="D55" s="467"/>
      <c r="E55" s="467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68" t="s">
        <v>418</v>
      </c>
      <c r="B56" s="469"/>
      <c r="C56" s="469"/>
      <c r="D56" s="469"/>
      <c r="E56" s="469"/>
      <c r="F56" s="469"/>
      <c r="G56" s="469"/>
      <c r="H56" s="469"/>
      <c r="I56" s="469"/>
      <c r="J56" s="469"/>
      <c r="K56" s="469"/>
      <c r="L56" s="469"/>
      <c r="M56" s="470"/>
      <c r="N56" s="471" t="s">
        <v>422</v>
      </c>
      <c r="O56" s="472"/>
      <c r="P56" s="472"/>
      <c r="Q56" s="472"/>
      <c r="R56" s="472"/>
      <c r="S56" s="472"/>
      <c r="T56" s="472"/>
      <c r="U56" s="472"/>
      <c r="V56" s="472"/>
      <c r="W56" s="472"/>
      <c r="X56" s="472"/>
      <c r="Y56" s="472"/>
      <c r="Z56" s="472"/>
      <c r="AA56" s="472"/>
      <c r="AB56" s="472"/>
      <c r="AC56" s="472"/>
      <c r="AD56" s="473"/>
    </row>
    <row r="57" spans="1:32" ht="27" customHeight="1">
      <c r="A57" s="474" t="s">
        <v>2</v>
      </c>
      <c r="B57" s="475"/>
      <c r="C57" s="296" t="s">
        <v>46</v>
      </c>
      <c r="D57" s="296" t="s">
        <v>47</v>
      </c>
      <c r="E57" s="296" t="s">
        <v>107</v>
      </c>
      <c r="F57" s="476" t="s">
        <v>106</v>
      </c>
      <c r="G57" s="477"/>
      <c r="H57" s="477"/>
      <c r="I57" s="477"/>
      <c r="J57" s="477"/>
      <c r="K57" s="477"/>
      <c r="L57" s="477"/>
      <c r="M57" s="478"/>
      <c r="N57" s="67" t="s">
        <v>110</v>
      </c>
      <c r="O57" s="296" t="s">
        <v>46</v>
      </c>
      <c r="P57" s="476" t="s">
        <v>47</v>
      </c>
      <c r="Q57" s="479"/>
      <c r="R57" s="476" t="s">
        <v>38</v>
      </c>
      <c r="S57" s="477"/>
      <c r="T57" s="477"/>
      <c r="U57" s="479"/>
      <c r="V57" s="476" t="s">
        <v>48</v>
      </c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500" t="s">
        <v>116</v>
      </c>
      <c r="B58" s="501"/>
      <c r="C58" s="291" t="s">
        <v>286</v>
      </c>
      <c r="D58" s="291" t="s">
        <v>140</v>
      </c>
      <c r="E58" s="292" t="s">
        <v>323</v>
      </c>
      <c r="F58" s="492" t="s">
        <v>120</v>
      </c>
      <c r="G58" s="493"/>
      <c r="H58" s="493"/>
      <c r="I58" s="493"/>
      <c r="J58" s="493"/>
      <c r="K58" s="493"/>
      <c r="L58" s="493"/>
      <c r="M58" s="494"/>
      <c r="N58" s="295" t="s">
        <v>143</v>
      </c>
      <c r="O58" s="289" t="s">
        <v>239</v>
      </c>
      <c r="P58" s="495" t="s">
        <v>115</v>
      </c>
      <c r="Q58" s="496"/>
      <c r="R58" s="495" t="s">
        <v>324</v>
      </c>
      <c r="S58" s="497"/>
      <c r="T58" s="497"/>
      <c r="U58" s="496"/>
      <c r="V58" s="498" t="s">
        <v>120</v>
      </c>
      <c r="W58" s="498"/>
      <c r="X58" s="498"/>
      <c r="Y58" s="498"/>
      <c r="Z58" s="498"/>
      <c r="AA58" s="498"/>
      <c r="AB58" s="498"/>
      <c r="AC58" s="498"/>
      <c r="AD58" s="499"/>
    </row>
    <row r="59" spans="1:32" ht="27" customHeight="1">
      <c r="A59" s="500" t="s">
        <v>116</v>
      </c>
      <c r="B59" s="501"/>
      <c r="C59" s="291" t="s">
        <v>132</v>
      </c>
      <c r="D59" s="291" t="s">
        <v>130</v>
      </c>
      <c r="E59" s="292" t="s">
        <v>158</v>
      </c>
      <c r="F59" s="492" t="s">
        <v>419</v>
      </c>
      <c r="G59" s="493"/>
      <c r="H59" s="493"/>
      <c r="I59" s="493"/>
      <c r="J59" s="493"/>
      <c r="K59" s="493"/>
      <c r="L59" s="493"/>
      <c r="M59" s="494"/>
      <c r="N59" s="295" t="s">
        <v>116</v>
      </c>
      <c r="O59" s="289" t="s">
        <v>132</v>
      </c>
      <c r="P59" s="495" t="s">
        <v>130</v>
      </c>
      <c r="Q59" s="496"/>
      <c r="R59" s="495" t="s">
        <v>158</v>
      </c>
      <c r="S59" s="497"/>
      <c r="T59" s="497"/>
      <c r="U59" s="496"/>
      <c r="V59" s="498" t="s">
        <v>120</v>
      </c>
      <c r="W59" s="498"/>
      <c r="X59" s="498"/>
      <c r="Y59" s="498"/>
      <c r="Z59" s="498"/>
      <c r="AA59" s="498"/>
      <c r="AB59" s="498"/>
      <c r="AC59" s="498"/>
      <c r="AD59" s="499"/>
    </row>
    <row r="60" spans="1:32" ht="27" customHeight="1">
      <c r="A60" s="500" t="s">
        <v>116</v>
      </c>
      <c r="B60" s="501"/>
      <c r="C60" s="291" t="s">
        <v>175</v>
      </c>
      <c r="D60" s="291" t="s">
        <v>150</v>
      </c>
      <c r="E60" s="292" t="s">
        <v>355</v>
      </c>
      <c r="F60" s="492" t="s">
        <v>271</v>
      </c>
      <c r="G60" s="493"/>
      <c r="H60" s="493"/>
      <c r="I60" s="493"/>
      <c r="J60" s="493"/>
      <c r="K60" s="493"/>
      <c r="L60" s="493"/>
      <c r="M60" s="494"/>
      <c r="N60" s="295" t="s">
        <v>116</v>
      </c>
      <c r="O60" s="289" t="s">
        <v>175</v>
      </c>
      <c r="P60" s="495" t="s">
        <v>150</v>
      </c>
      <c r="Q60" s="496"/>
      <c r="R60" s="495" t="s">
        <v>355</v>
      </c>
      <c r="S60" s="497"/>
      <c r="T60" s="497"/>
      <c r="U60" s="496"/>
      <c r="V60" s="498" t="s">
        <v>120</v>
      </c>
      <c r="W60" s="498"/>
      <c r="X60" s="498"/>
      <c r="Y60" s="498"/>
      <c r="Z60" s="498"/>
      <c r="AA60" s="498"/>
      <c r="AB60" s="498"/>
      <c r="AC60" s="498"/>
      <c r="AD60" s="499"/>
    </row>
    <row r="61" spans="1:32" ht="27" customHeight="1">
      <c r="A61" s="500" t="s">
        <v>241</v>
      </c>
      <c r="B61" s="501"/>
      <c r="C61" s="291" t="s">
        <v>277</v>
      </c>
      <c r="D61" s="291"/>
      <c r="E61" s="292" t="s">
        <v>408</v>
      </c>
      <c r="F61" s="492" t="s">
        <v>125</v>
      </c>
      <c r="G61" s="493"/>
      <c r="H61" s="493"/>
      <c r="I61" s="493"/>
      <c r="J61" s="493"/>
      <c r="K61" s="493"/>
      <c r="L61" s="493"/>
      <c r="M61" s="494"/>
      <c r="N61" s="295"/>
      <c r="O61" s="289"/>
      <c r="P61" s="495"/>
      <c r="Q61" s="496"/>
      <c r="R61" s="495"/>
      <c r="S61" s="497"/>
      <c r="T61" s="497"/>
      <c r="U61" s="496"/>
      <c r="V61" s="498"/>
      <c r="W61" s="498"/>
      <c r="X61" s="498"/>
      <c r="Y61" s="498"/>
      <c r="Z61" s="498"/>
      <c r="AA61" s="498"/>
      <c r="AB61" s="498"/>
      <c r="AC61" s="498"/>
      <c r="AD61" s="499"/>
    </row>
    <row r="62" spans="1:32" ht="27" customHeight="1">
      <c r="A62" s="500" t="s">
        <v>143</v>
      </c>
      <c r="B62" s="501"/>
      <c r="C62" s="291" t="s">
        <v>239</v>
      </c>
      <c r="D62" s="291" t="s">
        <v>115</v>
      </c>
      <c r="E62" s="292" t="s">
        <v>420</v>
      </c>
      <c r="F62" s="492" t="s">
        <v>421</v>
      </c>
      <c r="G62" s="493"/>
      <c r="H62" s="493"/>
      <c r="I62" s="493"/>
      <c r="J62" s="493"/>
      <c r="K62" s="493"/>
      <c r="L62" s="493"/>
      <c r="M62" s="494"/>
      <c r="N62" s="295"/>
      <c r="O62" s="289"/>
      <c r="P62" s="495"/>
      <c r="Q62" s="496"/>
      <c r="R62" s="495"/>
      <c r="S62" s="497"/>
      <c r="T62" s="497"/>
      <c r="U62" s="496"/>
      <c r="V62" s="498"/>
      <c r="W62" s="498"/>
      <c r="X62" s="498"/>
      <c r="Y62" s="498"/>
      <c r="Z62" s="498"/>
      <c r="AA62" s="498"/>
      <c r="AB62" s="498"/>
      <c r="AC62" s="498"/>
      <c r="AD62" s="499"/>
    </row>
    <row r="63" spans="1:32" ht="27" customHeight="1">
      <c r="A63" s="500" t="s">
        <v>112</v>
      </c>
      <c r="B63" s="501"/>
      <c r="C63" s="291" t="s">
        <v>259</v>
      </c>
      <c r="D63" s="291" t="s">
        <v>140</v>
      </c>
      <c r="E63" s="292" t="s">
        <v>407</v>
      </c>
      <c r="F63" s="492" t="s">
        <v>125</v>
      </c>
      <c r="G63" s="493"/>
      <c r="H63" s="493"/>
      <c r="I63" s="493"/>
      <c r="J63" s="493"/>
      <c r="K63" s="493"/>
      <c r="L63" s="493"/>
      <c r="M63" s="494"/>
      <c r="N63" s="295"/>
      <c r="O63" s="289"/>
      <c r="P63" s="495"/>
      <c r="Q63" s="496"/>
      <c r="R63" s="495"/>
      <c r="S63" s="497"/>
      <c r="T63" s="497"/>
      <c r="U63" s="496"/>
      <c r="V63" s="498"/>
      <c r="W63" s="498"/>
      <c r="X63" s="498"/>
      <c r="Y63" s="498"/>
      <c r="Z63" s="498"/>
      <c r="AA63" s="498"/>
      <c r="AB63" s="498"/>
      <c r="AC63" s="498"/>
      <c r="AD63" s="499"/>
    </row>
    <row r="64" spans="1:32" ht="27" customHeight="1">
      <c r="A64" s="490"/>
      <c r="B64" s="491"/>
      <c r="C64" s="292"/>
      <c r="D64" s="292"/>
      <c r="E64" s="292"/>
      <c r="F64" s="492"/>
      <c r="G64" s="493"/>
      <c r="H64" s="493"/>
      <c r="I64" s="493"/>
      <c r="J64" s="493"/>
      <c r="K64" s="493"/>
      <c r="L64" s="493"/>
      <c r="M64" s="494"/>
      <c r="N64" s="295"/>
      <c r="O64" s="289"/>
      <c r="P64" s="495"/>
      <c r="Q64" s="496"/>
      <c r="R64" s="495"/>
      <c r="S64" s="497"/>
      <c r="T64" s="497"/>
      <c r="U64" s="496"/>
      <c r="V64" s="498"/>
      <c r="W64" s="498"/>
      <c r="X64" s="498"/>
      <c r="Y64" s="498"/>
      <c r="Z64" s="498"/>
      <c r="AA64" s="498"/>
      <c r="AB64" s="498"/>
      <c r="AC64" s="498"/>
      <c r="AD64" s="499"/>
    </row>
    <row r="65" spans="1:32" ht="27" customHeight="1">
      <c r="A65" s="500"/>
      <c r="B65" s="501"/>
      <c r="C65" s="291"/>
      <c r="D65" s="291"/>
      <c r="E65" s="292"/>
      <c r="F65" s="492"/>
      <c r="G65" s="493"/>
      <c r="H65" s="493"/>
      <c r="I65" s="493"/>
      <c r="J65" s="493"/>
      <c r="K65" s="493"/>
      <c r="L65" s="493"/>
      <c r="M65" s="494"/>
      <c r="N65" s="295"/>
      <c r="O65" s="289"/>
      <c r="P65" s="495"/>
      <c r="Q65" s="496"/>
      <c r="R65" s="495"/>
      <c r="S65" s="497"/>
      <c r="T65" s="497"/>
      <c r="U65" s="496"/>
      <c r="V65" s="498"/>
      <c r="W65" s="498"/>
      <c r="X65" s="498"/>
      <c r="Y65" s="498"/>
      <c r="Z65" s="498"/>
      <c r="AA65" s="498"/>
      <c r="AB65" s="498"/>
      <c r="AC65" s="498"/>
      <c r="AD65" s="499"/>
    </row>
    <row r="66" spans="1:32" ht="27" customHeight="1">
      <c r="A66" s="500"/>
      <c r="B66" s="501"/>
      <c r="C66" s="291"/>
      <c r="D66" s="291"/>
      <c r="E66" s="292"/>
      <c r="F66" s="492"/>
      <c r="G66" s="493"/>
      <c r="H66" s="493"/>
      <c r="I66" s="493"/>
      <c r="J66" s="493"/>
      <c r="K66" s="493"/>
      <c r="L66" s="493"/>
      <c r="M66" s="494"/>
      <c r="N66" s="295"/>
      <c r="O66" s="289"/>
      <c r="P66" s="491"/>
      <c r="Q66" s="491"/>
      <c r="R66" s="491"/>
      <c r="S66" s="491"/>
      <c r="T66" s="491"/>
      <c r="U66" s="491"/>
      <c r="V66" s="498"/>
      <c r="W66" s="498"/>
      <c r="X66" s="498"/>
      <c r="Y66" s="498"/>
      <c r="Z66" s="498"/>
      <c r="AA66" s="498"/>
      <c r="AB66" s="498"/>
      <c r="AC66" s="498"/>
      <c r="AD66" s="499"/>
      <c r="AF66" s="84">
        <f>8*3000</f>
        <v>24000</v>
      </c>
    </row>
    <row r="67" spans="1:32" ht="27" customHeight="1" thickBot="1">
      <c r="A67" s="502"/>
      <c r="B67" s="503"/>
      <c r="C67" s="293"/>
      <c r="D67" s="294"/>
      <c r="E67" s="293"/>
      <c r="F67" s="504"/>
      <c r="G67" s="505"/>
      <c r="H67" s="505"/>
      <c r="I67" s="505"/>
      <c r="J67" s="505"/>
      <c r="K67" s="505"/>
      <c r="L67" s="505"/>
      <c r="M67" s="506"/>
      <c r="N67" s="111"/>
      <c r="O67" s="103"/>
      <c r="P67" s="507"/>
      <c r="Q67" s="507"/>
      <c r="R67" s="507"/>
      <c r="S67" s="507"/>
      <c r="T67" s="507"/>
      <c r="U67" s="507"/>
      <c r="V67" s="508"/>
      <c r="W67" s="508"/>
      <c r="X67" s="508"/>
      <c r="Y67" s="508"/>
      <c r="Z67" s="508"/>
      <c r="AA67" s="508"/>
      <c r="AB67" s="508"/>
      <c r="AC67" s="508"/>
      <c r="AD67" s="509"/>
      <c r="AF67" s="84">
        <f>16*3000</f>
        <v>48000</v>
      </c>
    </row>
    <row r="68" spans="1:32" ht="27.75" thickBot="1">
      <c r="A68" s="510" t="s">
        <v>423</v>
      </c>
      <c r="B68" s="510"/>
      <c r="C68" s="510"/>
      <c r="D68" s="510"/>
      <c r="E68" s="51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11" t="s">
        <v>111</v>
      </c>
      <c r="B69" s="512"/>
      <c r="C69" s="290" t="s">
        <v>2</v>
      </c>
      <c r="D69" s="290" t="s">
        <v>37</v>
      </c>
      <c r="E69" s="290" t="s">
        <v>3</v>
      </c>
      <c r="F69" s="512" t="s">
        <v>109</v>
      </c>
      <c r="G69" s="512"/>
      <c r="H69" s="512"/>
      <c r="I69" s="512"/>
      <c r="J69" s="512"/>
      <c r="K69" s="512" t="s">
        <v>39</v>
      </c>
      <c r="L69" s="512"/>
      <c r="M69" s="290" t="s">
        <v>40</v>
      </c>
      <c r="N69" s="512" t="s">
        <v>41</v>
      </c>
      <c r="O69" s="512"/>
      <c r="P69" s="513" t="s">
        <v>42</v>
      </c>
      <c r="Q69" s="514"/>
      <c r="R69" s="513" t="s">
        <v>43</v>
      </c>
      <c r="S69" s="515"/>
      <c r="T69" s="515"/>
      <c r="U69" s="515"/>
      <c r="V69" s="515"/>
      <c r="W69" s="515"/>
      <c r="X69" s="515"/>
      <c r="Y69" s="515"/>
      <c r="Z69" s="515"/>
      <c r="AA69" s="514"/>
      <c r="AB69" s="512" t="s">
        <v>44</v>
      </c>
      <c r="AC69" s="512"/>
      <c r="AD69" s="516"/>
      <c r="AF69" s="84">
        <f>SUM(AF66:AF68)</f>
        <v>96000</v>
      </c>
    </row>
    <row r="70" spans="1:32" ht="25.5" customHeight="1">
      <c r="A70" s="517">
        <v>1</v>
      </c>
      <c r="B70" s="518"/>
      <c r="C70" s="104" t="s">
        <v>116</v>
      </c>
      <c r="D70" s="285"/>
      <c r="E70" s="288" t="s">
        <v>130</v>
      </c>
      <c r="F70" s="519" t="s">
        <v>425</v>
      </c>
      <c r="G70" s="520"/>
      <c r="H70" s="520"/>
      <c r="I70" s="520"/>
      <c r="J70" s="521"/>
      <c r="K70" s="522" t="s">
        <v>134</v>
      </c>
      <c r="L70" s="522"/>
      <c r="M70" s="51" t="s">
        <v>395</v>
      </c>
      <c r="N70" s="523" t="s">
        <v>198</v>
      </c>
      <c r="O70" s="523"/>
      <c r="P70" s="524">
        <v>50</v>
      </c>
      <c r="Q70" s="524"/>
      <c r="R70" s="498"/>
      <c r="S70" s="498"/>
      <c r="T70" s="498"/>
      <c r="U70" s="498"/>
      <c r="V70" s="498"/>
      <c r="W70" s="498"/>
      <c r="X70" s="498"/>
      <c r="Y70" s="498"/>
      <c r="Z70" s="498"/>
      <c r="AA70" s="498"/>
      <c r="AB70" s="522"/>
      <c r="AC70" s="522"/>
      <c r="AD70" s="525"/>
      <c r="AF70" s="50"/>
    </row>
    <row r="71" spans="1:32" ht="25.5" customHeight="1">
      <c r="A71" s="517">
        <v>2</v>
      </c>
      <c r="B71" s="518"/>
      <c r="C71" s="104" t="s">
        <v>116</v>
      </c>
      <c r="D71" s="285"/>
      <c r="E71" s="288" t="s">
        <v>130</v>
      </c>
      <c r="F71" s="519" t="s">
        <v>424</v>
      </c>
      <c r="G71" s="520"/>
      <c r="H71" s="520"/>
      <c r="I71" s="520"/>
      <c r="J71" s="521"/>
      <c r="K71" s="522" t="s">
        <v>146</v>
      </c>
      <c r="L71" s="522"/>
      <c r="M71" s="51" t="s">
        <v>395</v>
      </c>
      <c r="N71" s="523" t="s">
        <v>169</v>
      </c>
      <c r="O71" s="523"/>
      <c r="P71" s="524">
        <v>100</v>
      </c>
      <c r="Q71" s="524"/>
      <c r="R71" s="498"/>
      <c r="S71" s="498"/>
      <c r="T71" s="498"/>
      <c r="U71" s="498"/>
      <c r="V71" s="498"/>
      <c r="W71" s="498"/>
      <c r="X71" s="498"/>
      <c r="Y71" s="498"/>
      <c r="Z71" s="498"/>
      <c r="AA71" s="498"/>
      <c r="AB71" s="522"/>
      <c r="AC71" s="522"/>
      <c r="AD71" s="525"/>
      <c r="AF71" s="50"/>
    </row>
    <row r="72" spans="1:32" ht="25.5" customHeight="1">
      <c r="A72" s="517">
        <v>3</v>
      </c>
      <c r="B72" s="518"/>
      <c r="C72" s="104" t="s">
        <v>116</v>
      </c>
      <c r="D72" s="285"/>
      <c r="E72" s="288" t="s">
        <v>317</v>
      </c>
      <c r="F72" s="519" t="s">
        <v>426</v>
      </c>
      <c r="G72" s="520"/>
      <c r="H72" s="520"/>
      <c r="I72" s="520"/>
      <c r="J72" s="521"/>
      <c r="K72" s="522" t="s">
        <v>145</v>
      </c>
      <c r="L72" s="522"/>
      <c r="M72" s="51" t="s">
        <v>205</v>
      </c>
      <c r="N72" s="523" t="s">
        <v>286</v>
      </c>
      <c r="O72" s="523"/>
      <c r="P72" s="524">
        <v>100</v>
      </c>
      <c r="Q72" s="524"/>
      <c r="R72" s="498"/>
      <c r="S72" s="498"/>
      <c r="T72" s="498"/>
      <c r="U72" s="498"/>
      <c r="V72" s="498"/>
      <c r="W72" s="498"/>
      <c r="X72" s="498"/>
      <c r="Y72" s="498"/>
      <c r="Z72" s="498"/>
      <c r="AA72" s="498"/>
      <c r="AB72" s="522"/>
      <c r="AC72" s="522"/>
      <c r="AD72" s="525"/>
      <c r="AF72" s="50"/>
    </row>
    <row r="73" spans="1:32" ht="25.5" customHeight="1">
      <c r="A73" s="517">
        <v>4</v>
      </c>
      <c r="B73" s="518"/>
      <c r="C73" s="104"/>
      <c r="D73" s="285"/>
      <c r="E73" s="288"/>
      <c r="F73" s="519"/>
      <c r="G73" s="520"/>
      <c r="H73" s="520"/>
      <c r="I73" s="520"/>
      <c r="J73" s="521"/>
      <c r="K73" s="522"/>
      <c r="L73" s="522"/>
      <c r="M73" s="51"/>
      <c r="N73" s="523"/>
      <c r="O73" s="523"/>
      <c r="P73" s="524"/>
      <c r="Q73" s="524"/>
      <c r="R73" s="498"/>
      <c r="S73" s="498"/>
      <c r="T73" s="498"/>
      <c r="U73" s="498"/>
      <c r="V73" s="498"/>
      <c r="W73" s="498"/>
      <c r="X73" s="498"/>
      <c r="Y73" s="498"/>
      <c r="Z73" s="498"/>
      <c r="AA73" s="498"/>
      <c r="AB73" s="522"/>
      <c r="AC73" s="522"/>
      <c r="AD73" s="525"/>
      <c r="AF73" s="50"/>
    </row>
    <row r="74" spans="1:32" ht="25.5" customHeight="1">
      <c r="A74" s="517">
        <v>5</v>
      </c>
      <c r="B74" s="518"/>
      <c r="C74" s="104"/>
      <c r="D74" s="285"/>
      <c r="E74" s="288"/>
      <c r="F74" s="519"/>
      <c r="G74" s="520"/>
      <c r="H74" s="520"/>
      <c r="I74" s="520"/>
      <c r="J74" s="521"/>
      <c r="K74" s="522"/>
      <c r="L74" s="522"/>
      <c r="M74" s="51"/>
      <c r="N74" s="523"/>
      <c r="O74" s="523"/>
      <c r="P74" s="524"/>
      <c r="Q74" s="524"/>
      <c r="R74" s="498"/>
      <c r="S74" s="498"/>
      <c r="T74" s="498"/>
      <c r="U74" s="498"/>
      <c r="V74" s="498"/>
      <c r="W74" s="498"/>
      <c r="X74" s="498"/>
      <c r="Y74" s="498"/>
      <c r="Z74" s="498"/>
      <c r="AA74" s="498"/>
      <c r="AB74" s="522"/>
      <c r="AC74" s="522"/>
      <c r="AD74" s="525"/>
      <c r="AF74" s="50"/>
    </row>
    <row r="75" spans="1:32" ht="25.5" customHeight="1">
      <c r="A75" s="517">
        <v>6</v>
      </c>
      <c r="B75" s="518"/>
      <c r="C75" s="104"/>
      <c r="D75" s="285"/>
      <c r="E75" s="288"/>
      <c r="F75" s="519"/>
      <c r="G75" s="520"/>
      <c r="H75" s="520"/>
      <c r="I75" s="520"/>
      <c r="J75" s="521"/>
      <c r="K75" s="522"/>
      <c r="L75" s="522"/>
      <c r="M75" s="51"/>
      <c r="N75" s="523"/>
      <c r="O75" s="523"/>
      <c r="P75" s="524"/>
      <c r="Q75" s="524"/>
      <c r="R75" s="498"/>
      <c r="S75" s="498"/>
      <c r="T75" s="498"/>
      <c r="U75" s="498"/>
      <c r="V75" s="498"/>
      <c r="W75" s="498"/>
      <c r="X75" s="498"/>
      <c r="Y75" s="498"/>
      <c r="Z75" s="498"/>
      <c r="AA75" s="498"/>
      <c r="AB75" s="522"/>
      <c r="AC75" s="522"/>
      <c r="AD75" s="525"/>
      <c r="AF75" s="50"/>
    </row>
    <row r="76" spans="1:32" ht="25.5" customHeight="1">
      <c r="A76" s="517">
        <v>7</v>
      </c>
      <c r="B76" s="518"/>
      <c r="C76" s="104"/>
      <c r="D76" s="285"/>
      <c r="E76" s="288"/>
      <c r="F76" s="519"/>
      <c r="G76" s="520"/>
      <c r="H76" s="520"/>
      <c r="I76" s="520"/>
      <c r="J76" s="521"/>
      <c r="K76" s="522"/>
      <c r="L76" s="522"/>
      <c r="M76" s="51"/>
      <c r="N76" s="523"/>
      <c r="O76" s="523"/>
      <c r="P76" s="524"/>
      <c r="Q76" s="524"/>
      <c r="R76" s="498"/>
      <c r="S76" s="498"/>
      <c r="T76" s="498"/>
      <c r="U76" s="498"/>
      <c r="V76" s="498"/>
      <c r="W76" s="498"/>
      <c r="X76" s="498"/>
      <c r="Y76" s="498"/>
      <c r="Z76" s="498"/>
      <c r="AA76" s="498"/>
      <c r="AB76" s="522"/>
      <c r="AC76" s="522"/>
      <c r="AD76" s="525"/>
      <c r="AF76" s="50"/>
    </row>
    <row r="77" spans="1:32" ht="25.5" customHeight="1">
      <c r="A77" s="517">
        <v>8</v>
      </c>
      <c r="B77" s="518"/>
      <c r="C77" s="104"/>
      <c r="D77" s="285"/>
      <c r="E77" s="288"/>
      <c r="F77" s="526"/>
      <c r="G77" s="522"/>
      <c r="H77" s="522"/>
      <c r="I77" s="522"/>
      <c r="J77" s="522"/>
      <c r="K77" s="522"/>
      <c r="L77" s="522"/>
      <c r="M77" s="51"/>
      <c r="N77" s="523"/>
      <c r="O77" s="523"/>
      <c r="P77" s="524"/>
      <c r="Q77" s="524"/>
      <c r="R77" s="498"/>
      <c r="S77" s="498"/>
      <c r="T77" s="498"/>
      <c r="U77" s="498"/>
      <c r="V77" s="498"/>
      <c r="W77" s="498"/>
      <c r="X77" s="498"/>
      <c r="Y77" s="498"/>
      <c r="Z77" s="498"/>
      <c r="AA77" s="498"/>
      <c r="AB77" s="522"/>
      <c r="AC77" s="522"/>
      <c r="AD77" s="525"/>
      <c r="AF77" s="50"/>
    </row>
    <row r="78" spans="1:32" ht="25.5" customHeight="1">
      <c r="A78" s="517">
        <v>9</v>
      </c>
      <c r="B78" s="518"/>
      <c r="C78" s="104"/>
      <c r="D78" s="285"/>
      <c r="E78" s="288"/>
      <c r="F78" s="526"/>
      <c r="G78" s="522"/>
      <c r="H78" s="522"/>
      <c r="I78" s="522"/>
      <c r="J78" s="522"/>
      <c r="K78" s="522"/>
      <c r="L78" s="522"/>
      <c r="M78" s="51"/>
      <c r="N78" s="523"/>
      <c r="O78" s="523"/>
      <c r="P78" s="524"/>
      <c r="Q78" s="524"/>
      <c r="R78" s="498"/>
      <c r="S78" s="498"/>
      <c r="T78" s="498"/>
      <c r="U78" s="498"/>
      <c r="V78" s="498"/>
      <c r="W78" s="498"/>
      <c r="X78" s="498"/>
      <c r="Y78" s="498"/>
      <c r="Z78" s="498"/>
      <c r="AA78" s="498"/>
      <c r="AB78" s="522"/>
      <c r="AC78" s="522"/>
      <c r="AD78" s="525"/>
      <c r="AF78" s="50"/>
    </row>
    <row r="79" spans="1:32" ht="25.5" customHeight="1">
      <c r="A79" s="517">
        <v>10</v>
      </c>
      <c r="B79" s="518"/>
      <c r="C79" s="104"/>
      <c r="D79" s="285"/>
      <c r="E79" s="288"/>
      <c r="F79" s="526"/>
      <c r="G79" s="522"/>
      <c r="H79" s="522"/>
      <c r="I79" s="522"/>
      <c r="J79" s="522"/>
      <c r="K79" s="522"/>
      <c r="L79" s="522"/>
      <c r="M79" s="51"/>
      <c r="N79" s="523"/>
      <c r="O79" s="523"/>
      <c r="P79" s="524"/>
      <c r="Q79" s="524"/>
      <c r="R79" s="498"/>
      <c r="S79" s="498"/>
      <c r="T79" s="498"/>
      <c r="U79" s="498"/>
      <c r="V79" s="498"/>
      <c r="W79" s="498"/>
      <c r="X79" s="498"/>
      <c r="Y79" s="498"/>
      <c r="Z79" s="498"/>
      <c r="AA79" s="498"/>
      <c r="AB79" s="522"/>
      <c r="AC79" s="522"/>
      <c r="AD79" s="525"/>
      <c r="AF79" s="50"/>
    </row>
    <row r="80" spans="1:32" ht="26.25" customHeight="1" thickBot="1">
      <c r="A80" s="527" t="s">
        <v>427</v>
      </c>
      <c r="B80" s="527"/>
      <c r="C80" s="527"/>
      <c r="D80" s="527"/>
      <c r="E80" s="527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528" t="s">
        <v>111</v>
      </c>
      <c r="B81" s="529"/>
      <c r="C81" s="287" t="s">
        <v>2</v>
      </c>
      <c r="D81" s="287" t="s">
        <v>37</v>
      </c>
      <c r="E81" s="287" t="s">
        <v>121</v>
      </c>
      <c r="F81" s="530" t="s">
        <v>38</v>
      </c>
      <c r="G81" s="530"/>
      <c r="H81" s="530"/>
      <c r="I81" s="530"/>
      <c r="J81" s="530"/>
      <c r="K81" s="531" t="s">
        <v>58</v>
      </c>
      <c r="L81" s="532"/>
      <c r="M81" s="532"/>
      <c r="N81" s="532"/>
      <c r="O81" s="532"/>
      <c r="P81" s="532"/>
      <c r="Q81" s="532"/>
      <c r="R81" s="532"/>
      <c r="S81" s="533"/>
      <c r="T81" s="530" t="s">
        <v>49</v>
      </c>
      <c r="U81" s="530"/>
      <c r="V81" s="531" t="s">
        <v>50</v>
      </c>
      <c r="W81" s="533"/>
      <c r="X81" s="532" t="s">
        <v>51</v>
      </c>
      <c r="Y81" s="532"/>
      <c r="Z81" s="532"/>
      <c r="AA81" s="532"/>
      <c r="AB81" s="532"/>
      <c r="AC81" s="532"/>
      <c r="AD81" s="534"/>
      <c r="AF81" s="50"/>
    </row>
    <row r="82" spans="1:32" ht="33.75" customHeight="1">
      <c r="A82" s="543">
        <v>1</v>
      </c>
      <c r="B82" s="544"/>
      <c r="C82" s="286"/>
      <c r="D82" s="286"/>
      <c r="E82" s="65"/>
      <c r="F82" s="545"/>
      <c r="G82" s="546"/>
      <c r="H82" s="546"/>
      <c r="I82" s="546"/>
      <c r="J82" s="547"/>
      <c r="K82" s="548"/>
      <c r="L82" s="549"/>
      <c r="M82" s="549"/>
      <c r="N82" s="549"/>
      <c r="O82" s="549"/>
      <c r="P82" s="549"/>
      <c r="Q82" s="549"/>
      <c r="R82" s="549"/>
      <c r="S82" s="550"/>
      <c r="T82" s="551"/>
      <c r="U82" s="552"/>
      <c r="V82" s="553"/>
      <c r="W82" s="553"/>
      <c r="X82" s="554"/>
      <c r="Y82" s="554"/>
      <c r="Z82" s="554"/>
      <c r="AA82" s="554"/>
      <c r="AB82" s="554"/>
      <c r="AC82" s="554"/>
      <c r="AD82" s="555"/>
      <c r="AF82" s="50"/>
    </row>
    <row r="83" spans="1:32" ht="30" customHeight="1">
      <c r="A83" s="535">
        <f>A82+1</f>
        <v>2</v>
      </c>
      <c r="B83" s="536"/>
      <c r="C83" s="285"/>
      <c r="D83" s="285"/>
      <c r="E83" s="32"/>
      <c r="F83" s="536"/>
      <c r="G83" s="536"/>
      <c r="H83" s="536"/>
      <c r="I83" s="536"/>
      <c r="J83" s="536"/>
      <c r="K83" s="537"/>
      <c r="L83" s="538"/>
      <c r="M83" s="538"/>
      <c r="N83" s="538"/>
      <c r="O83" s="538"/>
      <c r="P83" s="538"/>
      <c r="Q83" s="538"/>
      <c r="R83" s="538"/>
      <c r="S83" s="539"/>
      <c r="T83" s="540"/>
      <c r="U83" s="540"/>
      <c r="V83" s="540"/>
      <c r="W83" s="540"/>
      <c r="X83" s="541"/>
      <c r="Y83" s="541"/>
      <c r="Z83" s="541"/>
      <c r="AA83" s="541"/>
      <c r="AB83" s="541"/>
      <c r="AC83" s="541"/>
      <c r="AD83" s="542"/>
      <c r="AF83" s="50"/>
    </row>
    <row r="84" spans="1:32" ht="30" customHeight="1">
      <c r="A84" s="535">
        <f t="shared" ref="A84:A88" si="11">A83+1</f>
        <v>3</v>
      </c>
      <c r="B84" s="536"/>
      <c r="C84" s="285"/>
      <c r="D84" s="285"/>
      <c r="E84" s="32"/>
      <c r="F84" s="536"/>
      <c r="G84" s="536"/>
      <c r="H84" s="536"/>
      <c r="I84" s="536"/>
      <c r="J84" s="536"/>
      <c r="K84" s="537"/>
      <c r="L84" s="538"/>
      <c r="M84" s="538"/>
      <c r="N84" s="538"/>
      <c r="O84" s="538"/>
      <c r="P84" s="538"/>
      <c r="Q84" s="538"/>
      <c r="R84" s="538"/>
      <c r="S84" s="539"/>
      <c r="T84" s="540"/>
      <c r="U84" s="540"/>
      <c r="V84" s="540"/>
      <c r="W84" s="540"/>
      <c r="X84" s="541"/>
      <c r="Y84" s="541"/>
      <c r="Z84" s="541"/>
      <c r="AA84" s="541"/>
      <c r="AB84" s="541"/>
      <c r="AC84" s="541"/>
      <c r="AD84" s="542"/>
      <c r="AF84" s="50"/>
    </row>
    <row r="85" spans="1:32" ht="30" customHeight="1">
      <c r="A85" s="535">
        <f t="shared" si="11"/>
        <v>4</v>
      </c>
      <c r="B85" s="536"/>
      <c r="C85" s="285"/>
      <c r="D85" s="285"/>
      <c r="E85" s="32"/>
      <c r="F85" s="536"/>
      <c r="G85" s="536"/>
      <c r="H85" s="536"/>
      <c r="I85" s="536"/>
      <c r="J85" s="536"/>
      <c r="K85" s="537"/>
      <c r="L85" s="538"/>
      <c r="M85" s="538"/>
      <c r="N85" s="538"/>
      <c r="O85" s="538"/>
      <c r="P85" s="538"/>
      <c r="Q85" s="538"/>
      <c r="R85" s="538"/>
      <c r="S85" s="539"/>
      <c r="T85" s="540"/>
      <c r="U85" s="540"/>
      <c r="V85" s="540"/>
      <c r="W85" s="540"/>
      <c r="X85" s="541"/>
      <c r="Y85" s="541"/>
      <c r="Z85" s="541"/>
      <c r="AA85" s="541"/>
      <c r="AB85" s="541"/>
      <c r="AC85" s="541"/>
      <c r="AD85" s="542"/>
      <c r="AF85" s="50"/>
    </row>
    <row r="86" spans="1:32" ht="30" customHeight="1">
      <c r="A86" s="535">
        <f t="shared" si="11"/>
        <v>5</v>
      </c>
      <c r="B86" s="536"/>
      <c r="C86" s="285"/>
      <c r="D86" s="285"/>
      <c r="E86" s="32"/>
      <c r="F86" s="536"/>
      <c r="G86" s="536"/>
      <c r="H86" s="536"/>
      <c r="I86" s="536"/>
      <c r="J86" s="536"/>
      <c r="K86" s="537"/>
      <c r="L86" s="538"/>
      <c r="M86" s="538"/>
      <c r="N86" s="538"/>
      <c r="O86" s="538"/>
      <c r="P86" s="538"/>
      <c r="Q86" s="538"/>
      <c r="R86" s="538"/>
      <c r="S86" s="539"/>
      <c r="T86" s="540"/>
      <c r="U86" s="540"/>
      <c r="V86" s="540"/>
      <c r="W86" s="540"/>
      <c r="X86" s="541"/>
      <c r="Y86" s="541"/>
      <c r="Z86" s="541"/>
      <c r="AA86" s="541"/>
      <c r="AB86" s="541"/>
      <c r="AC86" s="541"/>
      <c r="AD86" s="542"/>
      <c r="AF86" s="50"/>
    </row>
    <row r="87" spans="1:32" ht="30" customHeight="1">
      <c r="A87" s="535">
        <f t="shared" si="11"/>
        <v>6</v>
      </c>
      <c r="B87" s="536"/>
      <c r="C87" s="285"/>
      <c r="D87" s="285"/>
      <c r="E87" s="32"/>
      <c r="F87" s="536"/>
      <c r="G87" s="536"/>
      <c r="H87" s="536"/>
      <c r="I87" s="536"/>
      <c r="J87" s="536"/>
      <c r="K87" s="537"/>
      <c r="L87" s="538"/>
      <c r="M87" s="538"/>
      <c r="N87" s="538"/>
      <c r="O87" s="538"/>
      <c r="P87" s="538"/>
      <c r="Q87" s="538"/>
      <c r="R87" s="538"/>
      <c r="S87" s="539"/>
      <c r="T87" s="540"/>
      <c r="U87" s="540"/>
      <c r="V87" s="540"/>
      <c r="W87" s="540"/>
      <c r="X87" s="541"/>
      <c r="Y87" s="541"/>
      <c r="Z87" s="541"/>
      <c r="AA87" s="541"/>
      <c r="AB87" s="541"/>
      <c r="AC87" s="541"/>
      <c r="AD87" s="542"/>
      <c r="AF87" s="50"/>
    </row>
    <row r="88" spans="1:32" ht="30" customHeight="1">
      <c r="A88" s="535">
        <f t="shared" si="11"/>
        <v>7</v>
      </c>
      <c r="B88" s="536"/>
      <c r="C88" s="285"/>
      <c r="D88" s="285"/>
      <c r="E88" s="32"/>
      <c r="F88" s="536"/>
      <c r="G88" s="536"/>
      <c r="H88" s="536"/>
      <c r="I88" s="536"/>
      <c r="J88" s="536"/>
      <c r="K88" s="537"/>
      <c r="L88" s="538"/>
      <c r="M88" s="538"/>
      <c r="N88" s="538"/>
      <c r="O88" s="538"/>
      <c r="P88" s="538"/>
      <c r="Q88" s="538"/>
      <c r="R88" s="538"/>
      <c r="S88" s="539"/>
      <c r="T88" s="540"/>
      <c r="U88" s="540"/>
      <c r="V88" s="540"/>
      <c r="W88" s="540"/>
      <c r="X88" s="541"/>
      <c r="Y88" s="541"/>
      <c r="Z88" s="541"/>
      <c r="AA88" s="541"/>
      <c r="AB88" s="541"/>
      <c r="AC88" s="541"/>
      <c r="AD88" s="542"/>
      <c r="AF88" s="50"/>
    </row>
    <row r="89" spans="1:32" ht="36" thickBot="1">
      <c r="A89" s="527" t="s">
        <v>428</v>
      </c>
      <c r="B89" s="527"/>
      <c r="C89" s="527"/>
      <c r="D89" s="527"/>
      <c r="E89" s="527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56" t="s">
        <v>111</v>
      </c>
      <c r="B90" s="530"/>
      <c r="C90" s="557" t="s">
        <v>52</v>
      </c>
      <c r="D90" s="557"/>
      <c r="E90" s="557" t="s">
        <v>53</v>
      </c>
      <c r="F90" s="557"/>
      <c r="G90" s="557"/>
      <c r="H90" s="557"/>
      <c r="I90" s="557"/>
      <c r="J90" s="557"/>
      <c r="K90" s="557" t="s">
        <v>54</v>
      </c>
      <c r="L90" s="557"/>
      <c r="M90" s="557"/>
      <c r="N90" s="557"/>
      <c r="O90" s="557"/>
      <c r="P90" s="557"/>
      <c r="Q90" s="557"/>
      <c r="R90" s="557"/>
      <c r="S90" s="557"/>
      <c r="T90" s="557" t="s">
        <v>55</v>
      </c>
      <c r="U90" s="557"/>
      <c r="V90" s="557" t="s">
        <v>56</v>
      </c>
      <c r="W90" s="557"/>
      <c r="X90" s="557"/>
      <c r="Y90" s="557" t="s">
        <v>51</v>
      </c>
      <c r="Z90" s="557"/>
      <c r="AA90" s="557"/>
      <c r="AB90" s="557"/>
      <c r="AC90" s="557"/>
      <c r="AD90" s="558"/>
      <c r="AF90" s="50"/>
    </row>
    <row r="91" spans="1:32" ht="30.75" customHeight="1">
      <c r="A91" s="543">
        <v>1</v>
      </c>
      <c r="B91" s="544"/>
      <c r="C91" s="559">
        <v>9</v>
      </c>
      <c r="D91" s="559"/>
      <c r="E91" s="559" t="s">
        <v>127</v>
      </c>
      <c r="F91" s="559"/>
      <c r="G91" s="559"/>
      <c r="H91" s="559"/>
      <c r="I91" s="559"/>
      <c r="J91" s="559"/>
      <c r="K91" s="559" t="s">
        <v>136</v>
      </c>
      <c r="L91" s="559"/>
      <c r="M91" s="559"/>
      <c r="N91" s="559"/>
      <c r="O91" s="559"/>
      <c r="P91" s="559"/>
      <c r="Q91" s="559"/>
      <c r="R91" s="559"/>
      <c r="S91" s="559"/>
      <c r="T91" s="559" t="s">
        <v>128</v>
      </c>
      <c r="U91" s="559"/>
      <c r="V91" s="560" t="s">
        <v>133</v>
      </c>
      <c r="W91" s="560"/>
      <c r="X91" s="560"/>
      <c r="Y91" s="561"/>
      <c r="Z91" s="561"/>
      <c r="AA91" s="561"/>
      <c r="AB91" s="561"/>
      <c r="AC91" s="561"/>
      <c r="AD91" s="562"/>
      <c r="AF91" s="50"/>
    </row>
    <row r="92" spans="1:32" ht="30.75" customHeight="1">
      <c r="A92" s="535">
        <v>2</v>
      </c>
      <c r="B92" s="536"/>
      <c r="C92" s="570"/>
      <c r="D92" s="570"/>
      <c r="E92" s="570"/>
      <c r="F92" s="570"/>
      <c r="G92" s="570"/>
      <c r="H92" s="570"/>
      <c r="I92" s="570"/>
      <c r="J92" s="570"/>
      <c r="K92" s="570"/>
      <c r="L92" s="570"/>
      <c r="M92" s="570"/>
      <c r="N92" s="570"/>
      <c r="O92" s="570"/>
      <c r="P92" s="570"/>
      <c r="Q92" s="570"/>
      <c r="R92" s="570"/>
      <c r="S92" s="570"/>
      <c r="T92" s="571"/>
      <c r="U92" s="571"/>
      <c r="V92" s="572"/>
      <c r="W92" s="572"/>
      <c r="X92" s="572"/>
      <c r="Y92" s="563"/>
      <c r="Z92" s="563"/>
      <c r="AA92" s="563"/>
      <c r="AB92" s="563"/>
      <c r="AC92" s="563"/>
      <c r="AD92" s="564"/>
      <c r="AF92" s="50"/>
    </row>
    <row r="93" spans="1:32" ht="30.75" customHeight="1" thickBot="1">
      <c r="A93" s="565">
        <v>3</v>
      </c>
      <c r="B93" s="566"/>
      <c r="C93" s="567"/>
      <c r="D93" s="567"/>
      <c r="E93" s="567"/>
      <c r="F93" s="567"/>
      <c r="G93" s="567"/>
      <c r="H93" s="567"/>
      <c r="I93" s="567"/>
      <c r="J93" s="567"/>
      <c r="K93" s="567"/>
      <c r="L93" s="567"/>
      <c r="M93" s="567"/>
      <c r="N93" s="567"/>
      <c r="O93" s="567"/>
      <c r="P93" s="567"/>
      <c r="Q93" s="567"/>
      <c r="R93" s="567"/>
      <c r="S93" s="567"/>
      <c r="T93" s="567"/>
      <c r="U93" s="567"/>
      <c r="V93" s="573"/>
      <c r="W93" s="573"/>
      <c r="X93" s="573"/>
      <c r="Y93" s="568"/>
      <c r="Z93" s="568"/>
      <c r="AA93" s="568"/>
      <c r="AB93" s="568"/>
      <c r="AC93" s="568"/>
      <c r="AD93" s="569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3" max="29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14CC-6144-4A5D-8E33-310E7FC6346B}">
  <dimension ref="A1:AF94"/>
  <sheetViews>
    <sheetView view="pageBreakPreview" topLeftCell="A7" zoomScale="70" zoomScaleNormal="72" zoomScaleSheetLayoutView="70" workbookViewId="0">
      <selection activeCell="K89" sqref="K89:S8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50" t="s">
        <v>429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1"/>
      <c r="B3" s="451"/>
      <c r="C3" s="451"/>
      <c r="D3" s="451"/>
      <c r="E3" s="451"/>
      <c r="F3" s="451"/>
      <c r="G3" s="45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52" t="s">
        <v>0</v>
      </c>
      <c r="B4" s="454" t="s">
        <v>1</v>
      </c>
      <c r="C4" s="454" t="s">
        <v>2</v>
      </c>
      <c r="D4" s="457" t="s">
        <v>3</v>
      </c>
      <c r="E4" s="459" t="s">
        <v>4</v>
      </c>
      <c r="F4" s="457" t="s">
        <v>5</v>
      </c>
      <c r="G4" s="454" t="s">
        <v>6</v>
      </c>
      <c r="H4" s="460" t="s">
        <v>7</v>
      </c>
      <c r="I4" s="480" t="s">
        <v>8</v>
      </c>
      <c r="J4" s="481"/>
      <c r="K4" s="481"/>
      <c r="L4" s="481"/>
      <c r="M4" s="481"/>
      <c r="N4" s="481"/>
      <c r="O4" s="482"/>
      <c r="P4" s="483" t="s">
        <v>9</v>
      </c>
      <c r="Q4" s="484"/>
      <c r="R4" s="486" t="s">
        <v>10</v>
      </c>
      <c r="S4" s="485"/>
      <c r="T4" s="485"/>
      <c r="U4" s="485"/>
      <c r="V4" s="487"/>
      <c r="W4" s="485" t="s">
        <v>11</v>
      </c>
      <c r="X4" s="485"/>
      <c r="Y4" s="485"/>
      <c r="Z4" s="485"/>
      <c r="AA4" s="487"/>
      <c r="AB4" s="488" t="s">
        <v>12</v>
      </c>
      <c r="AC4" s="462" t="s">
        <v>13</v>
      </c>
      <c r="AD4" s="462" t="s">
        <v>14</v>
      </c>
      <c r="AE4" s="54"/>
    </row>
    <row r="5" spans="1:32" ht="51" customHeight="1" thickBot="1">
      <c r="A5" s="453"/>
      <c r="B5" s="455"/>
      <c r="C5" s="456"/>
      <c r="D5" s="458"/>
      <c r="E5" s="458"/>
      <c r="F5" s="458"/>
      <c r="G5" s="455"/>
      <c r="H5" s="461"/>
      <c r="I5" s="55" t="s">
        <v>15</v>
      </c>
      <c r="J5" s="56" t="s">
        <v>16</v>
      </c>
      <c r="K5" s="297" t="s">
        <v>17</v>
      </c>
      <c r="L5" s="297" t="s">
        <v>18</v>
      </c>
      <c r="M5" s="297" t="s">
        <v>19</v>
      </c>
      <c r="N5" s="29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89"/>
      <c r="AC5" s="463"/>
      <c r="AD5" s="463"/>
      <c r="AE5" s="54"/>
    </row>
    <row r="6" spans="1:32" ht="27" customHeight="1">
      <c r="A6" s="112">
        <v>1</v>
      </c>
      <c r="B6" s="11" t="s">
        <v>57</v>
      </c>
      <c r="C6" s="34" t="s">
        <v>116</v>
      </c>
      <c r="D6" s="52" t="s">
        <v>130</v>
      </c>
      <c r="E6" s="53" t="s">
        <v>158</v>
      </c>
      <c r="F6" s="30" t="s">
        <v>146</v>
      </c>
      <c r="G6" s="12">
        <v>2</v>
      </c>
      <c r="H6" s="13">
        <v>24</v>
      </c>
      <c r="I6" s="31">
        <v>174000</v>
      </c>
      <c r="J6" s="14">
        <v>10648</v>
      </c>
      <c r="K6" s="15">
        <f>L6+2384+8412+9776+8821+8774+10138+6972+8852+4388+11916+2738+3190+6210+12800</f>
        <v>116019</v>
      </c>
      <c r="L6" s="15">
        <f>3354*2+1970*2</f>
        <v>10648</v>
      </c>
      <c r="M6" s="15">
        <f t="shared" ref="M6:M28" si="0">L6-N6</f>
        <v>10648</v>
      </c>
      <c r="N6" s="15">
        <v>0</v>
      </c>
      <c r="O6" s="58">
        <f t="shared" ref="O6:O29" si="1">IF(L6=0,"0",N6/L6)</f>
        <v>0</v>
      </c>
      <c r="P6" s="39">
        <f t="shared" ref="P6:P28" si="2">IF(L6=0,"0",(24-Q6))</f>
        <v>21</v>
      </c>
      <c r="Q6" s="40">
        <f t="shared" ref="Q6:Q28" si="3">SUM(R6:AA6)</f>
        <v>3</v>
      </c>
      <c r="R6" s="7"/>
      <c r="S6" s="6">
        <v>3</v>
      </c>
      <c r="T6" s="16"/>
      <c r="U6" s="16"/>
      <c r="V6" s="17"/>
      <c r="W6" s="5"/>
      <c r="X6" s="16"/>
      <c r="Y6" s="16"/>
      <c r="Z6" s="16"/>
      <c r="AA6" s="18"/>
      <c r="AB6" s="8">
        <f t="shared" ref="AB6:AB28" si="4">IF(J6=0,"0",(L6/J6))</f>
        <v>1</v>
      </c>
      <c r="AC6" s="9">
        <f t="shared" ref="AC6:AC28" si="5">IF(P6=0,"0",(P6/24))</f>
        <v>0.875</v>
      </c>
      <c r="AD6" s="10">
        <f t="shared" ref="AD6:AD28" si="6">AC6*AB6*(1-O6)</f>
        <v>0.875</v>
      </c>
      <c r="AE6" s="36">
        <f t="shared" ref="AE6:AE28" si="7">$AD$29</f>
        <v>0.53462982364239564</v>
      </c>
      <c r="AF6" s="84">
        <f t="shared" ref="AF6:AF28" si="8">A6</f>
        <v>1</v>
      </c>
    </row>
    <row r="7" spans="1:32" ht="27" customHeight="1">
      <c r="A7" s="112">
        <v>2</v>
      </c>
      <c r="B7" s="11" t="s">
        <v>57</v>
      </c>
      <c r="C7" s="34" t="s">
        <v>116</v>
      </c>
      <c r="D7" s="52" t="s">
        <v>317</v>
      </c>
      <c r="E7" s="53" t="s">
        <v>402</v>
      </c>
      <c r="F7" s="30" t="s">
        <v>154</v>
      </c>
      <c r="G7" s="12">
        <v>8</v>
      </c>
      <c r="H7" s="13">
        <v>24</v>
      </c>
      <c r="I7" s="31">
        <v>31000</v>
      </c>
      <c r="J7" s="14">
        <v>34552</v>
      </c>
      <c r="K7" s="15">
        <f>L7+34552</f>
        <v>34552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0.53462982364239564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112</v>
      </c>
      <c r="D8" s="52" t="s">
        <v>115</v>
      </c>
      <c r="E8" s="53" t="s">
        <v>361</v>
      </c>
      <c r="F8" s="30" t="s">
        <v>131</v>
      </c>
      <c r="G8" s="12">
        <v>1</v>
      </c>
      <c r="H8" s="13">
        <v>24</v>
      </c>
      <c r="I8" s="7">
        <v>30000</v>
      </c>
      <c r="J8" s="14">
        <v>2124</v>
      </c>
      <c r="K8" s="15">
        <f>L8+2571+4669+4519</f>
        <v>13883</v>
      </c>
      <c r="L8" s="15">
        <v>2124</v>
      </c>
      <c r="M8" s="15">
        <f t="shared" si="0"/>
        <v>2124</v>
      </c>
      <c r="N8" s="15">
        <v>0</v>
      </c>
      <c r="O8" s="58">
        <f t="shared" si="1"/>
        <v>0</v>
      </c>
      <c r="P8" s="39">
        <f t="shared" si="2"/>
        <v>8</v>
      </c>
      <c r="Q8" s="40">
        <f t="shared" si="3"/>
        <v>16</v>
      </c>
      <c r="R8" s="7"/>
      <c r="S8" s="6">
        <v>16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0.33333333333333331</v>
      </c>
      <c r="AD8" s="10">
        <f t="shared" si="6"/>
        <v>0.33333333333333331</v>
      </c>
      <c r="AE8" s="36">
        <f t="shared" si="7"/>
        <v>0.53462982364239564</v>
      </c>
      <c r="AF8" s="84">
        <f t="shared" si="8"/>
        <v>3</v>
      </c>
    </row>
    <row r="9" spans="1:32" ht="27" customHeight="1">
      <c r="A9" s="96">
        <v>3</v>
      </c>
      <c r="B9" s="11" t="s">
        <v>57</v>
      </c>
      <c r="C9" s="34" t="s">
        <v>116</v>
      </c>
      <c r="D9" s="52" t="s">
        <v>150</v>
      </c>
      <c r="E9" s="53" t="s">
        <v>430</v>
      </c>
      <c r="F9" s="30" t="s">
        <v>131</v>
      </c>
      <c r="G9" s="12">
        <v>1</v>
      </c>
      <c r="H9" s="13">
        <v>24</v>
      </c>
      <c r="I9" s="7">
        <v>500</v>
      </c>
      <c r="J9" s="14">
        <v>864</v>
      </c>
      <c r="K9" s="15">
        <f>L9</f>
        <v>864</v>
      </c>
      <c r="L9" s="15">
        <f>864</f>
        <v>864</v>
      </c>
      <c r="M9" s="15">
        <f t="shared" ref="M9" si="9">L9-N9</f>
        <v>864</v>
      </c>
      <c r="N9" s="15">
        <v>0</v>
      </c>
      <c r="O9" s="58">
        <f t="shared" ref="O9" si="10">IF(L9=0,"0",N9/L9)</f>
        <v>0</v>
      </c>
      <c r="P9" s="39">
        <f t="shared" ref="P9" si="11">IF(L9=0,"0",(24-Q9))</f>
        <v>13</v>
      </c>
      <c r="Q9" s="40">
        <f t="shared" ref="Q9" si="12">SUM(R9:AA9)</f>
        <v>11</v>
      </c>
      <c r="R9" s="7"/>
      <c r="S9" s="6"/>
      <c r="T9" s="16">
        <v>11</v>
      </c>
      <c r="U9" s="16"/>
      <c r="V9" s="17"/>
      <c r="W9" s="5"/>
      <c r="X9" s="16"/>
      <c r="Y9" s="16"/>
      <c r="Z9" s="16"/>
      <c r="AA9" s="18"/>
      <c r="AB9" s="8">
        <f t="shared" ref="AB9" si="13">IF(J9=0,"0",(L9/J9))</f>
        <v>1</v>
      </c>
      <c r="AC9" s="9">
        <f t="shared" ref="AC9" si="14">IF(P9=0,"0",(P9/24))</f>
        <v>0.54166666666666663</v>
      </c>
      <c r="AD9" s="10">
        <f t="shared" ref="AD9" si="15">AC9*AB9*(1-O9)</f>
        <v>0.54166666666666663</v>
      </c>
      <c r="AE9" s="36">
        <f t="shared" si="7"/>
        <v>0.53462982364239564</v>
      </c>
      <c r="AF9" s="84">
        <f t="shared" ref="AF9" si="16">A9</f>
        <v>3</v>
      </c>
    </row>
    <row r="10" spans="1:32" ht="27" customHeight="1">
      <c r="A10" s="96">
        <v>4</v>
      </c>
      <c r="B10" s="11" t="s">
        <v>57</v>
      </c>
      <c r="C10" s="34" t="s">
        <v>116</v>
      </c>
      <c r="D10" s="52" t="s">
        <v>150</v>
      </c>
      <c r="E10" s="53" t="s">
        <v>355</v>
      </c>
      <c r="F10" s="30" t="s">
        <v>301</v>
      </c>
      <c r="G10" s="12">
        <v>1</v>
      </c>
      <c r="H10" s="13">
        <v>24</v>
      </c>
      <c r="I10" s="7">
        <v>24000</v>
      </c>
      <c r="J10" s="14">
        <v>2021</v>
      </c>
      <c r="K10" s="15">
        <f>L10+4426+4805+4815+3688</f>
        <v>19755</v>
      </c>
      <c r="L10" s="15">
        <f>2021</f>
        <v>2021</v>
      </c>
      <c r="M10" s="15">
        <f t="shared" si="0"/>
        <v>2021</v>
      </c>
      <c r="N10" s="15">
        <v>0</v>
      </c>
      <c r="O10" s="58">
        <f t="shared" si="1"/>
        <v>0</v>
      </c>
      <c r="P10" s="39">
        <f t="shared" si="2"/>
        <v>13</v>
      </c>
      <c r="Q10" s="40">
        <f t="shared" si="3"/>
        <v>11</v>
      </c>
      <c r="R10" s="7"/>
      <c r="S10" s="6">
        <v>11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0.54166666666666663</v>
      </c>
      <c r="AD10" s="10">
        <f t="shared" si="6"/>
        <v>0.54166666666666663</v>
      </c>
      <c r="AE10" s="36">
        <f t="shared" si="7"/>
        <v>0.53462982364239564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11" t="s">
        <v>241</v>
      </c>
      <c r="D11" s="52"/>
      <c r="E11" s="53" t="s">
        <v>408</v>
      </c>
      <c r="F11" s="30" t="s">
        <v>362</v>
      </c>
      <c r="G11" s="33">
        <v>2</v>
      </c>
      <c r="H11" s="35">
        <v>24</v>
      </c>
      <c r="I11" s="7">
        <v>5000</v>
      </c>
      <c r="J11" s="14">
        <v>10162</v>
      </c>
      <c r="K11" s="15">
        <f>L11+10780</f>
        <v>20942</v>
      </c>
      <c r="L11" s="15">
        <f>2814*2+2267*2</f>
        <v>10162</v>
      </c>
      <c r="M11" s="15">
        <f t="shared" si="0"/>
        <v>10162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0.53462982364239564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116</v>
      </c>
      <c r="D12" s="52" t="s">
        <v>124</v>
      </c>
      <c r="E12" s="53" t="s">
        <v>323</v>
      </c>
      <c r="F12" s="30" t="s">
        <v>134</v>
      </c>
      <c r="G12" s="33">
        <v>1</v>
      </c>
      <c r="H12" s="35">
        <v>24</v>
      </c>
      <c r="I12" s="7">
        <v>50000</v>
      </c>
      <c r="J12" s="14">
        <v>2071</v>
      </c>
      <c r="K12" s="15">
        <f>L12+420+2071</f>
        <v>2491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/>
      <c r="X12" s="16"/>
      <c r="Y12" s="16"/>
      <c r="Z12" s="16"/>
      <c r="AA12" s="18">
        <v>24</v>
      </c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0.53462982364239564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116</v>
      </c>
      <c r="D13" s="52" t="s">
        <v>115</v>
      </c>
      <c r="E13" s="53" t="s">
        <v>403</v>
      </c>
      <c r="F13" s="30" t="s">
        <v>167</v>
      </c>
      <c r="G13" s="12">
        <v>1</v>
      </c>
      <c r="H13" s="13">
        <v>22</v>
      </c>
      <c r="I13" s="31">
        <v>70000</v>
      </c>
      <c r="J13" s="5">
        <v>5497</v>
      </c>
      <c r="K13" s="15">
        <f>L13+3050+5463</f>
        <v>14010</v>
      </c>
      <c r="L13" s="15">
        <f>2725+2772</f>
        <v>5497</v>
      </c>
      <c r="M13" s="15">
        <f t="shared" si="0"/>
        <v>5497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0.53462982364239564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112</v>
      </c>
      <c r="D14" s="52" t="s">
        <v>124</v>
      </c>
      <c r="E14" s="53" t="s">
        <v>407</v>
      </c>
      <c r="F14" s="30" t="s">
        <v>131</v>
      </c>
      <c r="G14" s="33">
        <v>1</v>
      </c>
      <c r="H14" s="35">
        <v>24</v>
      </c>
      <c r="I14" s="7">
        <v>10000</v>
      </c>
      <c r="J14" s="14">
        <v>5408</v>
      </c>
      <c r="K14" s="15">
        <f>L14+5375</f>
        <v>10783</v>
      </c>
      <c r="L14" s="15">
        <f>2845+2563</f>
        <v>5408</v>
      </c>
      <c r="M14" s="15">
        <f t="shared" si="0"/>
        <v>5408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 t="shared" si="6"/>
        <v>1</v>
      </c>
      <c r="AE14" s="36">
        <f t="shared" si="7"/>
        <v>0.53462982364239564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369</v>
      </c>
      <c r="F15" s="30" t="s">
        <v>151</v>
      </c>
      <c r="G15" s="33">
        <v>1</v>
      </c>
      <c r="H15" s="35">
        <v>50</v>
      </c>
      <c r="I15" s="7">
        <v>1500</v>
      </c>
      <c r="J15" s="5">
        <v>921</v>
      </c>
      <c r="K15" s="15">
        <f>L15+716+757+921</f>
        <v>2394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0.53462982364239564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116</v>
      </c>
      <c r="D16" s="52" t="s">
        <v>123</v>
      </c>
      <c r="E16" s="53" t="s">
        <v>141</v>
      </c>
      <c r="F16" s="30" t="s">
        <v>135</v>
      </c>
      <c r="G16" s="12">
        <v>4</v>
      </c>
      <c r="H16" s="13">
        <v>24</v>
      </c>
      <c r="I16" s="31">
        <v>12000</v>
      </c>
      <c r="J16" s="14">
        <v>12356</v>
      </c>
      <c r="K16" s="15">
        <f>L16+12356</f>
        <v>12356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0.53462982364239564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143</v>
      </c>
      <c r="D17" s="52" t="s">
        <v>115</v>
      </c>
      <c r="E17" s="53" t="s">
        <v>324</v>
      </c>
      <c r="F17" s="30" t="s">
        <v>362</v>
      </c>
      <c r="G17" s="12">
        <v>1</v>
      </c>
      <c r="H17" s="13">
        <v>24</v>
      </c>
      <c r="I17" s="7">
        <v>20000</v>
      </c>
      <c r="J17" s="14">
        <v>5376</v>
      </c>
      <c r="K17" s="15">
        <f>L17+5554+5953+5939+4717</f>
        <v>27539</v>
      </c>
      <c r="L17" s="15">
        <f>2364+3012</f>
        <v>5376</v>
      </c>
      <c r="M17" s="15">
        <f t="shared" si="0"/>
        <v>5376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0.53462982364239564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143</v>
      </c>
      <c r="D18" s="52" t="s">
        <v>150</v>
      </c>
      <c r="E18" s="53" t="s">
        <v>159</v>
      </c>
      <c r="F18" s="30" t="s">
        <v>154</v>
      </c>
      <c r="G18" s="12">
        <v>3</v>
      </c>
      <c r="H18" s="13">
        <v>24</v>
      </c>
      <c r="I18" s="7">
        <v>260000</v>
      </c>
      <c r="J18" s="14">
        <v>18492</v>
      </c>
      <c r="K18" s="15">
        <f>L18+16128+16857+16941+16140+15960+17466+17355+17745+17910+17925+2610+16239+17901+14879+13701+18378</f>
        <v>272627</v>
      </c>
      <c r="L18" s="15">
        <f>3039*3+3125*3</f>
        <v>18492</v>
      </c>
      <c r="M18" s="15">
        <f t="shared" si="0"/>
        <v>18492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0.53462982364239564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116</v>
      </c>
      <c r="D19" s="52" t="s">
        <v>124</v>
      </c>
      <c r="E19" s="53" t="s">
        <v>323</v>
      </c>
      <c r="F19" s="30" t="s">
        <v>134</v>
      </c>
      <c r="G19" s="33">
        <v>1</v>
      </c>
      <c r="H19" s="35">
        <v>24</v>
      </c>
      <c r="I19" s="7">
        <v>50000</v>
      </c>
      <c r="J19" s="14">
        <v>6225</v>
      </c>
      <c r="K19" s="15">
        <f>L19+4611</f>
        <v>10866</v>
      </c>
      <c r="L19" s="15">
        <f>3097+3158</f>
        <v>6255</v>
      </c>
      <c r="M19" s="15">
        <f t="shared" si="0"/>
        <v>6255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1.0048192771084337</v>
      </c>
      <c r="AC19" s="9">
        <f t="shared" si="5"/>
        <v>1</v>
      </c>
      <c r="AD19" s="10">
        <f t="shared" si="6"/>
        <v>1.0048192771084337</v>
      </c>
      <c r="AE19" s="36">
        <f t="shared" si="7"/>
        <v>0.53462982364239564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142</v>
      </c>
      <c r="E20" s="53" t="s">
        <v>161</v>
      </c>
      <c r="F20" s="30" t="s">
        <v>134</v>
      </c>
      <c r="G20" s="33">
        <v>1</v>
      </c>
      <c r="H20" s="35">
        <v>24</v>
      </c>
      <c r="I20" s="7">
        <v>54000</v>
      </c>
      <c r="J20" s="14">
        <v>5390</v>
      </c>
      <c r="K20" s="15">
        <f>L20+5079+5307+3503+1179+3568+5398</f>
        <v>29424</v>
      </c>
      <c r="L20" s="15">
        <f>2678+2712</f>
        <v>5390</v>
      </c>
      <c r="M20" s="15">
        <f t="shared" si="0"/>
        <v>5390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0.53462982364239564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116</v>
      </c>
      <c r="D21" s="52" t="s">
        <v>115</v>
      </c>
      <c r="E21" s="53" t="s">
        <v>356</v>
      </c>
      <c r="F21" s="30" t="s">
        <v>122</v>
      </c>
      <c r="G21" s="12">
        <v>1</v>
      </c>
      <c r="H21" s="13">
        <v>24</v>
      </c>
      <c r="I21" s="7">
        <v>24000</v>
      </c>
      <c r="J21" s="14">
        <v>5214</v>
      </c>
      <c r="K21" s="15">
        <f>L21+2446+5228+5223+3767</f>
        <v>21878</v>
      </c>
      <c r="L21" s="15">
        <f>2578+2636</f>
        <v>5214</v>
      </c>
      <c r="M21" s="15">
        <f t="shared" si="0"/>
        <v>5214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0.53462982364239564</v>
      </c>
      <c r="AF21" s="84">
        <f t="shared" si="8"/>
        <v>15</v>
      </c>
    </row>
    <row r="22" spans="1:32" ht="27" customHeight="1">
      <c r="A22" s="96">
        <v>16</v>
      </c>
      <c r="B22" s="11" t="s">
        <v>57</v>
      </c>
      <c r="C22" s="11" t="s">
        <v>113</v>
      </c>
      <c r="D22" s="52"/>
      <c r="E22" s="53" t="s">
        <v>384</v>
      </c>
      <c r="F22" s="12" t="s">
        <v>114</v>
      </c>
      <c r="G22" s="12">
        <v>4</v>
      </c>
      <c r="H22" s="35">
        <v>20</v>
      </c>
      <c r="I22" s="7">
        <v>110000</v>
      </c>
      <c r="J22" s="14">
        <v>72180</v>
      </c>
      <c r="K22" s="15">
        <f>L22+33068+77956+67572</f>
        <v>250776</v>
      </c>
      <c r="L22" s="15">
        <f>8932*4+9113*4</f>
        <v>72180</v>
      </c>
      <c r="M22" s="15">
        <f t="shared" si="0"/>
        <v>72180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0.53462982364239564</v>
      </c>
      <c r="AF22" s="84">
        <f t="shared" si="8"/>
        <v>16</v>
      </c>
    </row>
    <row r="23" spans="1:32" ht="27" customHeight="1">
      <c r="A23" s="96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0.53462982364239564</v>
      </c>
      <c r="AF23" s="84">
        <f t="shared" si="8"/>
        <v>31</v>
      </c>
    </row>
    <row r="24" spans="1:32" ht="27" customHeight="1">
      <c r="A24" s="96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0.53462982364239564</v>
      </c>
      <c r="AF24" s="84">
        <f t="shared" si="8"/>
        <v>32</v>
      </c>
    </row>
    <row r="25" spans="1:32" ht="27" customHeight="1">
      <c r="A25" s="96">
        <v>33</v>
      </c>
      <c r="B25" s="11" t="s">
        <v>57</v>
      </c>
      <c r="C25" s="11" t="s">
        <v>116</v>
      </c>
      <c r="D25" s="52" t="s">
        <v>150</v>
      </c>
      <c r="E25" s="53" t="s">
        <v>163</v>
      </c>
      <c r="F25" s="12" t="s">
        <v>145</v>
      </c>
      <c r="G25" s="12">
        <v>1</v>
      </c>
      <c r="H25" s="35">
        <v>20</v>
      </c>
      <c r="I25" s="7">
        <v>140000</v>
      </c>
      <c r="J25" s="14">
        <v>7360</v>
      </c>
      <c r="K25" s="15">
        <f>L25+4387+7770+5806+7905+7479+7369</f>
        <v>48076</v>
      </c>
      <c r="L25" s="15">
        <f>3942+3418</f>
        <v>7360</v>
      </c>
      <c r="M25" s="15">
        <f t="shared" si="0"/>
        <v>7360</v>
      </c>
      <c r="N25" s="15">
        <v>0</v>
      </c>
      <c r="O25" s="58">
        <f t="shared" si="1"/>
        <v>0</v>
      </c>
      <c r="P25" s="39">
        <f t="shared" si="2"/>
        <v>24</v>
      </c>
      <c r="Q25" s="40">
        <f t="shared" si="3"/>
        <v>0</v>
      </c>
      <c r="R25" s="7"/>
      <c r="S25" s="6"/>
      <c r="T25" s="16"/>
      <c r="U25" s="16"/>
      <c r="V25" s="206"/>
      <c r="W25" s="5"/>
      <c r="X25" s="16"/>
      <c r="Y25" s="16"/>
      <c r="Z25" s="16"/>
      <c r="AA25" s="18"/>
      <c r="AB25" s="8">
        <f t="shared" si="4"/>
        <v>1</v>
      </c>
      <c r="AC25" s="9">
        <f t="shared" si="5"/>
        <v>1</v>
      </c>
      <c r="AD25" s="10">
        <f t="shared" si="6"/>
        <v>1</v>
      </c>
      <c r="AE25" s="36">
        <f t="shared" si="7"/>
        <v>0.53462982364239564</v>
      </c>
      <c r="AF25" s="84">
        <f t="shared" si="8"/>
        <v>33</v>
      </c>
    </row>
    <row r="26" spans="1:32" ht="27" customHeight="1">
      <c r="A26" s="96">
        <v>34</v>
      </c>
      <c r="B26" s="11" t="s">
        <v>57</v>
      </c>
      <c r="C26" s="11" t="s">
        <v>116</v>
      </c>
      <c r="D26" s="52" t="s">
        <v>150</v>
      </c>
      <c r="E26" s="53" t="s">
        <v>165</v>
      </c>
      <c r="F26" s="12" t="s">
        <v>135</v>
      </c>
      <c r="G26" s="12">
        <v>4</v>
      </c>
      <c r="H26" s="35">
        <v>20</v>
      </c>
      <c r="I26" s="7">
        <v>240000</v>
      </c>
      <c r="J26" s="14">
        <v>9988</v>
      </c>
      <c r="K26" s="15">
        <f>L26+24768+29084+29040+29804+27780+4064+26996+28972+25428+29132+9988</f>
        <v>265056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206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0.53462982364239564</v>
      </c>
      <c r="AF26" s="84">
        <f t="shared" si="8"/>
        <v>34</v>
      </c>
    </row>
    <row r="27" spans="1:32" ht="27" customHeight="1">
      <c r="A27" s="96">
        <v>35</v>
      </c>
      <c r="B27" s="11" t="s">
        <v>57</v>
      </c>
      <c r="C27" s="11" t="s">
        <v>116</v>
      </c>
      <c r="D27" s="52" t="s">
        <v>123</v>
      </c>
      <c r="E27" s="53" t="s">
        <v>137</v>
      </c>
      <c r="F27" s="12" t="s">
        <v>135</v>
      </c>
      <c r="G27" s="12">
        <v>4</v>
      </c>
      <c r="H27" s="35">
        <v>20</v>
      </c>
      <c r="I27" s="7">
        <v>240000</v>
      </c>
      <c r="J27" s="14">
        <v>11600</v>
      </c>
      <c r="K27" s="15">
        <f>L27+25004+29968+31848+29672+31736+27000+29200+29420+29140+11600</f>
        <v>274588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206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0.53462982364239564</v>
      </c>
      <c r="AF27" s="84">
        <f t="shared" si="8"/>
        <v>35</v>
      </c>
    </row>
    <row r="28" spans="1:32" ht="27" customHeight="1" thickBot="1">
      <c r="A28" s="96">
        <v>36</v>
      </c>
      <c r="B28" s="11" t="s">
        <v>57</v>
      </c>
      <c r="C28" s="11" t="s">
        <v>380</v>
      </c>
      <c r="D28" s="52"/>
      <c r="E28" s="53" t="s">
        <v>381</v>
      </c>
      <c r="F28" s="12" t="s">
        <v>382</v>
      </c>
      <c r="G28" s="12">
        <v>32</v>
      </c>
      <c r="H28" s="35">
        <v>20</v>
      </c>
      <c r="I28" s="7">
        <v>700000</v>
      </c>
      <c r="J28" s="14">
        <v>89792</v>
      </c>
      <c r="K28" s="15">
        <f>L28+326528+448864+89792</f>
        <v>865184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206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6"/>
        <v>0</v>
      </c>
      <c r="AE28" s="36">
        <f t="shared" si="7"/>
        <v>0.53462982364239564</v>
      </c>
      <c r="AF28" s="84">
        <f t="shared" si="8"/>
        <v>36</v>
      </c>
    </row>
    <row r="29" spans="1:32" ht="31.5" customHeight="1" thickBot="1">
      <c r="A29" s="464" t="s">
        <v>34</v>
      </c>
      <c r="B29" s="465"/>
      <c r="C29" s="465"/>
      <c r="D29" s="465"/>
      <c r="E29" s="465"/>
      <c r="F29" s="465"/>
      <c r="G29" s="465"/>
      <c r="H29" s="466"/>
      <c r="I29" s="22">
        <f t="shared" ref="I29:N29" si="17">SUM(I6:I28)</f>
        <v>2246000</v>
      </c>
      <c r="J29" s="19">
        <f t="shared" si="17"/>
        <v>318241</v>
      </c>
      <c r="K29" s="20">
        <f t="shared" si="17"/>
        <v>2314063</v>
      </c>
      <c r="L29" s="21">
        <f t="shared" si="17"/>
        <v>156991</v>
      </c>
      <c r="M29" s="20">
        <f t="shared" si="17"/>
        <v>156991</v>
      </c>
      <c r="N29" s="21">
        <f t="shared" si="17"/>
        <v>0</v>
      </c>
      <c r="O29" s="41">
        <f t="shared" si="1"/>
        <v>0</v>
      </c>
      <c r="P29" s="42">
        <f t="shared" ref="P29:AA29" si="18">SUM(P6:P28)</f>
        <v>295</v>
      </c>
      <c r="Q29" s="43">
        <f t="shared" si="18"/>
        <v>257</v>
      </c>
      <c r="R29" s="23">
        <f t="shared" si="18"/>
        <v>0</v>
      </c>
      <c r="S29" s="24">
        <f t="shared" si="18"/>
        <v>54</v>
      </c>
      <c r="T29" s="24">
        <f t="shared" si="18"/>
        <v>11</v>
      </c>
      <c r="U29" s="24">
        <f t="shared" si="18"/>
        <v>0</v>
      </c>
      <c r="V29" s="25">
        <f t="shared" si="18"/>
        <v>48</v>
      </c>
      <c r="W29" s="26">
        <f t="shared" si="18"/>
        <v>96</v>
      </c>
      <c r="X29" s="27">
        <f t="shared" si="18"/>
        <v>0</v>
      </c>
      <c r="Y29" s="27">
        <f t="shared" si="18"/>
        <v>0</v>
      </c>
      <c r="Z29" s="27">
        <f t="shared" si="18"/>
        <v>0</v>
      </c>
      <c r="AA29" s="27">
        <f t="shared" si="18"/>
        <v>48</v>
      </c>
      <c r="AB29" s="28">
        <f>AVERAGE(AB6:AB28)</f>
        <v>0.66689615605278252</v>
      </c>
      <c r="AC29" s="4">
        <f>AVERAGE(AC6:AC28)</f>
        <v>0.53442028985507239</v>
      </c>
      <c r="AD29" s="4">
        <f>AVERAGE(AD6:AD28)</f>
        <v>0.53462982364239564</v>
      </c>
      <c r="AE29" s="29"/>
    </row>
    <row r="30" spans="1:32">
      <c r="T30" s="50" t="s">
        <v>157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160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5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467" t="s">
        <v>45</v>
      </c>
      <c r="B56" s="467"/>
      <c r="C56" s="467"/>
      <c r="D56" s="467"/>
      <c r="E56" s="467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468" t="s">
        <v>431</v>
      </c>
      <c r="B57" s="469"/>
      <c r="C57" s="469"/>
      <c r="D57" s="469"/>
      <c r="E57" s="469"/>
      <c r="F57" s="469"/>
      <c r="G57" s="469"/>
      <c r="H57" s="469"/>
      <c r="I57" s="469"/>
      <c r="J57" s="469"/>
      <c r="K57" s="469"/>
      <c r="L57" s="469"/>
      <c r="M57" s="470"/>
      <c r="N57" s="471" t="s">
        <v>437</v>
      </c>
      <c r="O57" s="472"/>
      <c r="P57" s="472"/>
      <c r="Q57" s="472"/>
      <c r="R57" s="472"/>
      <c r="S57" s="472"/>
      <c r="T57" s="472"/>
      <c r="U57" s="472"/>
      <c r="V57" s="472"/>
      <c r="W57" s="472"/>
      <c r="X57" s="472"/>
      <c r="Y57" s="472"/>
      <c r="Z57" s="472"/>
      <c r="AA57" s="472"/>
      <c r="AB57" s="472"/>
      <c r="AC57" s="472"/>
      <c r="AD57" s="473"/>
    </row>
    <row r="58" spans="1:32" ht="27" customHeight="1">
      <c r="A58" s="474" t="s">
        <v>2</v>
      </c>
      <c r="B58" s="475"/>
      <c r="C58" s="296" t="s">
        <v>46</v>
      </c>
      <c r="D58" s="296" t="s">
        <v>47</v>
      </c>
      <c r="E58" s="296" t="s">
        <v>107</v>
      </c>
      <c r="F58" s="476" t="s">
        <v>106</v>
      </c>
      <c r="G58" s="477"/>
      <c r="H58" s="477"/>
      <c r="I58" s="477"/>
      <c r="J58" s="477"/>
      <c r="K58" s="477"/>
      <c r="L58" s="477"/>
      <c r="M58" s="478"/>
      <c r="N58" s="67" t="s">
        <v>110</v>
      </c>
      <c r="O58" s="296" t="s">
        <v>46</v>
      </c>
      <c r="P58" s="476" t="s">
        <v>47</v>
      </c>
      <c r="Q58" s="479"/>
      <c r="R58" s="476" t="s">
        <v>38</v>
      </c>
      <c r="S58" s="477"/>
      <c r="T58" s="477"/>
      <c r="U58" s="479"/>
      <c r="V58" s="476" t="s">
        <v>48</v>
      </c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500" t="s">
        <v>116</v>
      </c>
      <c r="B59" s="501"/>
      <c r="C59" s="299" t="s">
        <v>132</v>
      </c>
      <c r="D59" s="299" t="s">
        <v>130</v>
      </c>
      <c r="E59" s="298" t="s">
        <v>158</v>
      </c>
      <c r="F59" s="492" t="s">
        <v>120</v>
      </c>
      <c r="G59" s="493"/>
      <c r="H59" s="493"/>
      <c r="I59" s="493"/>
      <c r="J59" s="493"/>
      <c r="K59" s="493"/>
      <c r="L59" s="493"/>
      <c r="M59" s="494"/>
      <c r="N59" s="295" t="s">
        <v>112</v>
      </c>
      <c r="O59" s="289" t="s">
        <v>259</v>
      </c>
      <c r="P59" s="495" t="s">
        <v>140</v>
      </c>
      <c r="Q59" s="496"/>
      <c r="R59" s="495" t="s">
        <v>438</v>
      </c>
      <c r="S59" s="497"/>
      <c r="T59" s="497"/>
      <c r="U59" s="496"/>
      <c r="V59" s="498" t="s">
        <v>125</v>
      </c>
      <c r="W59" s="498"/>
      <c r="X59" s="498"/>
      <c r="Y59" s="498"/>
      <c r="Z59" s="498"/>
      <c r="AA59" s="498"/>
      <c r="AB59" s="498"/>
      <c r="AC59" s="498"/>
      <c r="AD59" s="499"/>
    </row>
    <row r="60" spans="1:32" ht="27" customHeight="1">
      <c r="A60" s="500" t="s">
        <v>116</v>
      </c>
      <c r="B60" s="501"/>
      <c r="C60" s="299" t="s">
        <v>175</v>
      </c>
      <c r="D60" s="299" t="s">
        <v>150</v>
      </c>
      <c r="E60" s="298" t="s">
        <v>355</v>
      </c>
      <c r="F60" s="492" t="s">
        <v>432</v>
      </c>
      <c r="G60" s="493"/>
      <c r="H60" s="493"/>
      <c r="I60" s="493"/>
      <c r="J60" s="493"/>
      <c r="K60" s="493"/>
      <c r="L60" s="493"/>
      <c r="M60" s="494"/>
      <c r="N60" s="295" t="s">
        <v>112</v>
      </c>
      <c r="O60" s="289" t="s">
        <v>206</v>
      </c>
      <c r="P60" s="495" t="s">
        <v>115</v>
      </c>
      <c r="Q60" s="496"/>
      <c r="R60" s="495" t="s">
        <v>369</v>
      </c>
      <c r="S60" s="497"/>
      <c r="T60" s="497"/>
      <c r="U60" s="496"/>
      <c r="V60" s="498" t="s">
        <v>120</v>
      </c>
      <c r="W60" s="498"/>
      <c r="X60" s="498"/>
      <c r="Y60" s="498"/>
      <c r="Z60" s="498"/>
      <c r="AA60" s="498"/>
      <c r="AB60" s="498"/>
      <c r="AC60" s="498"/>
      <c r="AD60" s="499"/>
    </row>
    <row r="61" spans="1:32" ht="27" customHeight="1">
      <c r="A61" s="500" t="s">
        <v>143</v>
      </c>
      <c r="B61" s="501"/>
      <c r="C61" s="299" t="s">
        <v>239</v>
      </c>
      <c r="D61" s="299" t="s">
        <v>115</v>
      </c>
      <c r="E61" s="298" t="s">
        <v>420</v>
      </c>
      <c r="F61" s="492" t="s">
        <v>120</v>
      </c>
      <c r="G61" s="493"/>
      <c r="H61" s="493"/>
      <c r="I61" s="493"/>
      <c r="J61" s="493"/>
      <c r="K61" s="493"/>
      <c r="L61" s="493"/>
      <c r="M61" s="494"/>
      <c r="N61" s="295" t="s">
        <v>112</v>
      </c>
      <c r="O61" s="289" t="s">
        <v>440</v>
      </c>
      <c r="P61" s="495" t="s">
        <v>441</v>
      </c>
      <c r="Q61" s="496"/>
      <c r="R61" s="495" t="s">
        <v>439</v>
      </c>
      <c r="S61" s="497"/>
      <c r="T61" s="497"/>
      <c r="U61" s="496"/>
      <c r="V61" s="498" t="s">
        <v>125</v>
      </c>
      <c r="W61" s="498"/>
      <c r="X61" s="498"/>
      <c r="Y61" s="498"/>
      <c r="Z61" s="498"/>
      <c r="AA61" s="498"/>
      <c r="AB61" s="498"/>
      <c r="AC61" s="498"/>
      <c r="AD61" s="499"/>
    </row>
    <row r="62" spans="1:32" ht="27" customHeight="1">
      <c r="A62" s="500" t="s">
        <v>112</v>
      </c>
      <c r="B62" s="501"/>
      <c r="C62" s="291" t="s">
        <v>433</v>
      </c>
      <c r="D62" s="291" t="s">
        <v>115</v>
      </c>
      <c r="E62" s="292" t="s">
        <v>434</v>
      </c>
      <c r="F62" s="492" t="s">
        <v>435</v>
      </c>
      <c r="G62" s="493"/>
      <c r="H62" s="493"/>
      <c r="I62" s="493"/>
      <c r="J62" s="493"/>
      <c r="K62" s="493"/>
      <c r="L62" s="493"/>
      <c r="M62" s="494"/>
      <c r="N62" s="295" t="s">
        <v>443</v>
      </c>
      <c r="O62" s="289" t="s">
        <v>433</v>
      </c>
      <c r="P62" s="495" t="s">
        <v>150</v>
      </c>
      <c r="Q62" s="496"/>
      <c r="R62" s="495" t="s">
        <v>442</v>
      </c>
      <c r="S62" s="497"/>
      <c r="T62" s="497"/>
      <c r="U62" s="496"/>
      <c r="V62" s="498" t="s">
        <v>125</v>
      </c>
      <c r="W62" s="498"/>
      <c r="X62" s="498"/>
      <c r="Y62" s="498"/>
      <c r="Z62" s="498"/>
      <c r="AA62" s="498"/>
      <c r="AB62" s="498"/>
      <c r="AC62" s="498"/>
      <c r="AD62" s="499"/>
    </row>
    <row r="63" spans="1:32" ht="27" customHeight="1">
      <c r="A63" s="500" t="s">
        <v>112</v>
      </c>
      <c r="B63" s="501"/>
      <c r="C63" s="291" t="s">
        <v>433</v>
      </c>
      <c r="D63" s="291" t="s">
        <v>115</v>
      </c>
      <c r="E63" s="292" t="s">
        <v>430</v>
      </c>
      <c r="F63" s="492" t="s">
        <v>436</v>
      </c>
      <c r="G63" s="493"/>
      <c r="H63" s="493"/>
      <c r="I63" s="493"/>
      <c r="J63" s="493"/>
      <c r="K63" s="493"/>
      <c r="L63" s="493"/>
      <c r="M63" s="494"/>
      <c r="N63" s="295"/>
      <c r="O63" s="289"/>
      <c r="P63" s="495"/>
      <c r="Q63" s="496"/>
      <c r="R63" s="495"/>
      <c r="S63" s="497"/>
      <c r="T63" s="497"/>
      <c r="U63" s="496"/>
      <c r="V63" s="498"/>
      <c r="W63" s="498"/>
      <c r="X63" s="498"/>
      <c r="Y63" s="498"/>
      <c r="Z63" s="498"/>
      <c r="AA63" s="498"/>
      <c r="AB63" s="498"/>
      <c r="AC63" s="498"/>
      <c r="AD63" s="499"/>
    </row>
    <row r="64" spans="1:32" ht="27" customHeight="1">
      <c r="A64" s="500"/>
      <c r="B64" s="501"/>
      <c r="C64" s="291"/>
      <c r="D64" s="291"/>
      <c r="E64" s="292"/>
      <c r="F64" s="492"/>
      <c r="G64" s="493"/>
      <c r="H64" s="493"/>
      <c r="I64" s="493"/>
      <c r="J64" s="493"/>
      <c r="K64" s="493"/>
      <c r="L64" s="493"/>
      <c r="M64" s="494"/>
      <c r="N64" s="295"/>
      <c r="O64" s="289"/>
      <c r="P64" s="495"/>
      <c r="Q64" s="496"/>
      <c r="R64" s="495"/>
      <c r="S64" s="497"/>
      <c r="T64" s="497"/>
      <c r="U64" s="496"/>
      <c r="V64" s="498"/>
      <c r="W64" s="498"/>
      <c r="X64" s="498"/>
      <c r="Y64" s="498"/>
      <c r="Z64" s="498"/>
      <c r="AA64" s="498"/>
      <c r="AB64" s="498"/>
      <c r="AC64" s="498"/>
      <c r="AD64" s="499"/>
    </row>
    <row r="65" spans="1:32" ht="27" customHeight="1">
      <c r="A65" s="490"/>
      <c r="B65" s="491"/>
      <c r="C65" s="292"/>
      <c r="D65" s="292"/>
      <c r="E65" s="292"/>
      <c r="F65" s="492"/>
      <c r="G65" s="493"/>
      <c r="H65" s="493"/>
      <c r="I65" s="493"/>
      <c r="J65" s="493"/>
      <c r="K65" s="493"/>
      <c r="L65" s="493"/>
      <c r="M65" s="494"/>
      <c r="N65" s="295"/>
      <c r="O65" s="289"/>
      <c r="P65" s="495"/>
      <c r="Q65" s="496"/>
      <c r="R65" s="495"/>
      <c r="S65" s="497"/>
      <c r="T65" s="497"/>
      <c r="U65" s="496"/>
      <c r="V65" s="498"/>
      <c r="W65" s="498"/>
      <c r="X65" s="498"/>
      <c r="Y65" s="498"/>
      <c r="Z65" s="498"/>
      <c r="AA65" s="498"/>
      <c r="AB65" s="498"/>
      <c r="AC65" s="498"/>
      <c r="AD65" s="499"/>
    </row>
    <row r="66" spans="1:32" ht="27" customHeight="1">
      <c r="A66" s="500"/>
      <c r="B66" s="501"/>
      <c r="C66" s="291"/>
      <c r="D66" s="291"/>
      <c r="E66" s="292"/>
      <c r="F66" s="492"/>
      <c r="G66" s="493"/>
      <c r="H66" s="493"/>
      <c r="I66" s="493"/>
      <c r="J66" s="493"/>
      <c r="K66" s="493"/>
      <c r="L66" s="493"/>
      <c r="M66" s="494"/>
      <c r="N66" s="295"/>
      <c r="O66" s="289"/>
      <c r="P66" s="495"/>
      <c r="Q66" s="496"/>
      <c r="R66" s="495"/>
      <c r="S66" s="497"/>
      <c r="T66" s="497"/>
      <c r="U66" s="496"/>
      <c r="V66" s="498"/>
      <c r="W66" s="498"/>
      <c r="X66" s="498"/>
      <c r="Y66" s="498"/>
      <c r="Z66" s="498"/>
      <c r="AA66" s="498"/>
      <c r="AB66" s="498"/>
      <c r="AC66" s="498"/>
      <c r="AD66" s="499"/>
    </row>
    <row r="67" spans="1:32" ht="27" customHeight="1">
      <c r="A67" s="500"/>
      <c r="B67" s="501"/>
      <c r="C67" s="291"/>
      <c r="D67" s="291"/>
      <c r="E67" s="292"/>
      <c r="F67" s="492"/>
      <c r="G67" s="493"/>
      <c r="H67" s="493"/>
      <c r="I67" s="493"/>
      <c r="J67" s="493"/>
      <c r="K67" s="493"/>
      <c r="L67" s="493"/>
      <c r="M67" s="494"/>
      <c r="N67" s="295"/>
      <c r="O67" s="289"/>
      <c r="P67" s="491"/>
      <c r="Q67" s="491"/>
      <c r="R67" s="491"/>
      <c r="S67" s="491"/>
      <c r="T67" s="491"/>
      <c r="U67" s="491"/>
      <c r="V67" s="498"/>
      <c r="W67" s="498"/>
      <c r="X67" s="498"/>
      <c r="Y67" s="498"/>
      <c r="Z67" s="498"/>
      <c r="AA67" s="498"/>
      <c r="AB67" s="498"/>
      <c r="AC67" s="498"/>
      <c r="AD67" s="499"/>
      <c r="AF67" s="84">
        <f>8*3000</f>
        <v>24000</v>
      </c>
    </row>
    <row r="68" spans="1:32" ht="27" customHeight="1" thickBot="1">
      <c r="A68" s="502"/>
      <c r="B68" s="503"/>
      <c r="C68" s="293"/>
      <c r="D68" s="294"/>
      <c r="E68" s="293"/>
      <c r="F68" s="504"/>
      <c r="G68" s="505"/>
      <c r="H68" s="505"/>
      <c r="I68" s="505"/>
      <c r="J68" s="505"/>
      <c r="K68" s="505"/>
      <c r="L68" s="505"/>
      <c r="M68" s="506"/>
      <c r="N68" s="111"/>
      <c r="O68" s="103"/>
      <c r="P68" s="507"/>
      <c r="Q68" s="507"/>
      <c r="R68" s="507"/>
      <c r="S68" s="507"/>
      <c r="T68" s="507"/>
      <c r="U68" s="507"/>
      <c r="V68" s="508"/>
      <c r="W68" s="508"/>
      <c r="X68" s="508"/>
      <c r="Y68" s="508"/>
      <c r="Z68" s="508"/>
      <c r="AA68" s="508"/>
      <c r="AB68" s="508"/>
      <c r="AC68" s="508"/>
      <c r="AD68" s="509"/>
      <c r="AF68" s="84">
        <f>16*3000</f>
        <v>48000</v>
      </c>
    </row>
    <row r="69" spans="1:32" ht="27.75" thickBot="1">
      <c r="A69" s="510" t="s">
        <v>444</v>
      </c>
      <c r="B69" s="510"/>
      <c r="C69" s="510"/>
      <c r="D69" s="510"/>
      <c r="E69" s="510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4">
        <v>24000</v>
      </c>
    </row>
    <row r="70" spans="1:32" ht="29.25" customHeight="1" thickBot="1">
      <c r="A70" s="511" t="s">
        <v>111</v>
      </c>
      <c r="B70" s="512"/>
      <c r="C70" s="290" t="s">
        <v>2</v>
      </c>
      <c r="D70" s="290" t="s">
        <v>37</v>
      </c>
      <c r="E70" s="290" t="s">
        <v>3</v>
      </c>
      <c r="F70" s="512" t="s">
        <v>109</v>
      </c>
      <c r="G70" s="512"/>
      <c r="H70" s="512"/>
      <c r="I70" s="512"/>
      <c r="J70" s="512"/>
      <c r="K70" s="512" t="s">
        <v>39</v>
      </c>
      <c r="L70" s="512"/>
      <c r="M70" s="290" t="s">
        <v>40</v>
      </c>
      <c r="N70" s="512" t="s">
        <v>41</v>
      </c>
      <c r="O70" s="512"/>
      <c r="P70" s="513" t="s">
        <v>42</v>
      </c>
      <c r="Q70" s="514"/>
      <c r="R70" s="513" t="s">
        <v>43</v>
      </c>
      <c r="S70" s="515"/>
      <c r="T70" s="515"/>
      <c r="U70" s="515"/>
      <c r="V70" s="515"/>
      <c r="W70" s="515"/>
      <c r="X70" s="515"/>
      <c r="Y70" s="515"/>
      <c r="Z70" s="515"/>
      <c r="AA70" s="514"/>
      <c r="AB70" s="512" t="s">
        <v>44</v>
      </c>
      <c r="AC70" s="512"/>
      <c r="AD70" s="516"/>
      <c r="AF70" s="84">
        <f>SUM(AF67:AF69)</f>
        <v>96000</v>
      </c>
    </row>
    <row r="71" spans="1:32" ht="25.5" customHeight="1">
      <c r="A71" s="517">
        <v>1</v>
      </c>
      <c r="B71" s="518"/>
      <c r="C71" s="104" t="s">
        <v>446</v>
      </c>
      <c r="D71" s="285"/>
      <c r="E71" s="288" t="s">
        <v>447</v>
      </c>
      <c r="F71" s="519" t="s">
        <v>445</v>
      </c>
      <c r="G71" s="520"/>
      <c r="H71" s="520"/>
      <c r="I71" s="520"/>
      <c r="J71" s="521"/>
      <c r="K71" s="522" t="s">
        <v>448</v>
      </c>
      <c r="L71" s="522"/>
      <c r="M71" s="51" t="s">
        <v>449</v>
      </c>
      <c r="N71" s="523" t="s">
        <v>440</v>
      </c>
      <c r="O71" s="523"/>
      <c r="P71" s="524">
        <v>200</v>
      </c>
      <c r="Q71" s="524"/>
      <c r="R71" s="498"/>
      <c r="S71" s="498"/>
      <c r="T71" s="498"/>
      <c r="U71" s="498"/>
      <c r="V71" s="498"/>
      <c r="W71" s="498"/>
      <c r="X71" s="498"/>
      <c r="Y71" s="498"/>
      <c r="Z71" s="498"/>
      <c r="AA71" s="498"/>
      <c r="AB71" s="522"/>
      <c r="AC71" s="522"/>
      <c r="AD71" s="525"/>
      <c r="AF71" s="50"/>
    </row>
    <row r="72" spans="1:32" ht="25.5" customHeight="1">
      <c r="A72" s="517">
        <v>2</v>
      </c>
      <c r="B72" s="518"/>
      <c r="C72" s="104"/>
      <c r="D72" s="285"/>
      <c r="E72" s="288"/>
      <c r="F72" s="519"/>
      <c r="G72" s="520"/>
      <c r="H72" s="520"/>
      <c r="I72" s="520"/>
      <c r="J72" s="521"/>
      <c r="K72" s="522"/>
      <c r="L72" s="522"/>
      <c r="M72" s="51"/>
      <c r="N72" s="523"/>
      <c r="O72" s="523"/>
      <c r="P72" s="524"/>
      <c r="Q72" s="524"/>
      <c r="R72" s="498"/>
      <c r="S72" s="498"/>
      <c r="T72" s="498"/>
      <c r="U72" s="498"/>
      <c r="V72" s="498"/>
      <c r="W72" s="498"/>
      <c r="X72" s="498"/>
      <c r="Y72" s="498"/>
      <c r="Z72" s="498"/>
      <c r="AA72" s="498"/>
      <c r="AB72" s="522"/>
      <c r="AC72" s="522"/>
      <c r="AD72" s="525"/>
      <c r="AF72" s="50"/>
    </row>
    <row r="73" spans="1:32" ht="25.5" customHeight="1">
      <c r="A73" s="517">
        <v>3</v>
      </c>
      <c r="B73" s="518"/>
      <c r="C73" s="104"/>
      <c r="D73" s="285"/>
      <c r="E73" s="288"/>
      <c r="F73" s="519"/>
      <c r="G73" s="520"/>
      <c r="H73" s="520"/>
      <c r="I73" s="520"/>
      <c r="J73" s="521"/>
      <c r="K73" s="522"/>
      <c r="L73" s="522"/>
      <c r="M73" s="51"/>
      <c r="N73" s="523"/>
      <c r="O73" s="523"/>
      <c r="P73" s="524"/>
      <c r="Q73" s="524"/>
      <c r="R73" s="498"/>
      <c r="S73" s="498"/>
      <c r="T73" s="498"/>
      <c r="U73" s="498"/>
      <c r="V73" s="498"/>
      <c r="W73" s="498"/>
      <c r="X73" s="498"/>
      <c r="Y73" s="498"/>
      <c r="Z73" s="498"/>
      <c r="AA73" s="498"/>
      <c r="AB73" s="522"/>
      <c r="AC73" s="522"/>
      <c r="AD73" s="525"/>
      <c r="AF73" s="50"/>
    </row>
    <row r="74" spans="1:32" ht="25.5" customHeight="1">
      <c r="A74" s="517">
        <v>4</v>
      </c>
      <c r="B74" s="518"/>
      <c r="C74" s="104"/>
      <c r="D74" s="285"/>
      <c r="E74" s="288"/>
      <c r="F74" s="519"/>
      <c r="G74" s="520"/>
      <c r="H74" s="520"/>
      <c r="I74" s="520"/>
      <c r="J74" s="521"/>
      <c r="K74" s="522"/>
      <c r="L74" s="522"/>
      <c r="M74" s="51"/>
      <c r="N74" s="523"/>
      <c r="O74" s="523"/>
      <c r="P74" s="524"/>
      <c r="Q74" s="524"/>
      <c r="R74" s="498"/>
      <c r="S74" s="498"/>
      <c r="T74" s="498"/>
      <c r="U74" s="498"/>
      <c r="V74" s="498"/>
      <c r="W74" s="498"/>
      <c r="X74" s="498"/>
      <c r="Y74" s="498"/>
      <c r="Z74" s="498"/>
      <c r="AA74" s="498"/>
      <c r="AB74" s="522"/>
      <c r="AC74" s="522"/>
      <c r="AD74" s="525"/>
      <c r="AF74" s="50"/>
    </row>
    <row r="75" spans="1:32" ht="25.5" customHeight="1">
      <c r="A75" s="517">
        <v>5</v>
      </c>
      <c r="B75" s="518"/>
      <c r="C75" s="104"/>
      <c r="D75" s="285"/>
      <c r="E75" s="288"/>
      <c r="F75" s="519"/>
      <c r="G75" s="520"/>
      <c r="H75" s="520"/>
      <c r="I75" s="520"/>
      <c r="J75" s="521"/>
      <c r="K75" s="522"/>
      <c r="L75" s="522"/>
      <c r="M75" s="51"/>
      <c r="N75" s="523"/>
      <c r="O75" s="523"/>
      <c r="P75" s="524"/>
      <c r="Q75" s="524"/>
      <c r="R75" s="498"/>
      <c r="S75" s="498"/>
      <c r="T75" s="498"/>
      <c r="U75" s="498"/>
      <c r="V75" s="498"/>
      <c r="W75" s="498"/>
      <c r="X75" s="498"/>
      <c r="Y75" s="498"/>
      <c r="Z75" s="498"/>
      <c r="AA75" s="498"/>
      <c r="AB75" s="522"/>
      <c r="AC75" s="522"/>
      <c r="AD75" s="525"/>
      <c r="AF75" s="50"/>
    </row>
    <row r="76" spans="1:32" ht="25.5" customHeight="1">
      <c r="A76" s="517">
        <v>6</v>
      </c>
      <c r="B76" s="518"/>
      <c r="C76" s="104"/>
      <c r="D76" s="285"/>
      <c r="E76" s="288"/>
      <c r="F76" s="519"/>
      <c r="G76" s="520"/>
      <c r="H76" s="520"/>
      <c r="I76" s="520"/>
      <c r="J76" s="521"/>
      <c r="K76" s="522"/>
      <c r="L76" s="522"/>
      <c r="M76" s="51"/>
      <c r="N76" s="523"/>
      <c r="O76" s="523"/>
      <c r="P76" s="524"/>
      <c r="Q76" s="524"/>
      <c r="R76" s="498"/>
      <c r="S76" s="498"/>
      <c r="T76" s="498"/>
      <c r="U76" s="498"/>
      <c r="V76" s="498"/>
      <c r="W76" s="498"/>
      <c r="X76" s="498"/>
      <c r="Y76" s="498"/>
      <c r="Z76" s="498"/>
      <c r="AA76" s="498"/>
      <c r="AB76" s="522"/>
      <c r="AC76" s="522"/>
      <c r="AD76" s="525"/>
      <c r="AF76" s="50"/>
    </row>
    <row r="77" spans="1:32" ht="25.5" customHeight="1">
      <c r="A77" s="517">
        <v>7</v>
      </c>
      <c r="B77" s="518"/>
      <c r="C77" s="104"/>
      <c r="D77" s="285"/>
      <c r="E77" s="288"/>
      <c r="F77" s="519"/>
      <c r="G77" s="520"/>
      <c r="H77" s="520"/>
      <c r="I77" s="520"/>
      <c r="J77" s="521"/>
      <c r="K77" s="522"/>
      <c r="L77" s="522"/>
      <c r="M77" s="51"/>
      <c r="N77" s="523"/>
      <c r="O77" s="523"/>
      <c r="P77" s="524"/>
      <c r="Q77" s="524"/>
      <c r="R77" s="498"/>
      <c r="S77" s="498"/>
      <c r="T77" s="498"/>
      <c r="U77" s="498"/>
      <c r="V77" s="498"/>
      <c r="W77" s="498"/>
      <c r="X77" s="498"/>
      <c r="Y77" s="498"/>
      <c r="Z77" s="498"/>
      <c r="AA77" s="498"/>
      <c r="AB77" s="522"/>
      <c r="AC77" s="522"/>
      <c r="AD77" s="525"/>
      <c r="AF77" s="50"/>
    </row>
    <row r="78" spans="1:32" ht="25.5" customHeight="1">
      <c r="A78" s="517">
        <v>8</v>
      </c>
      <c r="B78" s="518"/>
      <c r="C78" s="104"/>
      <c r="D78" s="285"/>
      <c r="E78" s="288"/>
      <c r="F78" s="526"/>
      <c r="G78" s="522"/>
      <c r="H78" s="522"/>
      <c r="I78" s="522"/>
      <c r="J78" s="522"/>
      <c r="K78" s="522"/>
      <c r="L78" s="522"/>
      <c r="M78" s="51"/>
      <c r="N78" s="523"/>
      <c r="O78" s="523"/>
      <c r="P78" s="524"/>
      <c r="Q78" s="524"/>
      <c r="R78" s="498"/>
      <c r="S78" s="498"/>
      <c r="T78" s="498"/>
      <c r="U78" s="498"/>
      <c r="V78" s="498"/>
      <c r="W78" s="498"/>
      <c r="X78" s="498"/>
      <c r="Y78" s="498"/>
      <c r="Z78" s="498"/>
      <c r="AA78" s="498"/>
      <c r="AB78" s="522"/>
      <c r="AC78" s="522"/>
      <c r="AD78" s="525"/>
      <c r="AF78" s="50"/>
    </row>
    <row r="79" spans="1:32" ht="25.5" customHeight="1">
      <c r="A79" s="517">
        <v>9</v>
      </c>
      <c r="B79" s="518"/>
      <c r="C79" s="104"/>
      <c r="D79" s="285"/>
      <c r="E79" s="288"/>
      <c r="F79" s="526"/>
      <c r="G79" s="522"/>
      <c r="H79" s="522"/>
      <c r="I79" s="522"/>
      <c r="J79" s="522"/>
      <c r="K79" s="522"/>
      <c r="L79" s="522"/>
      <c r="M79" s="51"/>
      <c r="N79" s="523"/>
      <c r="O79" s="523"/>
      <c r="P79" s="524"/>
      <c r="Q79" s="524"/>
      <c r="R79" s="498"/>
      <c r="S79" s="498"/>
      <c r="T79" s="498"/>
      <c r="U79" s="498"/>
      <c r="V79" s="498"/>
      <c r="W79" s="498"/>
      <c r="X79" s="498"/>
      <c r="Y79" s="498"/>
      <c r="Z79" s="498"/>
      <c r="AA79" s="498"/>
      <c r="AB79" s="522"/>
      <c r="AC79" s="522"/>
      <c r="AD79" s="525"/>
      <c r="AF79" s="50"/>
    </row>
    <row r="80" spans="1:32" ht="25.5" customHeight="1">
      <c r="A80" s="517">
        <v>10</v>
      </c>
      <c r="B80" s="518"/>
      <c r="C80" s="104"/>
      <c r="D80" s="285"/>
      <c r="E80" s="288"/>
      <c r="F80" s="526"/>
      <c r="G80" s="522"/>
      <c r="H80" s="522"/>
      <c r="I80" s="522"/>
      <c r="J80" s="522"/>
      <c r="K80" s="522"/>
      <c r="L80" s="522"/>
      <c r="M80" s="51"/>
      <c r="N80" s="523"/>
      <c r="O80" s="523"/>
      <c r="P80" s="524"/>
      <c r="Q80" s="524"/>
      <c r="R80" s="498"/>
      <c r="S80" s="498"/>
      <c r="T80" s="498"/>
      <c r="U80" s="498"/>
      <c r="V80" s="498"/>
      <c r="W80" s="498"/>
      <c r="X80" s="498"/>
      <c r="Y80" s="498"/>
      <c r="Z80" s="498"/>
      <c r="AA80" s="498"/>
      <c r="AB80" s="522"/>
      <c r="AC80" s="522"/>
      <c r="AD80" s="525"/>
      <c r="AF80" s="50"/>
    </row>
    <row r="81" spans="1:32" ht="26.25" customHeight="1" thickBot="1">
      <c r="A81" s="527" t="s">
        <v>450</v>
      </c>
      <c r="B81" s="527"/>
      <c r="C81" s="527"/>
      <c r="D81" s="527"/>
      <c r="E81" s="527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528" t="s">
        <v>111</v>
      </c>
      <c r="B82" s="529"/>
      <c r="C82" s="287" t="s">
        <v>2</v>
      </c>
      <c r="D82" s="287" t="s">
        <v>37</v>
      </c>
      <c r="E82" s="287" t="s">
        <v>121</v>
      </c>
      <c r="F82" s="530" t="s">
        <v>38</v>
      </c>
      <c r="G82" s="530"/>
      <c r="H82" s="530"/>
      <c r="I82" s="530"/>
      <c r="J82" s="530"/>
      <c r="K82" s="531" t="s">
        <v>58</v>
      </c>
      <c r="L82" s="532"/>
      <c r="M82" s="532"/>
      <c r="N82" s="532"/>
      <c r="O82" s="532"/>
      <c r="P82" s="532"/>
      <c r="Q82" s="532"/>
      <c r="R82" s="532"/>
      <c r="S82" s="533"/>
      <c r="T82" s="530" t="s">
        <v>49</v>
      </c>
      <c r="U82" s="530"/>
      <c r="V82" s="531" t="s">
        <v>50</v>
      </c>
      <c r="W82" s="533"/>
      <c r="X82" s="532" t="s">
        <v>51</v>
      </c>
      <c r="Y82" s="532"/>
      <c r="Z82" s="532"/>
      <c r="AA82" s="532"/>
      <c r="AB82" s="532"/>
      <c r="AC82" s="532"/>
      <c r="AD82" s="534"/>
      <c r="AF82" s="50"/>
    </row>
    <row r="83" spans="1:32" ht="33.75" customHeight="1">
      <c r="A83" s="543">
        <v>1</v>
      </c>
      <c r="B83" s="544"/>
      <c r="C83" s="286"/>
      <c r="D83" s="286"/>
      <c r="E83" s="65"/>
      <c r="F83" s="545"/>
      <c r="G83" s="546"/>
      <c r="H83" s="546"/>
      <c r="I83" s="546"/>
      <c r="J83" s="547"/>
      <c r="K83" s="548"/>
      <c r="L83" s="549"/>
      <c r="M83" s="549"/>
      <c r="N83" s="549"/>
      <c r="O83" s="549"/>
      <c r="P83" s="549"/>
      <c r="Q83" s="549"/>
      <c r="R83" s="549"/>
      <c r="S83" s="550"/>
      <c r="T83" s="551"/>
      <c r="U83" s="552"/>
      <c r="V83" s="553"/>
      <c r="W83" s="553"/>
      <c r="X83" s="554"/>
      <c r="Y83" s="554"/>
      <c r="Z83" s="554"/>
      <c r="AA83" s="554"/>
      <c r="AB83" s="554"/>
      <c r="AC83" s="554"/>
      <c r="AD83" s="555"/>
      <c r="AF83" s="50"/>
    </row>
    <row r="84" spans="1:32" ht="30" customHeight="1">
      <c r="A84" s="535">
        <f>A83+1</f>
        <v>2</v>
      </c>
      <c r="B84" s="536"/>
      <c r="C84" s="285"/>
      <c r="D84" s="285"/>
      <c r="E84" s="32"/>
      <c r="F84" s="536"/>
      <c r="G84" s="536"/>
      <c r="H84" s="536"/>
      <c r="I84" s="536"/>
      <c r="J84" s="536"/>
      <c r="K84" s="537"/>
      <c r="L84" s="538"/>
      <c r="M84" s="538"/>
      <c r="N84" s="538"/>
      <c r="O84" s="538"/>
      <c r="P84" s="538"/>
      <c r="Q84" s="538"/>
      <c r="R84" s="538"/>
      <c r="S84" s="539"/>
      <c r="T84" s="540"/>
      <c r="U84" s="540"/>
      <c r="V84" s="540"/>
      <c r="W84" s="540"/>
      <c r="X84" s="541"/>
      <c r="Y84" s="541"/>
      <c r="Z84" s="541"/>
      <c r="AA84" s="541"/>
      <c r="AB84" s="541"/>
      <c r="AC84" s="541"/>
      <c r="AD84" s="542"/>
      <c r="AF84" s="50"/>
    </row>
    <row r="85" spans="1:32" ht="30" customHeight="1">
      <c r="A85" s="535">
        <f t="shared" ref="A85:A89" si="19">A84+1</f>
        <v>3</v>
      </c>
      <c r="B85" s="536"/>
      <c r="C85" s="285"/>
      <c r="D85" s="285"/>
      <c r="E85" s="32"/>
      <c r="F85" s="536"/>
      <c r="G85" s="536"/>
      <c r="H85" s="536"/>
      <c r="I85" s="536"/>
      <c r="J85" s="536"/>
      <c r="K85" s="537"/>
      <c r="L85" s="538"/>
      <c r="M85" s="538"/>
      <c r="N85" s="538"/>
      <c r="O85" s="538"/>
      <c r="P85" s="538"/>
      <c r="Q85" s="538"/>
      <c r="R85" s="538"/>
      <c r="S85" s="539"/>
      <c r="T85" s="540"/>
      <c r="U85" s="540"/>
      <c r="V85" s="540"/>
      <c r="W85" s="540"/>
      <c r="X85" s="541"/>
      <c r="Y85" s="541"/>
      <c r="Z85" s="541"/>
      <c r="AA85" s="541"/>
      <c r="AB85" s="541"/>
      <c r="AC85" s="541"/>
      <c r="AD85" s="542"/>
      <c r="AF85" s="50"/>
    </row>
    <row r="86" spans="1:32" ht="30" customHeight="1">
      <c r="A86" s="535">
        <f t="shared" si="19"/>
        <v>4</v>
      </c>
      <c r="B86" s="536"/>
      <c r="C86" s="285"/>
      <c r="D86" s="285"/>
      <c r="E86" s="32"/>
      <c r="F86" s="536"/>
      <c r="G86" s="536"/>
      <c r="H86" s="536"/>
      <c r="I86" s="536"/>
      <c r="J86" s="536"/>
      <c r="K86" s="537"/>
      <c r="L86" s="538"/>
      <c r="M86" s="538"/>
      <c r="N86" s="538"/>
      <c r="O86" s="538"/>
      <c r="P86" s="538"/>
      <c r="Q86" s="538"/>
      <c r="R86" s="538"/>
      <c r="S86" s="539"/>
      <c r="T86" s="540"/>
      <c r="U86" s="540"/>
      <c r="V86" s="540"/>
      <c r="W86" s="540"/>
      <c r="X86" s="541"/>
      <c r="Y86" s="541"/>
      <c r="Z86" s="541"/>
      <c r="AA86" s="541"/>
      <c r="AB86" s="541"/>
      <c r="AC86" s="541"/>
      <c r="AD86" s="542"/>
      <c r="AF86" s="50"/>
    </row>
    <row r="87" spans="1:32" ht="30" customHeight="1">
      <c r="A87" s="535">
        <f t="shared" si="19"/>
        <v>5</v>
      </c>
      <c r="B87" s="536"/>
      <c r="C87" s="285"/>
      <c r="D87" s="285"/>
      <c r="E87" s="32"/>
      <c r="F87" s="536"/>
      <c r="G87" s="536"/>
      <c r="H87" s="536"/>
      <c r="I87" s="536"/>
      <c r="J87" s="536"/>
      <c r="K87" s="537"/>
      <c r="L87" s="538"/>
      <c r="M87" s="538"/>
      <c r="N87" s="538"/>
      <c r="O87" s="538"/>
      <c r="P87" s="538"/>
      <c r="Q87" s="538"/>
      <c r="R87" s="538"/>
      <c r="S87" s="539"/>
      <c r="T87" s="540"/>
      <c r="U87" s="540"/>
      <c r="V87" s="540"/>
      <c r="W87" s="540"/>
      <c r="X87" s="541"/>
      <c r="Y87" s="541"/>
      <c r="Z87" s="541"/>
      <c r="AA87" s="541"/>
      <c r="AB87" s="541"/>
      <c r="AC87" s="541"/>
      <c r="AD87" s="542"/>
      <c r="AF87" s="50"/>
    </row>
    <row r="88" spans="1:32" ht="30" customHeight="1">
      <c r="A88" s="535">
        <f t="shared" si="19"/>
        <v>6</v>
      </c>
      <c r="B88" s="536"/>
      <c r="C88" s="285"/>
      <c r="D88" s="285"/>
      <c r="E88" s="32"/>
      <c r="F88" s="536"/>
      <c r="G88" s="536"/>
      <c r="H88" s="536"/>
      <c r="I88" s="536"/>
      <c r="J88" s="536"/>
      <c r="K88" s="537"/>
      <c r="L88" s="538"/>
      <c r="M88" s="538"/>
      <c r="N88" s="538"/>
      <c r="O88" s="538"/>
      <c r="P88" s="538"/>
      <c r="Q88" s="538"/>
      <c r="R88" s="538"/>
      <c r="S88" s="539"/>
      <c r="T88" s="540"/>
      <c r="U88" s="540"/>
      <c r="V88" s="540"/>
      <c r="W88" s="540"/>
      <c r="X88" s="541"/>
      <c r="Y88" s="541"/>
      <c r="Z88" s="541"/>
      <c r="AA88" s="541"/>
      <c r="AB88" s="541"/>
      <c r="AC88" s="541"/>
      <c r="AD88" s="542"/>
      <c r="AF88" s="50"/>
    </row>
    <row r="89" spans="1:32" ht="30" customHeight="1">
      <c r="A89" s="535">
        <f t="shared" si="19"/>
        <v>7</v>
      </c>
      <c r="B89" s="536"/>
      <c r="C89" s="285"/>
      <c r="D89" s="285"/>
      <c r="E89" s="32"/>
      <c r="F89" s="536"/>
      <c r="G89" s="536"/>
      <c r="H89" s="536"/>
      <c r="I89" s="536"/>
      <c r="J89" s="536"/>
      <c r="K89" s="537"/>
      <c r="L89" s="538"/>
      <c r="M89" s="538"/>
      <c r="N89" s="538"/>
      <c r="O89" s="538"/>
      <c r="P89" s="538"/>
      <c r="Q89" s="538"/>
      <c r="R89" s="538"/>
      <c r="S89" s="539"/>
      <c r="T89" s="540"/>
      <c r="U89" s="540"/>
      <c r="V89" s="540"/>
      <c r="W89" s="540"/>
      <c r="X89" s="541"/>
      <c r="Y89" s="541"/>
      <c r="Z89" s="541"/>
      <c r="AA89" s="541"/>
      <c r="AB89" s="541"/>
      <c r="AC89" s="541"/>
      <c r="AD89" s="542"/>
      <c r="AF89" s="50"/>
    </row>
    <row r="90" spans="1:32" ht="36" thickBot="1">
      <c r="A90" s="527" t="s">
        <v>451</v>
      </c>
      <c r="B90" s="527"/>
      <c r="C90" s="527"/>
      <c r="D90" s="527"/>
      <c r="E90" s="527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556" t="s">
        <v>111</v>
      </c>
      <c r="B91" s="530"/>
      <c r="C91" s="557" t="s">
        <v>52</v>
      </c>
      <c r="D91" s="557"/>
      <c r="E91" s="557" t="s">
        <v>53</v>
      </c>
      <c r="F91" s="557"/>
      <c r="G91" s="557"/>
      <c r="H91" s="557"/>
      <c r="I91" s="557"/>
      <c r="J91" s="557"/>
      <c r="K91" s="557" t="s">
        <v>54</v>
      </c>
      <c r="L91" s="557"/>
      <c r="M91" s="557"/>
      <c r="N91" s="557"/>
      <c r="O91" s="557"/>
      <c r="P91" s="557"/>
      <c r="Q91" s="557"/>
      <c r="R91" s="557"/>
      <c r="S91" s="557"/>
      <c r="T91" s="557" t="s">
        <v>55</v>
      </c>
      <c r="U91" s="557"/>
      <c r="V91" s="557" t="s">
        <v>56</v>
      </c>
      <c r="W91" s="557"/>
      <c r="X91" s="557"/>
      <c r="Y91" s="557" t="s">
        <v>51</v>
      </c>
      <c r="Z91" s="557"/>
      <c r="AA91" s="557"/>
      <c r="AB91" s="557"/>
      <c r="AC91" s="557"/>
      <c r="AD91" s="558"/>
      <c r="AF91" s="50"/>
    </row>
    <row r="92" spans="1:32" ht="30.75" customHeight="1">
      <c r="A92" s="543">
        <v>1</v>
      </c>
      <c r="B92" s="544"/>
      <c r="C92" s="559">
        <v>9</v>
      </c>
      <c r="D92" s="559"/>
      <c r="E92" s="559" t="s">
        <v>127</v>
      </c>
      <c r="F92" s="559"/>
      <c r="G92" s="559"/>
      <c r="H92" s="559"/>
      <c r="I92" s="559"/>
      <c r="J92" s="559"/>
      <c r="K92" s="559" t="s">
        <v>136</v>
      </c>
      <c r="L92" s="559"/>
      <c r="M92" s="559"/>
      <c r="N92" s="559"/>
      <c r="O92" s="559"/>
      <c r="P92" s="559"/>
      <c r="Q92" s="559"/>
      <c r="R92" s="559"/>
      <c r="S92" s="559"/>
      <c r="T92" s="559" t="s">
        <v>128</v>
      </c>
      <c r="U92" s="559"/>
      <c r="V92" s="560" t="s">
        <v>133</v>
      </c>
      <c r="W92" s="560"/>
      <c r="X92" s="560"/>
      <c r="Y92" s="561"/>
      <c r="Z92" s="561"/>
      <c r="AA92" s="561"/>
      <c r="AB92" s="561"/>
      <c r="AC92" s="561"/>
      <c r="AD92" s="562"/>
      <c r="AF92" s="50"/>
    </row>
    <row r="93" spans="1:32" ht="30.75" customHeight="1">
      <c r="A93" s="535">
        <v>2</v>
      </c>
      <c r="B93" s="536"/>
      <c r="C93" s="570"/>
      <c r="D93" s="570"/>
      <c r="E93" s="570"/>
      <c r="F93" s="570"/>
      <c r="G93" s="570"/>
      <c r="H93" s="570"/>
      <c r="I93" s="570"/>
      <c r="J93" s="570"/>
      <c r="K93" s="570"/>
      <c r="L93" s="570"/>
      <c r="M93" s="570"/>
      <c r="N93" s="570"/>
      <c r="O93" s="570"/>
      <c r="P93" s="570"/>
      <c r="Q93" s="570"/>
      <c r="R93" s="570"/>
      <c r="S93" s="570"/>
      <c r="T93" s="571"/>
      <c r="U93" s="571"/>
      <c r="V93" s="572"/>
      <c r="W93" s="572"/>
      <c r="X93" s="572"/>
      <c r="Y93" s="563"/>
      <c r="Z93" s="563"/>
      <c r="AA93" s="563"/>
      <c r="AB93" s="563"/>
      <c r="AC93" s="563"/>
      <c r="AD93" s="564"/>
      <c r="AF93" s="50"/>
    </row>
    <row r="94" spans="1:32" ht="30.75" customHeight="1" thickBot="1">
      <c r="A94" s="565">
        <v>3</v>
      </c>
      <c r="B94" s="566"/>
      <c r="C94" s="567"/>
      <c r="D94" s="567"/>
      <c r="E94" s="567"/>
      <c r="F94" s="567"/>
      <c r="G94" s="567"/>
      <c r="H94" s="567"/>
      <c r="I94" s="567"/>
      <c r="J94" s="567"/>
      <c r="K94" s="567"/>
      <c r="L94" s="567"/>
      <c r="M94" s="567"/>
      <c r="N94" s="567"/>
      <c r="O94" s="567"/>
      <c r="P94" s="567"/>
      <c r="Q94" s="567"/>
      <c r="R94" s="567"/>
      <c r="S94" s="567"/>
      <c r="T94" s="567"/>
      <c r="U94" s="567"/>
      <c r="V94" s="573"/>
      <c r="W94" s="573"/>
      <c r="X94" s="573"/>
      <c r="Y94" s="568"/>
      <c r="Z94" s="568"/>
      <c r="AA94" s="568"/>
      <c r="AB94" s="568"/>
      <c r="AC94" s="568"/>
      <c r="AD94" s="569"/>
      <c r="AF94" s="50"/>
    </row>
  </sheetData>
  <mergeCells count="232"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4" max="29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FF51-C519-42EE-806B-4EDD189AB959}">
  <dimension ref="A1:AF93"/>
  <sheetViews>
    <sheetView view="pageBreakPreview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50" t="s">
        <v>452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1"/>
      <c r="B3" s="451"/>
      <c r="C3" s="451"/>
      <c r="D3" s="451"/>
      <c r="E3" s="451"/>
      <c r="F3" s="451"/>
      <c r="G3" s="45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52" t="s">
        <v>0</v>
      </c>
      <c r="B4" s="454" t="s">
        <v>1</v>
      </c>
      <c r="C4" s="454" t="s">
        <v>2</v>
      </c>
      <c r="D4" s="457" t="s">
        <v>3</v>
      </c>
      <c r="E4" s="459" t="s">
        <v>4</v>
      </c>
      <c r="F4" s="457" t="s">
        <v>5</v>
      </c>
      <c r="G4" s="454" t="s">
        <v>6</v>
      </c>
      <c r="H4" s="460" t="s">
        <v>7</v>
      </c>
      <c r="I4" s="480" t="s">
        <v>8</v>
      </c>
      <c r="J4" s="481"/>
      <c r="K4" s="481"/>
      <c r="L4" s="481"/>
      <c r="M4" s="481"/>
      <c r="N4" s="481"/>
      <c r="O4" s="482"/>
      <c r="P4" s="483" t="s">
        <v>9</v>
      </c>
      <c r="Q4" s="484"/>
      <c r="R4" s="486" t="s">
        <v>10</v>
      </c>
      <c r="S4" s="485"/>
      <c r="T4" s="485"/>
      <c r="U4" s="485"/>
      <c r="V4" s="487"/>
      <c r="W4" s="485" t="s">
        <v>11</v>
      </c>
      <c r="X4" s="485"/>
      <c r="Y4" s="485"/>
      <c r="Z4" s="485"/>
      <c r="AA4" s="487"/>
      <c r="AB4" s="488" t="s">
        <v>12</v>
      </c>
      <c r="AC4" s="462" t="s">
        <v>13</v>
      </c>
      <c r="AD4" s="462" t="s">
        <v>14</v>
      </c>
      <c r="AE4" s="54"/>
    </row>
    <row r="5" spans="1:32" ht="51" customHeight="1" thickBot="1">
      <c r="A5" s="453"/>
      <c r="B5" s="455"/>
      <c r="C5" s="456"/>
      <c r="D5" s="458"/>
      <c r="E5" s="458"/>
      <c r="F5" s="458"/>
      <c r="G5" s="455"/>
      <c r="H5" s="461"/>
      <c r="I5" s="55" t="s">
        <v>15</v>
      </c>
      <c r="J5" s="56" t="s">
        <v>16</v>
      </c>
      <c r="K5" s="312" t="s">
        <v>17</v>
      </c>
      <c r="L5" s="312" t="s">
        <v>18</v>
      </c>
      <c r="M5" s="312" t="s">
        <v>19</v>
      </c>
      <c r="N5" s="31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89"/>
      <c r="AC5" s="463"/>
      <c r="AD5" s="463"/>
      <c r="AE5" s="54"/>
    </row>
    <row r="6" spans="1:32" ht="27" customHeight="1">
      <c r="A6" s="112">
        <v>1</v>
      </c>
      <c r="B6" s="11" t="s">
        <v>57</v>
      </c>
      <c r="C6" s="34" t="s">
        <v>116</v>
      </c>
      <c r="D6" s="52" t="s">
        <v>130</v>
      </c>
      <c r="E6" s="53" t="s">
        <v>158</v>
      </c>
      <c r="F6" s="30" t="s">
        <v>146</v>
      </c>
      <c r="G6" s="12">
        <v>2</v>
      </c>
      <c r="H6" s="13">
        <v>24</v>
      </c>
      <c r="I6" s="31">
        <v>174000</v>
      </c>
      <c r="J6" s="14">
        <v>13436</v>
      </c>
      <c r="K6" s="15">
        <f>L6+2384+8412+9776+8821+8774+10138+6972+8852+4388+11916+2738+3190+6210+12800+10648</f>
        <v>129455</v>
      </c>
      <c r="L6" s="15">
        <f>3635*2+3083*2</f>
        <v>13436</v>
      </c>
      <c r="M6" s="15">
        <f t="shared" ref="M6:M27" si="0">L6-N6</f>
        <v>13436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24</v>
      </c>
      <c r="Q6" s="40">
        <f t="shared" ref="Q6:Q27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1</v>
      </c>
      <c r="AD6" s="10">
        <f t="shared" ref="AD6:AD27" si="6">AC6*AB6*(1-O6)</f>
        <v>1</v>
      </c>
      <c r="AE6" s="36">
        <f t="shared" ref="AE6:AE27" si="7">$AD$28</f>
        <v>0.45075757575757575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130</v>
      </c>
      <c r="E7" s="53" t="s">
        <v>439</v>
      </c>
      <c r="F7" s="30" t="s">
        <v>146</v>
      </c>
      <c r="G7" s="12">
        <v>4</v>
      </c>
      <c r="H7" s="13">
        <v>24</v>
      </c>
      <c r="I7" s="31">
        <v>1000</v>
      </c>
      <c r="J7" s="14">
        <v>2076</v>
      </c>
      <c r="K7" s="15">
        <f>L7</f>
        <v>2076</v>
      </c>
      <c r="L7" s="15">
        <f>519*4</f>
        <v>2076</v>
      </c>
      <c r="M7" s="15">
        <f t="shared" si="0"/>
        <v>2076</v>
      </c>
      <c r="N7" s="15">
        <v>0</v>
      </c>
      <c r="O7" s="58">
        <f t="shared" si="1"/>
        <v>0</v>
      </c>
      <c r="P7" s="39">
        <f t="shared" si="2"/>
        <v>6</v>
      </c>
      <c r="Q7" s="40">
        <f t="shared" si="3"/>
        <v>18</v>
      </c>
      <c r="R7" s="7"/>
      <c r="S7" s="6"/>
      <c r="T7" s="16"/>
      <c r="U7" s="16"/>
      <c r="V7" s="17"/>
      <c r="W7" s="5">
        <v>18</v>
      </c>
      <c r="X7" s="16"/>
      <c r="Y7" s="16"/>
      <c r="Z7" s="16"/>
      <c r="AA7" s="18"/>
      <c r="AB7" s="8">
        <f t="shared" si="4"/>
        <v>1</v>
      </c>
      <c r="AC7" s="9">
        <f t="shared" si="5"/>
        <v>0.25</v>
      </c>
      <c r="AD7" s="10">
        <f t="shared" si="6"/>
        <v>0.25</v>
      </c>
      <c r="AE7" s="36">
        <f t="shared" si="7"/>
        <v>0.45075757575757575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116</v>
      </c>
      <c r="D8" s="52" t="s">
        <v>150</v>
      </c>
      <c r="E8" s="53" t="s">
        <v>442</v>
      </c>
      <c r="F8" s="30" t="s">
        <v>134</v>
      </c>
      <c r="G8" s="12">
        <v>1</v>
      </c>
      <c r="H8" s="13">
        <v>24</v>
      </c>
      <c r="I8" s="7">
        <v>500</v>
      </c>
      <c r="J8" s="14">
        <v>864</v>
      </c>
      <c r="K8" s="15">
        <f>L8</f>
        <v>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0.45075757575757575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116</v>
      </c>
      <c r="D9" s="52" t="s">
        <v>150</v>
      </c>
      <c r="E9" s="53" t="s">
        <v>355</v>
      </c>
      <c r="F9" s="30" t="s">
        <v>301</v>
      </c>
      <c r="G9" s="12">
        <v>1</v>
      </c>
      <c r="H9" s="13">
        <v>24</v>
      </c>
      <c r="I9" s="7">
        <v>24000</v>
      </c>
      <c r="J9" s="14">
        <v>4284</v>
      </c>
      <c r="K9" s="15">
        <f>L9+4426+4805+4815+3688+2021</f>
        <v>24039</v>
      </c>
      <c r="L9" s="15">
        <f>2206+2078</f>
        <v>4284</v>
      </c>
      <c r="M9" s="15">
        <f t="shared" si="0"/>
        <v>4284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0.45075757575757575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241</v>
      </c>
      <c r="D10" s="52"/>
      <c r="E10" s="53" t="s">
        <v>408</v>
      </c>
      <c r="F10" s="30" t="s">
        <v>362</v>
      </c>
      <c r="G10" s="33">
        <v>2</v>
      </c>
      <c r="H10" s="35">
        <v>24</v>
      </c>
      <c r="I10" s="7">
        <v>5000</v>
      </c>
      <c r="J10" s="14">
        <v>10162</v>
      </c>
      <c r="K10" s="15">
        <f>L10+10780+10162</f>
        <v>20942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0.45075757575757575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116</v>
      </c>
      <c r="D11" s="52" t="s">
        <v>124</v>
      </c>
      <c r="E11" s="53" t="s">
        <v>323</v>
      </c>
      <c r="F11" s="30" t="s">
        <v>134</v>
      </c>
      <c r="G11" s="33">
        <v>1</v>
      </c>
      <c r="H11" s="35">
        <v>24</v>
      </c>
      <c r="I11" s="7">
        <v>50000</v>
      </c>
      <c r="J11" s="14">
        <v>2071</v>
      </c>
      <c r="K11" s="15">
        <f>L11+420+2071</f>
        <v>2491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0.45075757575757575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403</v>
      </c>
      <c r="F12" s="30" t="s">
        <v>167</v>
      </c>
      <c r="G12" s="12">
        <v>1</v>
      </c>
      <c r="H12" s="13">
        <v>22</v>
      </c>
      <c r="I12" s="31">
        <v>70000</v>
      </c>
      <c r="J12" s="5">
        <v>6377</v>
      </c>
      <c r="K12" s="15">
        <f>L12+3050+5463+5497</f>
        <v>20387</v>
      </c>
      <c r="L12" s="15">
        <f>3828+2549</f>
        <v>6377</v>
      </c>
      <c r="M12" s="15">
        <f t="shared" si="0"/>
        <v>6377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0.45075757575757575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124</v>
      </c>
      <c r="E13" s="53" t="s">
        <v>453</v>
      </c>
      <c r="F13" s="30" t="s">
        <v>131</v>
      </c>
      <c r="G13" s="33">
        <v>2</v>
      </c>
      <c r="H13" s="35">
        <v>24</v>
      </c>
      <c r="I13" s="7">
        <v>30000</v>
      </c>
      <c r="J13" s="14">
        <v>12072</v>
      </c>
      <c r="K13" s="15">
        <f>L13</f>
        <v>12072</v>
      </c>
      <c r="L13" s="15">
        <f>2547*2+3489*2</f>
        <v>12072</v>
      </c>
      <c r="M13" s="15">
        <f t="shared" si="0"/>
        <v>12072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0.45075757575757575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369</v>
      </c>
      <c r="F14" s="30" t="s">
        <v>151</v>
      </c>
      <c r="G14" s="33">
        <v>1</v>
      </c>
      <c r="H14" s="35">
        <v>50</v>
      </c>
      <c r="I14" s="7">
        <v>1500</v>
      </c>
      <c r="J14" s="5">
        <v>446</v>
      </c>
      <c r="K14" s="15">
        <f>L14+716+757+921</f>
        <v>2840</v>
      </c>
      <c r="L14" s="15">
        <f>446</f>
        <v>446</v>
      </c>
      <c r="M14" s="15">
        <f t="shared" si="0"/>
        <v>446</v>
      </c>
      <c r="N14" s="15">
        <v>0</v>
      </c>
      <c r="O14" s="58">
        <f t="shared" si="1"/>
        <v>0</v>
      </c>
      <c r="P14" s="39">
        <f t="shared" si="2"/>
        <v>5</v>
      </c>
      <c r="Q14" s="40">
        <f t="shared" si="3"/>
        <v>19</v>
      </c>
      <c r="R14" s="7"/>
      <c r="S14" s="6"/>
      <c r="T14" s="16"/>
      <c r="U14" s="16"/>
      <c r="V14" s="17"/>
      <c r="W14" s="5">
        <v>19</v>
      </c>
      <c r="X14" s="16"/>
      <c r="Y14" s="16"/>
      <c r="Z14" s="16"/>
      <c r="AA14" s="18"/>
      <c r="AB14" s="8">
        <f t="shared" si="4"/>
        <v>1</v>
      </c>
      <c r="AC14" s="9">
        <f t="shared" si="5"/>
        <v>0.20833333333333334</v>
      </c>
      <c r="AD14" s="10">
        <f t="shared" si="6"/>
        <v>0.20833333333333334</v>
      </c>
      <c r="AE14" s="36">
        <f t="shared" si="7"/>
        <v>0.45075757575757575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123</v>
      </c>
      <c r="E15" s="53" t="s">
        <v>141</v>
      </c>
      <c r="F15" s="30" t="s">
        <v>135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0.45075757575757575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143</v>
      </c>
      <c r="D16" s="52" t="s">
        <v>115</v>
      </c>
      <c r="E16" s="53" t="s">
        <v>324</v>
      </c>
      <c r="F16" s="30" t="s">
        <v>362</v>
      </c>
      <c r="G16" s="12">
        <v>1</v>
      </c>
      <c r="H16" s="13">
        <v>24</v>
      </c>
      <c r="I16" s="7">
        <v>20000</v>
      </c>
      <c r="J16" s="14">
        <v>3124</v>
      </c>
      <c r="K16" s="15">
        <f>L16+5554+5953+5939+4717+5376</f>
        <v>30663</v>
      </c>
      <c r="L16" s="15">
        <f>2756+368</f>
        <v>3124</v>
      </c>
      <c r="M16" s="15">
        <f t="shared" si="0"/>
        <v>3124</v>
      </c>
      <c r="N16" s="15">
        <v>0</v>
      </c>
      <c r="O16" s="58">
        <f t="shared" si="1"/>
        <v>0</v>
      </c>
      <c r="P16" s="39">
        <f t="shared" si="2"/>
        <v>19</v>
      </c>
      <c r="Q16" s="40">
        <f t="shared" si="3"/>
        <v>5</v>
      </c>
      <c r="R16" s="7"/>
      <c r="S16" s="6"/>
      <c r="T16" s="16"/>
      <c r="U16" s="16"/>
      <c r="V16" s="17"/>
      <c r="W16" s="5">
        <v>5</v>
      </c>
      <c r="X16" s="16"/>
      <c r="Y16" s="16"/>
      <c r="Z16" s="16"/>
      <c r="AA16" s="18"/>
      <c r="AB16" s="8">
        <f t="shared" si="4"/>
        <v>1</v>
      </c>
      <c r="AC16" s="9">
        <f t="shared" si="5"/>
        <v>0.79166666666666663</v>
      </c>
      <c r="AD16" s="10">
        <f t="shared" si="6"/>
        <v>0.79166666666666663</v>
      </c>
      <c r="AE16" s="36">
        <f t="shared" si="7"/>
        <v>0.45075757575757575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143</v>
      </c>
      <c r="D17" s="52" t="s">
        <v>150</v>
      </c>
      <c r="E17" s="53" t="s">
        <v>159</v>
      </c>
      <c r="F17" s="30" t="s">
        <v>154</v>
      </c>
      <c r="G17" s="12">
        <v>3</v>
      </c>
      <c r="H17" s="13">
        <v>24</v>
      </c>
      <c r="I17" s="7">
        <v>260000</v>
      </c>
      <c r="J17" s="14">
        <v>10491</v>
      </c>
      <c r="K17" s="15">
        <f>L17+16128+16857+16941+16140+15960+17466+17355+17745+17910+17925+2610+16239+17901+14879+13701+18378+18492</f>
        <v>283118</v>
      </c>
      <c r="L17" s="15">
        <f>2854*3+643*3</f>
        <v>10491</v>
      </c>
      <c r="M17" s="15">
        <f t="shared" si="0"/>
        <v>10491</v>
      </c>
      <c r="N17" s="15">
        <v>0</v>
      </c>
      <c r="O17" s="58">
        <f t="shared" si="1"/>
        <v>0</v>
      </c>
      <c r="P17" s="39">
        <f t="shared" si="2"/>
        <v>20</v>
      </c>
      <c r="Q17" s="40">
        <f t="shared" si="3"/>
        <v>4</v>
      </c>
      <c r="R17" s="7"/>
      <c r="S17" s="6"/>
      <c r="T17" s="16"/>
      <c r="U17" s="16"/>
      <c r="V17" s="17"/>
      <c r="W17" s="5">
        <v>4</v>
      </c>
      <c r="X17" s="16"/>
      <c r="Y17" s="16"/>
      <c r="Z17" s="16"/>
      <c r="AA17" s="18"/>
      <c r="AB17" s="8">
        <f t="shared" si="4"/>
        <v>1</v>
      </c>
      <c r="AC17" s="9">
        <f t="shared" si="5"/>
        <v>0.83333333333333337</v>
      </c>
      <c r="AD17" s="10">
        <f t="shared" si="6"/>
        <v>0.83333333333333337</v>
      </c>
      <c r="AE17" s="36">
        <f t="shared" si="7"/>
        <v>0.45075757575757575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116</v>
      </c>
      <c r="D18" s="52" t="s">
        <v>124</v>
      </c>
      <c r="E18" s="53" t="s">
        <v>323</v>
      </c>
      <c r="F18" s="30" t="s">
        <v>134</v>
      </c>
      <c r="G18" s="33">
        <v>1</v>
      </c>
      <c r="H18" s="35">
        <v>24</v>
      </c>
      <c r="I18" s="7">
        <v>50000</v>
      </c>
      <c r="J18" s="14">
        <v>1986</v>
      </c>
      <c r="K18" s="15">
        <f>L18+4611+6255</f>
        <v>12852</v>
      </c>
      <c r="L18" s="15">
        <f>1821+165</f>
        <v>1986</v>
      </c>
      <c r="M18" s="15">
        <f t="shared" si="0"/>
        <v>1986</v>
      </c>
      <c r="N18" s="15">
        <v>0</v>
      </c>
      <c r="O18" s="58">
        <f t="shared" si="1"/>
        <v>0</v>
      </c>
      <c r="P18" s="39">
        <f t="shared" si="2"/>
        <v>10</v>
      </c>
      <c r="Q18" s="40">
        <f t="shared" si="3"/>
        <v>14</v>
      </c>
      <c r="R18" s="7"/>
      <c r="S18" s="6">
        <v>14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0.41666666666666669</v>
      </c>
      <c r="AD18" s="10">
        <f t="shared" si="6"/>
        <v>0.41666666666666669</v>
      </c>
      <c r="AE18" s="36">
        <f t="shared" si="7"/>
        <v>0.45075757575757575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142</v>
      </c>
      <c r="E19" s="53" t="s">
        <v>161</v>
      </c>
      <c r="F19" s="30" t="s">
        <v>134</v>
      </c>
      <c r="G19" s="33">
        <v>1</v>
      </c>
      <c r="H19" s="35">
        <v>24</v>
      </c>
      <c r="I19" s="7">
        <v>54000</v>
      </c>
      <c r="J19" s="14">
        <v>5307</v>
      </c>
      <c r="K19" s="15">
        <f>L19+5079+5307+3503+1179+3568+5398+5390</f>
        <v>34731</v>
      </c>
      <c r="L19" s="15">
        <f>2519+2788</f>
        <v>5307</v>
      </c>
      <c r="M19" s="15">
        <f t="shared" si="0"/>
        <v>5307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0.45075757575757575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116</v>
      </c>
      <c r="D20" s="52" t="s">
        <v>115</v>
      </c>
      <c r="E20" s="53" t="s">
        <v>356</v>
      </c>
      <c r="F20" s="30" t="s">
        <v>122</v>
      </c>
      <c r="G20" s="12">
        <v>1</v>
      </c>
      <c r="H20" s="13">
        <v>24</v>
      </c>
      <c r="I20" s="7">
        <v>24000</v>
      </c>
      <c r="J20" s="14">
        <v>5257</v>
      </c>
      <c r="K20" s="15">
        <f>L20+2446+5228+5223+3767+5214</f>
        <v>27135</v>
      </c>
      <c r="L20" s="15">
        <f>2413+2844</f>
        <v>5257</v>
      </c>
      <c r="M20" s="15">
        <f t="shared" si="0"/>
        <v>5257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0.45075757575757575</v>
      </c>
      <c r="AF20" s="84">
        <f t="shared" si="8"/>
        <v>15</v>
      </c>
    </row>
    <row r="21" spans="1:32" ht="27" customHeight="1">
      <c r="A21" s="96">
        <v>16</v>
      </c>
      <c r="B21" s="11" t="s">
        <v>57</v>
      </c>
      <c r="C21" s="11" t="s">
        <v>113</v>
      </c>
      <c r="D21" s="52"/>
      <c r="E21" s="53" t="s">
        <v>384</v>
      </c>
      <c r="F21" s="12" t="s">
        <v>114</v>
      </c>
      <c r="G21" s="12">
        <v>4</v>
      </c>
      <c r="H21" s="35">
        <v>20</v>
      </c>
      <c r="I21" s="7">
        <v>110000</v>
      </c>
      <c r="J21" s="14">
        <v>74076</v>
      </c>
      <c r="K21" s="15">
        <f>L21+33068+77956+67572+72180</f>
        <v>324852</v>
      </c>
      <c r="L21" s="15">
        <f>8378*4+10141*4</f>
        <v>74076</v>
      </c>
      <c r="M21" s="15">
        <f t="shared" si="0"/>
        <v>74076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0.45075757575757575</v>
      </c>
      <c r="AF21" s="84">
        <f t="shared" si="8"/>
        <v>16</v>
      </c>
    </row>
    <row r="22" spans="1:32" ht="27" customHeight="1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0.45075757575757575</v>
      </c>
      <c r="AF22" s="84">
        <f t="shared" si="8"/>
        <v>31</v>
      </c>
    </row>
    <row r="23" spans="1:32" ht="27" customHeight="1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0.45075757575757575</v>
      </c>
      <c r="AF23" s="84">
        <f t="shared" si="8"/>
        <v>32</v>
      </c>
    </row>
    <row r="24" spans="1:32" ht="27" customHeight="1">
      <c r="A24" s="96">
        <v>33</v>
      </c>
      <c r="B24" s="11" t="s">
        <v>57</v>
      </c>
      <c r="C24" s="11" t="s">
        <v>116</v>
      </c>
      <c r="D24" s="52" t="s">
        <v>150</v>
      </c>
      <c r="E24" s="53" t="s">
        <v>163</v>
      </c>
      <c r="F24" s="12" t="s">
        <v>145</v>
      </c>
      <c r="G24" s="12">
        <v>1</v>
      </c>
      <c r="H24" s="35">
        <v>20</v>
      </c>
      <c r="I24" s="7">
        <v>140000</v>
      </c>
      <c r="J24" s="14">
        <v>2397</v>
      </c>
      <c r="K24" s="15">
        <f>L24+4387+7770+5806+7905+7479+7369+7360</f>
        <v>50473</v>
      </c>
      <c r="L24" s="15">
        <v>2397</v>
      </c>
      <c r="M24" s="15">
        <f t="shared" si="0"/>
        <v>2397</v>
      </c>
      <c r="N24" s="15">
        <v>0</v>
      </c>
      <c r="O24" s="58">
        <f t="shared" si="1"/>
        <v>0</v>
      </c>
      <c r="P24" s="39">
        <f t="shared" si="2"/>
        <v>10</v>
      </c>
      <c r="Q24" s="40">
        <f t="shared" si="3"/>
        <v>14</v>
      </c>
      <c r="R24" s="7"/>
      <c r="S24" s="6">
        <v>14</v>
      </c>
      <c r="T24" s="16"/>
      <c r="U24" s="16"/>
      <c r="V24" s="206"/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0.41666666666666669</v>
      </c>
      <c r="AD24" s="10">
        <f t="shared" si="6"/>
        <v>0.41666666666666669</v>
      </c>
      <c r="AE24" s="36">
        <f t="shared" si="7"/>
        <v>0.45075757575757575</v>
      </c>
      <c r="AF24" s="84">
        <f t="shared" si="8"/>
        <v>33</v>
      </c>
    </row>
    <row r="25" spans="1:32" ht="27" customHeight="1">
      <c r="A25" s="96">
        <v>34</v>
      </c>
      <c r="B25" s="11" t="s">
        <v>57</v>
      </c>
      <c r="C25" s="11" t="s">
        <v>116</v>
      </c>
      <c r="D25" s="52" t="s">
        <v>150</v>
      </c>
      <c r="E25" s="53" t="s">
        <v>165</v>
      </c>
      <c r="F25" s="12" t="s">
        <v>135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206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0.45075757575757575</v>
      </c>
      <c r="AF25" s="84">
        <f t="shared" si="8"/>
        <v>34</v>
      </c>
    </row>
    <row r="26" spans="1:32" ht="27" customHeight="1">
      <c r="A26" s="96">
        <v>35</v>
      </c>
      <c r="B26" s="11" t="s">
        <v>57</v>
      </c>
      <c r="C26" s="11" t="s">
        <v>116</v>
      </c>
      <c r="D26" s="52" t="s">
        <v>123</v>
      </c>
      <c r="E26" s="53" t="s">
        <v>137</v>
      </c>
      <c r="F26" s="12" t="s">
        <v>135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206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0.45075757575757575</v>
      </c>
      <c r="AF26" s="84">
        <f t="shared" si="8"/>
        <v>35</v>
      </c>
    </row>
    <row r="27" spans="1:32" ht="27" customHeight="1" thickBot="1">
      <c r="A27" s="96">
        <v>36</v>
      </c>
      <c r="B27" s="11" t="s">
        <v>57</v>
      </c>
      <c r="C27" s="11" t="s">
        <v>380</v>
      </c>
      <c r="D27" s="52"/>
      <c r="E27" s="53" t="s">
        <v>381</v>
      </c>
      <c r="F27" s="12" t="s">
        <v>382</v>
      </c>
      <c r="G27" s="12">
        <v>32</v>
      </c>
      <c r="H27" s="35">
        <v>20</v>
      </c>
      <c r="I27" s="7">
        <v>700000</v>
      </c>
      <c r="J27" s="14">
        <v>89792</v>
      </c>
      <c r="K27" s="15">
        <f>L27+326528+448864+89792</f>
        <v>865184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206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0.45075757575757575</v>
      </c>
      <c r="AF27" s="84">
        <f t="shared" si="8"/>
        <v>36</v>
      </c>
    </row>
    <row r="28" spans="1:32" ht="31.5" customHeight="1" thickBot="1">
      <c r="A28" s="464" t="s">
        <v>34</v>
      </c>
      <c r="B28" s="465"/>
      <c r="C28" s="465"/>
      <c r="D28" s="465"/>
      <c r="E28" s="465"/>
      <c r="F28" s="465"/>
      <c r="G28" s="465"/>
      <c r="H28" s="466"/>
      <c r="I28" s="22">
        <f t="shared" ref="I28:N28" si="9">SUM(I6:I27)</f>
        <v>2206000</v>
      </c>
      <c r="J28" s="19">
        <f t="shared" si="9"/>
        <v>278162</v>
      </c>
      <c r="K28" s="20">
        <f t="shared" si="9"/>
        <v>2395310</v>
      </c>
      <c r="L28" s="21">
        <f t="shared" si="9"/>
        <v>141329</v>
      </c>
      <c r="M28" s="20">
        <f t="shared" si="9"/>
        <v>141329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238</v>
      </c>
      <c r="Q28" s="43">
        <f t="shared" si="10"/>
        <v>290</v>
      </c>
      <c r="R28" s="23">
        <f t="shared" si="10"/>
        <v>0</v>
      </c>
      <c r="S28" s="24">
        <f t="shared" si="10"/>
        <v>52</v>
      </c>
      <c r="T28" s="24">
        <f t="shared" si="10"/>
        <v>0</v>
      </c>
      <c r="U28" s="24">
        <f t="shared" si="10"/>
        <v>0</v>
      </c>
      <c r="V28" s="25">
        <f t="shared" si="10"/>
        <v>48</v>
      </c>
      <c r="W28" s="26">
        <f t="shared" si="10"/>
        <v>166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24</v>
      </c>
      <c r="AB28" s="28">
        <f>AVERAGE(AB6:AB27)</f>
        <v>0.65</v>
      </c>
      <c r="AC28" s="4">
        <f>AVERAGE(AC6:AC27)</f>
        <v>0.45075757575757575</v>
      </c>
      <c r="AD28" s="4">
        <f>AVERAGE(AD6:AD27)</f>
        <v>0.45075757575757575</v>
      </c>
      <c r="AE28" s="29"/>
    </row>
    <row r="29" spans="1:32">
      <c r="T29" s="50" t="s">
        <v>157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160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67" t="s">
        <v>45</v>
      </c>
      <c r="B55" s="467"/>
      <c r="C55" s="467"/>
      <c r="D55" s="467"/>
      <c r="E55" s="467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68" t="s">
        <v>454</v>
      </c>
      <c r="B56" s="469"/>
      <c r="C56" s="469"/>
      <c r="D56" s="469"/>
      <c r="E56" s="469"/>
      <c r="F56" s="469"/>
      <c r="G56" s="469"/>
      <c r="H56" s="469"/>
      <c r="I56" s="469"/>
      <c r="J56" s="469"/>
      <c r="K56" s="469"/>
      <c r="L56" s="469"/>
      <c r="M56" s="470"/>
      <c r="N56" s="471" t="s">
        <v>456</v>
      </c>
      <c r="O56" s="472"/>
      <c r="P56" s="472"/>
      <c r="Q56" s="472"/>
      <c r="R56" s="472"/>
      <c r="S56" s="472"/>
      <c r="T56" s="472"/>
      <c r="U56" s="472"/>
      <c r="V56" s="472"/>
      <c r="W56" s="472"/>
      <c r="X56" s="472"/>
      <c r="Y56" s="472"/>
      <c r="Z56" s="472"/>
      <c r="AA56" s="472"/>
      <c r="AB56" s="472"/>
      <c r="AC56" s="472"/>
      <c r="AD56" s="473"/>
    </row>
    <row r="57" spans="1:32" ht="27" customHeight="1">
      <c r="A57" s="474" t="s">
        <v>2</v>
      </c>
      <c r="B57" s="475"/>
      <c r="C57" s="311" t="s">
        <v>46</v>
      </c>
      <c r="D57" s="311" t="s">
        <v>47</v>
      </c>
      <c r="E57" s="311" t="s">
        <v>107</v>
      </c>
      <c r="F57" s="476" t="s">
        <v>106</v>
      </c>
      <c r="G57" s="477"/>
      <c r="H57" s="477"/>
      <c r="I57" s="477"/>
      <c r="J57" s="477"/>
      <c r="K57" s="477"/>
      <c r="L57" s="477"/>
      <c r="M57" s="478"/>
      <c r="N57" s="67" t="s">
        <v>110</v>
      </c>
      <c r="O57" s="311" t="s">
        <v>46</v>
      </c>
      <c r="P57" s="476" t="s">
        <v>47</v>
      </c>
      <c r="Q57" s="479"/>
      <c r="R57" s="476" t="s">
        <v>38</v>
      </c>
      <c r="S57" s="477"/>
      <c r="T57" s="477"/>
      <c r="U57" s="479"/>
      <c r="V57" s="476" t="s">
        <v>48</v>
      </c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500" t="s">
        <v>112</v>
      </c>
      <c r="B58" s="501"/>
      <c r="C58" s="306" t="s">
        <v>132</v>
      </c>
      <c r="D58" s="306" t="s">
        <v>130</v>
      </c>
      <c r="E58" s="307" t="s">
        <v>439</v>
      </c>
      <c r="F58" s="492" t="s">
        <v>455</v>
      </c>
      <c r="G58" s="493"/>
      <c r="H58" s="493"/>
      <c r="I58" s="493"/>
      <c r="J58" s="493"/>
      <c r="K58" s="493"/>
      <c r="L58" s="493"/>
      <c r="M58" s="494"/>
      <c r="N58" s="310" t="s">
        <v>116</v>
      </c>
      <c r="O58" s="304" t="s">
        <v>193</v>
      </c>
      <c r="P58" s="495" t="s">
        <v>150</v>
      </c>
      <c r="Q58" s="496"/>
      <c r="R58" s="495" t="s">
        <v>442</v>
      </c>
      <c r="S58" s="497"/>
      <c r="T58" s="497"/>
      <c r="U58" s="496"/>
      <c r="V58" s="498" t="s">
        <v>120</v>
      </c>
      <c r="W58" s="498"/>
      <c r="X58" s="498"/>
      <c r="Y58" s="498"/>
      <c r="Z58" s="498"/>
      <c r="AA58" s="498"/>
      <c r="AB58" s="498"/>
      <c r="AC58" s="498"/>
      <c r="AD58" s="499"/>
    </row>
    <row r="59" spans="1:32" ht="27" customHeight="1">
      <c r="A59" s="500" t="s">
        <v>116</v>
      </c>
      <c r="B59" s="501"/>
      <c r="C59" s="306" t="s">
        <v>175</v>
      </c>
      <c r="D59" s="306" t="s">
        <v>150</v>
      </c>
      <c r="E59" s="307" t="s">
        <v>355</v>
      </c>
      <c r="F59" s="492" t="s">
        <v>120</v>
      </c>
      <c r="G59" s="493"/>
      <c r="H59" s="493"/>
      <c r="I59" s="493"/>
      <c r="J59" s="493"/>
      <c r="K59" s="493"/>
      <c r="L59" s="493"/>
      <c r="M59" s="494"/>
      <c r="N59" s="310" t="s">
        <v>116</v>
      </c>
      <c r="O59" s="304" t="s">
        <v>175</v>
      </c>
      <c r="P59" s="495" t="s">
        <v>115</v>
      </c>
      <c r="Q59" s="496"/>
      <c r="R59" s="495" t="s">
        <v>457</v>
      </c>
      <c r="S59" s="497"/>
      <c r="T59" s="497"/>
      <c r="U59" s="496"/>
      <c r="V59" s="498" t="s">
        <v>125</v>
      </c>
      <c r="W59" s="498"/>
      <c r="X59" s="498"/>
      <c r="Y59" s="498"/>
      <c r="Z59" s="498"/>
      <c r="AA59" s="498"/>
      <c r="AB59" s="498"/>
      <c r="AC59" s="498"/>
      <c r="AD59" s="499"/>
    </row>
    <row r="60" spans="1:32" ht="27" customHeight="1">
      <c r="A60" s="500" t="s">
        <v>116</v>
      </c>
      <c r="B60" s="501"/>
      <c r="C60" s="306" t="s">
        <v>193</v>
      </c>
      <c r="D60" s="306" t="s">
        <v>150</v>
      </c>
      <c r="E60" s="307" t="s">
        <v>442</v>
      </c>
      <c r="F60" s="492" t="s">
        <v>330</v>
      </c>
      <c r="G60" s="493"/>
      <c r="H60" s="493"/>
      <c r="I60" s="493"/>
      <c r="J60" s="493"/>
      <c r="K60" s="493"/>
      <c r="L60" s="493"/>
      <c r="M60" s="494"/>
      <c r="N60" s="310" t="s">
        <v>116</v>
      </c>
      <c r="O60" s="304" t="s">
        <v>198</v>
      </c>
      <c r="P60" s="495" t="s">
        <v>173</v>
      </c>
      <c r="Q60" s="496"/>
      <c r="R60" s="495" t="s">
        <v>458</v>
      </c>
      <c r="S60" s="497"/>
      <c r="T60" s="497"/>
      <c r="U60" s="496"/>
      <c r="V60" s="498" t="s">
        <v>125</v>
      </c>
      <c r="W60" s="498"/>
      <c r="X60" s="498"/>
      <c r="Y60" s="498"/>
      <c r="Z60" s="498"/>
      <c r="AA60" s="498"/>
      <c r="AB60" s="498"/>
      <c r="AC60" s="498"/>
      <c r="AD60" s="499"/>
    </row>
    <row r="61" spans="1:32" ht="27" customHeight="1">
      <c r="A61" s="500" t="s">
        <v>112</v>
      </c>
      <c r="B61" s="501"/>
      <c r="C61" s="306" t="s">
        <v>259</v>
      </c>
      <c r="D61" s="306" t="s">
        <v>140</v>
      </c>
      <c r="E61" s="307" t="s">
        <v>438</v>
      </c>
      <c r="F61" s="492" t="s">
        <v>125</v>
      </c>
      <c r="G61" s="493"/>
      <c r="H61" s="493"/>
      <c r="I61" s="493"/>
      <c r="J61" s="493"/>
      <c r="K61" s="493"/>
      <c r="L61" s="493"/>
      <c r="M61" s="494"/>
      <c r="N61" s="310" t="s">
        <v>112</v>
      </c>
      <c r="O61" s="304" t="s">
        <v>206</v>
      </c>
      <c r="P61" s="495" t="s">
        <v>115</v>
      </c>
      <c r="Q61" s="496"/>
      <c r="R61" s="495" t="s">
        <v>459</v>
      </c>
      <c r="S61" s="497"/>
      <c r="T61" s="497"/>
      <c r="U61" s="496"/>
      <c r="V61" s="498" t="s">
        <v>125</v>
      </c>
      <c r="W61" s="498"/>
      <c r="X61" s="498"/>
      <c r="Y61" s="498"/>
      <c r="Z61" s="498"/>
      <c r="AA61" s="498"/>
      <c r="AB61" s="498"/>
      <c r="AC61" s="498"/>
      <c r="AD61" s="499"/>
    </row>
    <row r="62" spans="1:32" ht="27" customHeight="1">
      <c r="A62" s="500" t="s">
        <v>112</v>
      </c>
      <c r="B62" s="501"/>
      <c r="C62" s="306" t="s">
        <v>206</v>
      </c>
      <c r="D62" s="306" t="s">
        <v>115</v>
      </c>
      <c r="E62" s="307" t="s">
        <v>369</v>
      </c>
      <c r="F62" s="492" t="s">
        <v>120</v>
      </c>
      <c r="G62" s="493"/>
      <c r="H62" s="493"/>
      <c r="I62" s="493"/>
      <c r="J62" s="493"/>
      <c r="K62" s="493"/>
      <c r="L62" s="493"/>
      <c r="M62" s="494"/>
      <c r="N62" s="310" t="s">
        <v>112</v>
      </c>
      <c r="O62" s="304" t="s">
        <v>239</v>
      </c>
      <c r="P62" s="495" t="s">
        <v>115</v>
      </c>
      <c r="Q62" s="496"/>
      <c r="R62" s="495" t="s">
        <v>460</v>
      </c>
      <c r="S62" s="497"/>
      <c r="T62" s="497"/>
      <c r="U62" s="496"/>
      <c r="V62" s="498" t="s">
        <v>125</v>
      </c>
      <c r="W62" s="498"/>
      <c r="X62" s="498"/>
      <c r="Y62" s="498"/>
      <c r="Z62" s="498"/>
      <c r="AA62" s="498"/>
      <c r="AB62" s="498"/>
      <c r="AC62" s="498"/>
      <c r="AD62" s="499"/>
    </row>
    <row r="63" spans="1:32" ht="27" customHeight="1">
      <c r="A63" s="500" t="s">
        <v>116</v>
      </c>
      <c r="B63" s="501"/>
      <c r="C63" s="306" t="s">
        <v>286</v>
      </c>
      <c r="D63" s="306" t="s">
        <v>140</v>
      </c>
      <c r="E63" s="307" t="s">
        <v>323</v>
      </c>
      <c r="F63" s="492" t="s">
        <v>386</v>
      </c>
      <c r="G63" s="493"/>
      <c r="H63" s="493"/>
      <c r="I63" s="493"/>
      <c r="J63" s="493"/>
      <c r="K63" s="493"/>
      <c r="L63" s="493"/>
      <c r="M63" s="494"/>
      <c r="N63" s="310" t="s">
        <v>116</v>
      </c>
      <c r="O63" s="304" t="s">
        <v>286</v>
      </c>
      <c r="P63" s="495" t="s">
        <v>140</v>
      </c>
      <c r="Q63" s="496"/>
      <c r="R63" s="495" t="s">
        <v>323</v>
      </c>
      <c r="S63" s="497"/>
      <c r="T63" s="497"/>
      <c r="U63" s="496"/>
      <c r="V63" s="498" t="s">
        <v>120</v>
      </c>
      <c r="W63" s="498"/>
      <c r="X63" s="498"/>
      <c r="Y63" s="498"/>
      <c r="Z63" s="498"/>
      <c r="AA63" s="498"/>
      <c r="AB63" s="498"/>
      <c r="AC63" s="498"/>
      <c r="AD63" s="499"/>
    </row>
    <row r="64" spans="1:32" ht="27" customHeight="1">
      <c r="A64" s="490"/>
      <c r="B64" s="491"/>
      <c r="C64" s="307"/>
      <c r="D64" s="307"/>
      <c r="E64" s="307"/>
      <c r="F64" s="492"/>
      <c r="G64" s="493"/>
      <c r="H64" s="493"/>
      <c r="I64" s="493"/>
      <c r="J64" s="493"/>
      <c r="K64" s="493"/>
      <c r="L64" s="493"/>
      <c r="M64" s="494"/>
      <c r="N64" s="310"/>
      <c r="O64" s="304"/>
      <c r="P64" s="495"/>
      <c r="Q64" s="496"/>
      <c r="R64" s="495"/>
      <c r="S64" s="497"/>
      <c r="T64" s="497"/>
      <c r="U64" s="496"/>
      <c r="V64" s="498"/>
      <c r="W64" s="498"/>
      <c r="X64" s="498"/>
      <c r="Y64" s="498"/>
      <c r="Z64" s="498"/>
      <c r="AA64" s="498"/>
      <c r="AB64" s="498"/>
      <c r="AC64" s="498"/>
      <c r="AD64" s="499"/>
    </row>
    <row r="65" spans="1:32" ht="27" customHeight="1">
      <c r="A65" s="500"/>
      <c r="B65" s="501"/>
      <c r="C65" s="306"/>
      <c r="D65" s="306"/>
      <c r="E65" s="307"/>
      <c r="F65" s="492"/>
      <c r="G65" s="493"/>
      <c r="H65" s="493"/>
      <c r="I65" s="493"/>
      <c r="J65" s="493"/>
      <c r="K65" s="493"/>
      <c r="L65" s="493"/>
      <c r="M65" s="494"/>
      <c r="N65" s="310"/>
      <c r="O65" s="304"/>
      <c r="P65" s="495"/>
      <c r="Q65" s="496"/>
      <c r="R65" s="495"/>
      <c r="S65" s="497"/>
      <c r="T65" s="497"/>
      <c r="U65" s="496"/>
      <c r="V65" s="498"/>
      <c r="W65" s="498"/>
      <c r="X65" s="498"/>
      <c r="Y65" s="498"/>
      <c r="Z65" s="498"/>
      <c r="AA65" s="498"/>
      <c r="AB65" s="498"/>
      <c r="AC65" s="498"/>
      <c r="AD65" s="499"/>
    </row>
    <row r="66" spans="1:32" ht="27" customHeight="1">
      <c r="A66" s="500"/>
      <c r="B66" s="501"/>
      <c r="C66" s="306"/>
      <c r="D66" s="306"/>
      <c r="E66" s="307"/>
      <c r="F66" s="492"/>
      <c r="G66" s="493"/>
      <c r="H66" s="493"/>
      <c r="I66" s="493"/>
      <c r="J66" s="493"/>
      <c r="K66" s="493"/>
      <c r="L66" s="493"/>
      <c r="M66" s="494"/>
      <c r="N66" s="310"/>
      <c r="O66" s="304"/>
      <c r="P66" s="491"/>
      <c r="Q66" s="491"/>
      <c r="R66" s="491"/>
      <c r="S66" s="491"/>
      <c r="T66" s="491"/>
      <c r="U66" s="491"/>
      <c r="V66" s="498"/>
      <c r="W66" s="498"/>
      <c r="X66" s="498"/>
      <c r="Y66" s="498"/>
      <c r="Z66" s="498"/>
      <c r="AA66" s="498"/>
      <c r="AB66" s="498"/>
      <c r="AC66" s="498"/>
      <c r="AD66" s="499"/>
      <c r="AF66" s="84">
        <f>8*3000</f>
        <v>24000</v>
      </c>
    </row>
    <row r="67" spans="1:32" ht="27" customHeight="1" thickBot="1">
      <c r="A67" s="502"/>
      <c r="B67" s="503"/>
      <c r="C67" s="308"/>
      <c r="D67" s="309"/>
      <c r="E67" s="308"/>
      <c r="F67" s="504"/>
      <c r="G67" s="505"/>
      <c r="H67" s="505"/>
      <c r="I67" s="505"/>
      <c r="J67" s="505"/>
      <c r="K67" s="505"/>
      <c r="L67" s="505"/>
      <c r="M67" s="506"/>
      <c r="N67" s="111"/>
      <c r="O67" s="103"/>
      <c r="P67" s="507"/>
      <c r="Q67" s="507"/>
      <c r="R67" s="507"/>
      <c r="S67" s="507"/>
      <c r="T67" s="507"/>
      <c r="U67" s="507"/>
      <c r="V67" s="508"/>
      <c r="W67" s="508"/>
      <c r="X67" s="508"/>
      <c r="Y67" s="508"/>
      <c r="Z67" s="508"/>
      <c r="AA67" s="508"/>
      <c r="AB67" s="508"/>
      <c r="AC67" s="508"/>
      <c r="AD67" s="509"/>
      <c r="AF67" s="84">
        <f>16*3000</f>
        <v>48000</v>
      </c>
    </row>
    <row r="68" spans="1:32" ht="27.75" thickBot="1">
      <c r="A68" s="510" t="s">
        <v>461</v>
      </c>
      <c r="B68" s="510"/>
      <c r="C68" s="510"/>
      <c r="D68" s="510"/>
      <c r="E68" s="51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11" t="s">
        <v>111</v>
      </c>
      <c r="B69" s="512"/>
      <c r="C69" s="305" t="s">
        <v>2</v>
      </c>
      <c r="D69" s="305" t="s">
        <v>37</v>
      </c>
      <c r="E69" s="305" t="s">
        <v>3</v>
      </c>
      <c r="F69" s="512" t="s">
        <v>109</v>
      </c>
      <c r="G69" s="512"/>
      <c r="H69" s="512"/>
      <c r="I69" s="512"/>
      <c r="J69" s="512"/>
      <c r="K69" s="512" t="s">
        <v>39</v>
      </c>
      <c r="L69" s="512"/>
      <c r="M69" s="305" t="s">
        <v>40</v>
      </c>
      <c r="N69" s="512" t="s">
        <v>41</v>
      </c>
      <c r="O69" s="512"/>
      <c r="P69" s="513" t="s">
        <v>42</v>
      </c>
      <c r="Q69" s="514"/>
      <c r="R69" s="513" t="s">
        <v>43</v>
      </c>
      <c r="S69" s="515"/>
      <c r="T69" s="515"/>
      <c r="U69" s="515"/>
      <c r="V69" s="515"/>
      <c r="W69" s="515"/>
      <c r="X69" s="515"/>
      <c r="Y69" s="515"/>
      <c r="Z69" s="515"/>
      <c r="AA69" s="514"/>
      <c r="AB69" s="512" t="s">
        <v>44</v>
      </c>
      <c r="AC69" s="512"/>
      <c r="AD69" s="516"/>
      <c r="AF69" s="84">
        <f>SUM(AF66:AF68)</f>
        <v>96000</v>
      </c>
    </row>
    <row r="70" spans="1:32" ht="25.5" customHeight="1">
      <c r="A70" s="517">
        <v>1</v>
      </c>
      <c r="B70" s="518"/>
      <c r="C70" s="104" t="s">
        <v>143</v>
      </c>
      <c r="D70" s="300"/>
      <c r="E70" s="303" t="s">
        <v>150</v>
      </c>
      <c r="F70" s="519" t="s">
        <v>445</v>
      </c>
      <c r="G70" s="520"/>
      <c r="H70" s="520"/>
      <c r="I70" s="520"/>
      <c r="J70" s="521"/>
      <c r="K70" s="522" t="s">
        <v>154</v>
      </c>
      <c r="L70" s="522"/>
      <c r="M70" s="51" t="s">
        <v>178</v>
      </c>
      <c r="N70" s="523" t="s">
        <v>169</v>
      </c>
      <c r="O70" s="523"/>
      <c r="P70" s="524">
        <v>200</v>
      </c>
      <c r="Q70" s="524"/>
      <c r="R70" s="498"/>
      <c r="S70" s="498"/>
      <c r="T70" s="498"/>
      <c r="U70" s="498"/>
      <c r="V70" s="498"/>
      <c r="W70" s="498"/>
      <c r="X70" s="498"/>
      <c r="Y70" s="498"/>
      <c r="Z70" s="498"/>
      <c r="AA70" s="498"/>
      <c r="AB70" s="522"/>
      <c r="AC70" s="522"/>
      <c r="AD70" s="525"/>
      <c r="AF70" s="50"/>
    </row>
    <row r="71" spans="1:32" ht="25.5" customHeight="1">
      <c r="A71" s="517">
        <v>2</v>
      </c>
      <c r="B71" s="518"/>
      <c r="C71" s="104"/>
      <c r="D71" s="300"/>
      <c r="E71" s="303"/>
      <c r="F71" s="519"/>
      <c r="G71" s="520"/>
      <c r="H71" s="520"/>
      <c r="I71" s="520"/>
      <c r="J71" s="521"/>
      <c r="K71" s="522"/>
      <c r="L71" s="522"/>
      <c r="M71" s="51"/>
      <c r="N71" s="523"/>
      <c r="O71" s="523"/>
      <c r="P71" s="524"/>
      <c r="Q71" s="524"/>
      <c r="R71" s="498"/>
      <c r="S71" s="498"/>
      <c r="T71" s="498"/>
      <c r="U71" s="498"/>
      <c r="V71" s="498"/>
      <c r="W71" s="498"/>
      <c r="X71" s="498"/>
      <c r="Y71" s="498"/>
      <c r="Z71" s="498"/>
      <c r="AA71" s="498"/>
      <c r="AB71" s="522"/>
      <c r="AC71" s="522"/>
      <c r="AD71" s="525"/>
      <c r="AF71" s="50"/>
    </row>
    <row r="72" spans="1:32" ht="25.5" customHeight="1">
      <c r="A72" s="517">
        <v>3</v>
      </c>
      <c r="B72" s="518"/>
      <c r="C72" s="104"/>
      <c r="D72" s="300"/>
      <c r="E72" s="303"/>
      <c r="F72" s="519"/>
      <c r="G72" s="520"/>
      <c r="H72" s="520"/>
      <c r="I72" s="520"/>
      <c r="J72" s="521"/>
      <c r="K72" s="522"/>
      <c r="L72" s="522"/>
      <c r="M72" s="51"/>
      <c r="N72" s="523"/>
      <c r="O72" s="523"/>
      <c r="P72" s="524"/>
      <c r="Q72" s="524"/>
      <c r="R72" s="498"/>
      <c r="S72" s="498"/>
      <c r="T72" s="498"/>
      <c r="U72" s="498"/>
      <c r="V72" s="498"/>
      <c r="W72" s="498"/>
      <c r="X72" s="498"/>
      <c r="Y72" s="498"/>
      <c r="Z72" s="498"/>
      <c r="AA72" s="498"/>
      <c r="AB72" s="522"/>
      <c r="AC72" s="522"/>
      <c r="AD72" s="525"/>
      <c r="AF72" s="50"/>
    </row>
    <row r="73" spans="1:32" ht="25.5" customHeight="1">
      <c r="A73" s="517">
        <v>4</v>
      </c>
      <c r="B73" s="518"/>
      <c r="C73" s="104"/>
      <c r="D73" s="300"/>
      <c r="E73" s="303"/>
      <c r="F73" s="519"/>
      <c r="G73" s="520"/>
      <c r="H73" s="520"/>
      <c r="I73" s="520"/>
      <c r="J73" s="521"/>
      <c r="K73" s="522"/>
      <c r="L73" s="522"/>
      <c r="M73" s="51"/>
      <c r="N73" s="523"/>
      <c r="O73" s="523"/>
      <c r="P73" s="524"/>
      <c r="Q73" s="524"/>
      <c r="R73" s="498"/>
      <c r="S73" s="498"/>
      <c r="T73" s="498"/>
      <c r="U73" s="498"/>
      <c r="V73" s="498"/>
      <c r="W73" s="498"/>
      <c r="X73" s="498"/>
      <c r="Y73" s="498"/>
      <c r="Z73" s="498"/>
      <c r="AA73" s="498"/>
      <c r="AB73" s="522"/>
      <c r="AC73" s="522"/>
      <c r="AD73" s="525"/>
      <c r="AF73" s="50"/>
    </row>
    <row r="74" spans="1:32" ht="25.5" customHeight="1">
      <c r="A74" s="517">
        <v>5</v>
      </c>
      <c r="B74" s="518"/>
      <c r="C74" s="104"/>
      <c r="D74" s="300"/>
      <c r="E74" s="303"/>
      <c r="F74" s="519"/>
      <c r="G74" s="520"/>
      <c r="H74" s="520"/>
      <c r="I74" s="520"/>
      <c r="J74" s="521"/>
      <c r="K74" s="522"/>
      <c r="L74" s="522"/>
      <c r="M74" s="51"/>
      <c r="N74" s="523"/>
      <c r="O74" s="523"/>
      <c r="P74" s="524"/>
      <c r="Q74" s="524"/>
      <c r="R74" s="498"/>
      <c r="S74" s="498"/>
      <c r="T74" s="498"/>
      <c r="U74" s="498"/>
      <c r="V74" s="498"/>
      <c r="W74" s="498"/>
      <c r="X74" s="498"/>
      <c r="Y74" s="498"/>
      <c r="Z74" s="498"/>
      <c r="AA74" s="498"/>
      <c r="AB74" s="522"/>
      <c r="AC74" s="522"/>
      <c r="AD74" s="525"/>
      <c r="AF74" s="50"/>
    </row>
    <row r="75" spans="1:32" ht="25.5" customHeight="1">
      <c r="A75" s="517">
        <v>6</v>
      </c>
      <c r="B75" s="518"/>
      <c r="C75" s="104"/>
      <c r="D75" s="300"/>
      <c r="E75" s="303"/>
      <c r="F75" s="519"/>
      <c r="G75" s="520"/>
      <c r="H75" s="520"/>
      <c r="I75" s="520"/>
      <c r="J75" s="521"/>
      <c r="K75" s="522"/>
      <c r="L75" s="522"/>
      <c r="M75" s="51"/>
      <c r="N75" s="523"/>
      <c r="O75" s="523"/>
      <c r="P75" s="524"/>
      <c r="Q75" s="524"/>
      <c r="R75" s="498"/>
      <c r="S75" s="498"/>
      <c r="T75" s="498"/>
      <c r="U75" s="498"/>
      <c r="V75" s="498"/>
      <c r="W75" s="498"/>
      <c r="X75" s="498"/>
      <c r="Y75" s="498"/>
      <c r="Z75" s="498"/>
      <c r="AA75" s="498"/>
      <c r="AB75" s="522"/>
      <c r="AC75" s="522"/>
      <c r="AD75" s="525"/>
      <c r="AF75" s="50"/>
    </row>
    <row r="76" spans="1:32" ht="25.5" customHeight="1">
      <c r="A76" s="517">
        <v>7</v>
      </c>
      <c r="B76" s="518"/>
      <c r="C76" s="104"/>
      <c r="D76" s="300"/>
      <c r="E76" s="303"/>
      <c r="F76" s="519"/>
      <c r="G76" s="520"/>
      <c r="H76" s="520"/>
      <c r="I76" s="520"/>
      <c r="J76" s="521"/>
      <c r="K76" s="522"/>
      <c r="L76" s="522"/>
      <c r="M76" s="51"/>
      <c r="N76" s="523"/>
      <c r="O76" s="523"/>
      <c r="P76" s="524"/>
      <c r="Q76" s="524"/>
      <c r="R76" s="498"/>
      <c r="S76" s="498"/>
      <c r="T76" s="498"/>
      <c r="U76" s="498"/>
      <c r="V76" s="498"/>
      <c r="W76" s="498"/>
      <c r="X76" s="498"/>
      <c r="Y76" s="498"/>
      <c r="Z76" s="498"/>
      <c r="AA76" s="498"/>
      <c r="AB76" s="522"/>
      <c r="AC76" s="522"/>
      <c r="AD76" s="525"/>
      <c r="AF76" s="50"/>
    </row>
    <row r="77" spans="1:32" ht="25.5" customHeight="1">
      <c r="A77" s="517">
        <v>8</v>
      </c>
      <c r="B77" s="518"/>
      <c r="C77" s="104"/>
      <c r="D77" s="300"/>
      <c r="E77" s="303"/>
      <c r="F77" s="526"/>
      <c r="G77" s="522"/>
      <c r="H77" s="522"/>
      <c r="I77" s="522"/>
      <c r="J77" s="522"/>
      <c r="K77" s="522"/>
      <c r="L77" s="522"/>
      <c r="M77" s="51"/>
      <c r="N77" s="523"/>
      <c r="O77" s="523"/>
      <c r="P77" s="524"/>
      <c r="Q77" s="524"/>
      <c r="R77" s="498"/>
      <c r="S77" s="498"/>
      <c r="T77" s="498"/>
      <c r="U77" s="498"/>
      <c r="V77" s="498"/>
      <c r="W77" s="498"/>
      <c r="X77" s="498"/>
      <c r="Y77" s="498"/>
      <c r="Z77" s="498"/>
      <c r="AA77" s="498"/>
      <c r="AB77" s="522"/>
      <c r="AC77" s="522"/>
      <c r="AD77" s="525"/>
      <c r="AF77" s="50"/>
    </row>
    <row r="78" spans="1:32" ht="25.5" customHeight="1">
      <c r="A78" s="517">
        <v>9</v>
      </c>
      <c r="B78" s="518"/>
      <c r="C78" s="104"/>
      <c r="D78" s="300"/>
      <c r="E78" s="303"/>
      <c r="F78" s="526"/>
      <c r="G78" s="522"/>
      <c r="H78" s="522"/>
      <c r="I78" s="522"/>
      <c r="J78" s="522"/>
      <c r="K78" s="522"/>
      <c r="L78" s="522"/>
      <c r="M78" s="51"/>
      <c r="N78" s="523"/>
      <c r="O78" s="523"/>
      <c r="P78" s="524"/>
      <c r="Q78" s="524"/>
      <c r="R78" s="498"/>
      <c r="S78" s="498"/>
      <c r="T78" s="498"/>
      <c r="U78" s="498"/>
      <c r="V78" s="498"/>
      <c r="W78" s="498"/>
      <c r="X78" s="498"/>
      <c r="Y78" s="498"/>
      <c r="Z78" s="498"/>
      <c r="AA78" s="498"/>
      <c r="AB78" s="522"/>
      <c r="AC78" s="522"/>
      <c r="AD78" s="525"/>
      <c r="AF78" s="50"/>
    </row>
    <row r="79" spans="1:32" ht="25.5" customHeight="1">
      <c r="A79" s="517">
        <v>10</v>
      </c>
      <c r="B79" s="518"/>
      <c r="C79" s="104"/>
      <c r="D79" s="300"/>
      <c r="E79" s="303"/>
      <c r="F79" s="526"/>
      <c r="G79" s="522"/>
      <c r="H79" s="522"/>
      <c r="I79" s="522"/>
      <c r="J79" s="522"/>
      <c r="K79" s="522"/>
      <c r="L79" s="522"/>
      <c r="M79" s="51"/>
      <c r="N79" s="523"/>
      <c r="O79" s="523"/>
      <c r="P79" s="524"/>
      <c r="Q79" s="524"/>
      <c r="R79" s="498"/>
      <c r="S79" s="498"/>
      <c r="T79" s="498"/>
      <c r="U79" s="498"/>
      <c r="V79" s="498"/>
      <c r="W79" s="498"/>
      <c r="X79" s="498"/>
      <c r="Y79" s="498"/>
      <c r="Z79" s="498"/>
      <c r="AA79" s="498"/>
      <c r="AB79" s="522"/>
      <c r="AC79" s="522"/>
      <c r="AD79" s="525"/>
      <c r="AF79" s="50"/>
    </row>
    <row r="80" spans="1:32" ht="26.25" customHeight="1" thickBot="1">
      <c r="A80" s="527" t="s">
        <v>462</v>
      </c>
      <c r="B80" s="527"/>
      <c r="C80" s="527"/>
      <c r="D80" s="527"/>
      <c r="E80" s="527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528" t="s">
        <v>111</v>
      </c>
      <c r="B81" s="529"/>
      <c r="C81" s="302" t="s">
        <v>2</v>
      </c>
      <c r="D81" s="302" t="s">
        <v>37</v>
      </c>
      <c r="E81" s="302" t="s">
        <v>121</v>
      </c>
      <c r="F81" s="530" t="s">
        <v>38</v>
      </c>
      <c r="G81" s="530"/>
      <c r="H81" s="530"/>
      <c r="I81" s="530"/>
      <c r="J81" s="530"/>
      <c r="K81" s="531" t="s">
        <v>58</v>
      </c>
      <c r="L81" s="532"/>
      <c r="M81" s="532"/>
      <c r="N81" s="532"/>
      <c r="O81" s="532"/>
      <c r="P81" s="532"/>
      <c r="Q81" s="532"/>
      <c r="R81" s="532"/>
      <c r="S81" s="533"/>
      <c r="T81" s="530" t="s">
        <v>49</v>
      </c>
      <c r="U81" s="530"/>
      <c r="V81" s="531" t="s">
        <v>50</v>
      </c>
      <c r="W81" s="533"/>
      <c r="X81" s="532" t="s">
        <v>51</v>
      </c>
      <c r="Y81" s="532"/>
      <c r="Z81" s="532"/>
      <c r="AA81" s="532"/>
      <c r="AB81" s="532"/>
      <c r="AC81" s="532"/>
      <c r="AD81" s="534"/>
      <c r="AF81" s="50"/>
    </row>
    <row r="82" spans="1:32" ht="33.75" customHeight="1">
      <c r="A82" s="543">
        <v>1</v>
      </c>
      <c r="B82" s="544"/>
      <c r="C82" s="301"/>
      <c r="D82" s="301"/>
      <c r="E82" s="65"/>
      <c r="F82" s="545"/>
      <c r="G82" s="546"/>
      <c r="H82" s="546"/>
      <c r="I82" s="546"/>
      <c r="J82" s="547"/>
      <c r="K82" s="548"/>
      <c r="L82" s="549"/>
      <c r="M82" s="549"/>
      <c r="N82" s="549"/>
      <c r="O82" s="549"/>
      <c r="P82" s="549"/>
      <c r="Q82" s="549"/>
      <c r="R82" s="549"/>
      <c r="S82" s="550"/>
      <c r="T82" s="551"/>
      <c r="U82" s="552"/>
      <c r="V82" s="553"/>
      <c r="W82" s="553"/>
      <c r="X82" s="554"/>
      <c r="Y82" s="554"/>
      <c r="Z82" s="554"/>
      <c r="AA82" s="554"/>
      <c r="AB82" s="554"/>
      <c r="AC82" s="554"/>
      <c r="AD82" s="555"/>
      <c r="AF82" s="50"/>
    </row>
    <row r="83" spans="1:32" ht="30" customHeight="1">
      <c r="A83" s="535">
        <f>A82+1</f>
        <v>2</v>
      </c>
      <c r="B83" s="536"/>
      <c r="C83" s="300"/>
      <c r="D83" s="300"/>
      <c r="E83" s="32"/>
      <c r="F83" s="536"/>
      <c r="G83" s="536"/>
      <c r="H83" s="536"/>
      <c r="I83" s="536"/>
      <c r="J83" s="536"/>
      <c r="K83" s="537"/>
      <c r="L83" s="538"/>
      <c r="M83" s="538"/>
      <c r="N83" s="538"/>
      <c r="O83" s="538"/>
      <c r="P83" s="538"/>
      <c r="Q83" s="538"/>
      <c r="R83" s="538"/>
      <c r="S83" s="539"/>
      <c r="T83" s="540"/>
      <c r="U83" s="540"/>
      <c r="V83" s="540"/>
      <c r="W83" s="540"/>
      <c r="X83" s="541"/>
      <c r="Y83" s="541"/>
      <c r="Z83" s="541"/>
      <c r="AA83" s="541"/>
      <c r="AB83" s="541"/>
      <c r="AC83" s="541"/>
      <c r="AD83" s="542"/>
      <c r="AF83" s="50"/>
    </row>
    <row r="84" spans="1:32" ht="30" customHeight="1">
      <c r="A84" s="535">
        <f t="shared" ref="A84:A88" si="11">A83+1</f>
        <v>3</v>
      </c>
      <c r="B84" s="536"/>
      <c r="C84" s="300"/>
      <c r="D84" s="300"/>
      <c r="E84" s="32"/>
      <c r="F84" s="536"/>
      <c r="G84" s="536"/>
      <c r="H84" s="536"/>
      <c r="I84" s="536"/>
      <c r="J84" s="536"/>
      <c r="K84" s="537"/>
      <c r="L84" s="538"/>
      <c r="M84" s="538"/>
      <c r="N84" s="538"/>
      <c r="O84" s="538"/>
      <c r="P84" s="538"/>
      <c r="Q84" s="538"/>
      <c r="R84" s="538"/>
      <c r="S84" s="539"/>
      <c r="T84" s="540"/>
      <c r="U84" s="540"/>
      <c r="V84" s="540"/>
      <c r="W84" s="540"/>
      <c r="X84" s="541"/>
      <c r="Y84" s="541"/>
      <c r="Z84" s="541"/>
      <c r="AA84" s="541"/>
      <c r="AB84" s="541"/>
      <c r="AC84" s="541"/>
      <c r="AD84" s="542"/>
      <c r="AF84" s="50"/>
    </row>
    <row r="85" spans="1:32" ht="30" customHeight="1">
      <c r="A85" s="535">
        <f t="shared" si="11"/>
        <v>4</v>
      </c>
      <c r="B85" s="536"/>
      <c r="C85" s="300"/>
      <c r="D85" s="300"/>
      <c r="E85" s="32"/>
      <c r="F85" s="536"/>
      <c r="G85" s="536"/>
      <c r="H85" s="536"/>
      <c r="I85" s="536"/>
      <c r="J85" s="536"/>
      <c r="K85" s="537"/>
      <c r="L85" s="538"/>
      <c r="M85" s="538"/>
      <c r="N85" s="538"/>
      <c r="O85" s="538"/>
      <c r="P85" s="538"/>
      <c r="Q85" s="538"/>
      <c r="R85" s="538"/>
      <c r="S85" s="539"/>
      <c r="T85" s="540"/>
      <c r="U85" s="540"/>
      <c r="V85" s="540"/>
      <c r="W85" s="540"/>
      <c r="X85" s="541"/>
      <c r="Y85" s="541"/>
      <c r="Z85" s="541"/>
      <c r="AA85" s="541"/>
      <c r="AB85" s="541"/>
      <c r="AC85" s="541"/>
      <c r="AD85" s="542"/>
      <c r="AF85" s="50"/>
    </row>
    <row r="86" spans="1:32" ht="30" customHeight="1">
      <c r="A86" s="535">
        <f t="shared" si="11"/>
        <v>5</v>
      </c>
      <c r="B86" s="536"/>
      <c r="C86" s="300"/>
      <c r="D86" s="300"/>
      <c r="E86" s="32"/>
      <c r="F86" s="536"/>
      <c r="G86" s="536"/>
      <c r="H86" s="536"/>
      <c r="I86" s="536"/>
      <c r="J86" s="536"/>
      <c r="K86" s="537"/>
      <c r="L86" s="538"/>
      <c r="M86" s="538"/>
      <c r="N86" s="538"/>
      <c r="O86" s="538"/>
      <c r="P86" s="538"/>
      <c r="Q86" s="538"/>
      <c r="R86" s="538"/>
      <c r="S86" s="539"/>
      <c r="T86" s="540"/>
      <c r="U86" s="540"/>
      <c r="V86" s="540"/>
      <c r="W86" s="540"/>
      <c r="X86" s="541"/>
      <c r="Y86" s="541"/>
      <c r="Z86" s="541"/>
      <c r="AA86" s="541"/>
      <c r="AB86" s="541"/>
      <c r="AC86" s="541"/>
      <c r="AD86" s="542"/>
      <c r="AF86" s="50"/>
    </row>
    <row r="87" spans="1:32" ht="30" customHeight="1">
      <c r="A87" s="535">
        <f t="shared" si="11"/>
        <v>6</v>
      </c>
      <c r="B87" s="536"/>
      <c r="C87" s="300"/>
      <c r="D87" s="300"/>
      <c r="E87" s="32"/>
      <c r="F87" s="536"/>
      <c r="G87" s="536"/>
      <c r="H87" s="536"/>
      <c r="I87" s="536"/>
      <c r="J87" s="536"/>
      <c r="K87" s="537"/>
      <c r="L87" s="538"/>
      <c r="M87" s="538"/>
      <c r="N87" s="538"/>
      <c r="O87" s="538"/>
      <c r="P87" s="538"/>
      <c r="Q87" s="538"/>
      <c r="R87" s="538"/>
      <c r="S87" s="539"/>
      <c r="T87" s="540"/>
      <c r="U87" s="540"/>
      <c r="V87" s="540"/>
      <c r="W87" s="540"/>
      <c r="X87" s="541"/>
      <c r="Y87" s="541"/>
      <c r="Z87" s="541"/>
      <c r="AA87" s="541"/>
      <c r="AB87" s="541"/>
      <c r="AC87" s="541"/>
      <c r="AD87" s="542"/>
      <c r="AF87" s="50"/>
    </row>
    <row r="88" spans="1:32" ht="30" customHeight="1">
      <c r="A88" s="535">
        <f t="shared" si="11"/>
        <v>7</v>
      </c>
      <c r="B88" s="536"/>
      <c r="C88" s="300"/>
      <c r="D88" s="300"/>
      <c r="E88" s="32"/>
      <c r="F88" s="536"/>
      <c r="G88" s="536"/>
      <c r="H88" s="536"/>
      <c r="I88" s="536"/>
      <c r="J88" s="536"/>
      <c r="K88" s="537"/>
      <c r="L88" s="538"/>
      <c r="M88" s="538"/>
      <c r="N88" s="538"/>
      <c r="O88" s="538"/>
      <c r="P88" s="538"/>
      <c r="Q88" s="538"/>
      <c r="R88" s="538"/>
      <c r="S88" s="539"/>
      <c r="T88" s="540"/>
      <c r="U88" s="540"/>
      <c r="V88" s="540"/>
      <c r="W88" s="540"/>
      <c r="X88" s="541"/>
      <c r="Y88" s="541"/>
      <c r="Z88" s="541"/>
      <c r="AA88" s="541"/>
      <c r="AB88" s="541"/>
      <c r="AC88" s="541"/>
      <c r="AD88" s="542"/>
      <c r="AF88" s="50"/>
    </row>
    <row r="89" spans="1:32" ht="36" thickBot="1">
      <c r="A89" s="527" t="s">
        <v>463</v>
      </c>
      <c r="B89" s="527"/>
      <c r="C89" s="527"/>
      <c r="D89" s="527"/>
      <c r="E89" s="527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56" t="s">
        <v>111</v>
      </c>
      <c r="B90" s="530"/>
      <c r="C90" s="557" t="s">
        <v>52</v>
      </c>
      <c r="D90" s="557"/>
      <c r="E90" s="557" t="s">
        <v>53</v>
      </c>
      <c r="F90" s="557"/>
      <c r="G90" s="557"/>
      <c r="H90" s="557"/>
      <c r="I90" s="557"/>
      <c r="J90" s="557"/>
      <c r="K90" s="557" t="s">
        <v>54</v>
      </c>
      <c r="L90" s="557"/>
      <c r="M90" s="557"/>
      <c r="N90" s="557"/>
      <c r="O90" s="557"/>
      <c r="P90" s="557"/>
      <c r="Q90" s="557"/>
      <c r="R90" s="557"/>
      <c r="S90" s="557"/>
      <c r="T90" s="557" t="s">
        <v>55</v>
      </c>
      <c r="U90" s="557"/>
      <c r="V90" s="557" t="s">
        <v>56</v>
      </c>
      <c r="W90" s="557"/>
      <c r="X90" s="557"/>
      <c r="Y90" s="557" t="s">
        <v>51</v>
      </c>
      <c r="Z90" s="557"/>
      <c r="AA90" s="557"/>
      <c r="AB90" s="557"/>
      <c r="AC90" s="557"/>
      <c r="AD90" s="558"/>
      <c r="AF90" s="50"/>
    </row>
    <row r="91" spans="1:32" ht="30.75" customHeight="1">
      <c r="A91" s="543">
        <v>1</v>
      </c>
      <c r="B91" s="544"/>
      <c r="C91" s="559">
        <v>9</v>
      </c>
      <c r="D91" s="559"/>
      <c r="E91" s="559" t="s">
        <v>127</v>
      </c>
      <c r="F91" s="559"/>
      <c r="G91" s="559"/>
      <c r="H91" s="559"/>
      <c r="I91" s="559"/>
      <c r="J91" s="559"/>
      <c r="K91" s="559" t="s">
        <v>136</v>
      </c>
      <c r="L91" s="559"/>
      <c r="M91" s="559"/>
      <c r="N91" s="559"/>
      <c r="O91" s="559"/>
      <c r="P91" s="559"/>
      <c r="Q91" s="559"/>
      <c r="R91" s="559"/>
      <c r="S91" s="559"/>
      <c r="T91" s="559" t="s">
        <v>128</v>
      </c>
      <c r="U91" s="559"/>
      <c r="V91" s="560" t="s">
        <v>133</v>
      </c>
      <c r="W91" s="560"/>
      <c r="X91" s="560"/>
      <c r="Y91" s="561"/>
      <c r="Z91" s="561"/>
      <c r="AA91" s="561"/>
      <c r="AB91" s="561"/>
      <c r="AC91" s="561"/>
      <c r="AD91" s="562"/>
      <c r="AF91" s="50"/>
    </row>
    <row r="92" spans="1:32" ht="30.75" customHeight="1">
      <c r="A92" s="535">
        <v>2</v>
      </c>
      <c r="B92" s="536"/>
      <c r="C92" s="570"/>
      <c r="D92" s="570"/>
      <c r="E92" s="570"/>
      <c r="F92" s="570"/>
      <c r="G92" s="570"/>
      <c r="H92" s="570"/>
      <c r="I92" s="570"/>
      <c r="J92" s="570"/>
      <c r="K92" s="570"/>
      <c r="L92" s="570"/>
      <c r="M92" s="570"/>
      <c r="N92" s="570"/>
      <c r="O92" s="570"/>
      <c r="P92" s="570"/>
      <c r="Q92" s="570"/>
      <c r="R92" s="570"/>
      <c r="S92" s="570"/>
      <c r="T92" s="571"/>
      <c r="U92" s="571"/>
      <c r="V92" s="572"/>
      <c r="W92" s="572"/>
      <c r="X92" s="572"/>
      <c r="Y92" s="563"/>
      <c r="Z92" s="563"/>
      <c r="AA92" s="563"/>
      <c r="AB92" s="563"/>
      <c r="AC92" s="563"/>
      <c r="AD92" s="564"/>
      <c r="AF92" s="50"/>
    </row>
    <row r="93" spans="1:32" ht="30.75" customHeight="1" thickBot="1">
      <c r="A93" s="565">
        <v>3</v>
      </c>
      <c r="B93" s="566"/>
      <c r="C93" s="567"/>
      <c r="D93" s="567"/>
      <c r="E93" s="567"/>
      <c r="F93" s="567"/>
      <c r="G93" s="567"/>
      <c r="H93" s="567"/>
      <c r="I93" s="567"/>
      <c r="J93" s="567"/>
      <c r="K93" s="567"/>
      <c r="L93" s="567"/>
      <c r="M93" s="567"/>
      <c r="N93" s="567"/>
      <c r="O93" s="567"/>
      <c r="P93" s="567"/>
      <c r="Q93" s="567"/>
      <c r="R93" s="567"/>
      <c r="S93" s="567"/>
      <c r="T93" s="567"/>
      <c r="U93" s="567"/>
      <c r="V93" s="573"/>
      <c r="W93" s="573"/>
      <c r="X93" s="573"/>
      <c r="Y93" s="568"/>
      <c r="Z93" s="568"/>
      <c r="AA93" s="568"/>
      <c r="AB93" s="568"/>
      <c r="AC93" s="568"/>
      <c r="AD93" s="569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3" max="29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8082-A91F-4B6D-8FA8-536BBF2E9CED}">
  <dimension ref="A1:AF93"/>
  <sheetViews>
    <sheetView view="pageBreakPreview" zoomScale="70" zoomScaleNormal="72" zoomScaleSheetLayoutView="70" workbookViewId="0">
      <selection activeCell="K85" sqref="K85:S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50" t="s">
        <v>464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1"/>
      <c r="B3" s="451"/>
      <c r="C3" s="451"/>
      <c r="D3" s="451"/>
      <c r="E3" s="451"/>
      <c r="F3" s="451"/>
      <c r="G3" s="45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52" t="s">
        <v>0</v>
      </c>
      <c r="B4" s="454" t="s">
        <v>1</v>
      </c>
      <c r="C4" s="454" t="s">
        <v>2</v>
      </c>
      <c r="D4" s="457" t="s">
        <v>3</v>
      </c>
      <c r="E4" s="459" t="s">
        <v>4</v>
      </c>
      <c r="F4" s="457" t="s">
        <v>5</v>
      </c>
      <c r="G4" s="454" t="s">
        <v>6</v>
      </c>
      <c r="H4" s="460" t="s">
        <v>7</v>
      </c>
      <c r="I4" s="480" t="s">
        <v>8</v>
      </c>
      <c r="J4" s="481"/>
      <c r="K4" s="481"/>
      <c r="L4" s="481"/>
      <c r="M4" s="481"/>
      <c r="N4" s="481"/>
      <c r="O4" s="482"/>
      <c r="P4" s="483" t="s">
        <v>9</v>
      </c>
      <c r="Q4" s="484"/>
      <c r="R4" s="486" t="s">
        <v>10</v>
      </c>
      <c r="S4" s="485"/>
      <c r="T4" s="485"/>
      <c r="U4" s="485"/>
      <c r="V4" s="487"/>
      <c r="W4" s="485" t="s">
        <v>11</v>
      </c>
      <c r="X4" s="485"/>
      <c r="Y4" s="485"/>
      <c r="Z4" s="485"/>
      <c r="AA4" s="487"/>
      <c r="AB4" s="488" t="s">
        <v>12</v>
      </c>
      <c r="AC4" s="462" t="s">
        <v>13</v>
      </c>
      <c r="AD4" s="462" t="s">
        <v>14</v>
      </c>
      <c r="AE4" s="54"/>
    </row>
    <row r="5" spans="1:32" ht="51" customHeight="1" thickBot="1">
      <c r="A5" s="453"/>
      <c r="B5" s="455"/>
      <c r="C5" s="456"/>
      <c r="D5" s="458"/>
      <c r="E5" s="458"/>
      <c r="F5" s="458"/>
      <c r="G5" s="455"/>
      <c r="H5" s="461"/>
      <c r="I5" s="55" t="s">
        <v>15</v>
      </c>
      <c r="J5" s="56" t="s">
        <v>16</v>
      </c>
      <c r="K5" s="313" t="s">
        <v>17</v>
      </c>
      <c r="L5" s="313" t="s">
        <v>18</v>
      </c>
      <c r="M5" s="313" t="s">
        <v>19</v>
      </c>
      <c r="N5" s="31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89"/>
      <c r="AC5" s="463"/>
      <c r="AD5" s="463"/>
      <c r="AE5" s="54"/>
    </row>
    <row r="6" spans="1:32" ht="27" customHeight="1">
      <c r="A6" s="112">
        <v>1</v>
      </c>
      <c r="B6" s="11" t="s">
        <v>57</v>
      </c>
      <c r="C6" s="34" t="s">
        <v>116</v>
      </c>
      <c r="D6" s="52" t="s">
        <v>130</v>
      </c>
      <c r="E6" s="53" t="s">
        <v>158</v>
      </c>
      <c r="F6" s="30" t="s">
        <v>146</v>
      </c>
      <c r="G6" s="12">
        <v>2</v>
      </c>
      <c r="H6" s="13">
        <v>24</v>
      </c>
      <c r="I6" s="31">
        <v>174000</v>
      </c>
      <c r="J6" s="14">
        <v>12794</v>
      </c>
      <c r="K6" s="15">
        <f>L6+2384+8412+9776+8821+8774+10138+6972+8852+4388+11916+2738+3190+6210+12800+10648+13436</f>
        <v>142249</v>
      </c>
      <c r="L6" s="15">
        <f>3338*2+3059*2</f>
        <v>12794</v>
      </c>
      <c r="M6" s="15">
        <f t="shared" ref="M6:M27" si="0">L6-N6</f>
        <v>12794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24</v>
      </c>
      <c r="Q6" s="40">
        <f t="shared" ref="Q6:Q27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1</v>
      </c>
      <c r="AD6" s="10">
        <f t="shared" ref="AD6:AD27" si="6">AC6*AB6*(1-O6)</f>
        <v>1</v>
      </c>
      <c r="AE6" s="36">
        <f t="shared" ref="AE6:AE27" si="7">$AD$28</f>
        <v>0.54356060606060608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116</v>
      </c>
      <c r="D7" s="52" t="s">
        <v>130</v>
      </c>
      <c r="E7" s="53" t="s">
        <v>424</v>
      </c>
      <c r="F7" s="30" t="s">
        <v>146</v>
      </c>
      <c r="G7" s="12">
        <v>2</v>
      </c>
      <c r="H7" s="13">
        <v>24</v>
      </c>
      <c r="I7" s="31">
        <v>3000</v>
      </c>
      <c r="J7" s="14">
        <v>4260</v>
      </c>
      <c r="K7" s="15">
        <f>L7</f>
        <v>4260</v>
      </c>
      <c r="L7" s="15">
        <f>2130*2</f>
        <v>4260</v>
      </c>
      <c r="M7" s="15">
        <f t="shared" si="0"/>
        <v>4260</v>
      </c>
      <c r="N7" s="15">
        <v>0</v>
      </c>
      <c r="O7" s="58">
        <f t="shared" si="1"/>
        <v>0</v>
      </c>
      <c r="P7" s="39">
        <f t="shared" si="2"/>
        <v>12</v>
      </c>
      <c r="Q7" s="40">
        <f t="shared" si="3"/>
        <v>12</v>
      </c>
      <c r="R7" s="7"/>
      <c r="S7" s="6">
        <v>12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0.5</v>
      </c>
      <c r="AD7" s="10">
        <f t="shared" si="6"/>
        <v>0.5</v>
      </c>
      <c r="AE7" s="36">
        <f t="shared" si="7"/>
        <v>0.54356060606060608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143</v>
      </c>
      <c r="D8" s="52" t="s">
        <v>260</v>
      </c>
      <c r="E8" s="53" t="s">
        <v>465</v>
      </c>
      <c r="F8" s="30" t="s">
        <v>131</v>
      </c>
      <c r="G8" s="12">
        <v>1</v>
      </c>
      <c r="H8" s="13">
        <v>24</v>
      </c>
      <c r="I8" s="7">
        <v>700</v>
      </c>
      <c r="J8" s="14">
        <v>1761</v>
      </c>
      <c r="K8" s="15">
        <f>L8</f>
        <v>1761</v>
      </c>
      <c r="L8" s="15">
        <f>1148+613</f>
        <v>1761</v>
      </c>
      <c r="M8" s="15">
        <f t="shared" si="0"/>
        <v>1761</v>
      </c>
      <c r="N8" s="15">
        <v>0</v>
      </c>
      <c r="O8" s="58">
        <f t="shared" si="1"/>
        <v>0</v>
      </c>
      <c r="P8" s="39">
        <f t="shared" si="2"/>
        <v>9</v>
      </c>
      <c r="Q8" s="40">
        <f t="shared" si="3"/>
        <v>15</v>
      </c>
      <c r="R8" s="7"/>
      <c r="S8" s="6">
        <v>15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0.375</v>
      </c>
      <c r="AD8" s="10">
        <f t="shared" si="6"/>
        <v>0.375</v>
      </c>
      <c r="AE8" s="36">
        <f t="shared" si="7"/>
        <v>0.54356060606060608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116</v>
      </c>
      <c r="D9" s="52" t="s">
        <v>115</v>
      </c>
      <c r="E9" s="53" t="s">
        <v>457</v>
      </c>
      <c r="F9" s="30" t="s">
        <v>350</v>
      </c>
      <c r="G9" s="12">
        <v>1</v>
      </c>
      <c r="H9" s="13">
        <v>24</v>
      </c>
      <c r="I9" s="7">
        <v>14000</v>
      </c>
      <c r="J9" s="14">
        <v>4214</v>
      </c>
      <c r="K9" s="15">
        <f>L9</f>
        <v>4214</v>
      </c>
      <c r="L9" s="15">
        <f>2320+1894</f>
        <v>4214</v>
      </c>
      <c r="M9" s="15">
        <f t="shared" si="0"/>
        <v>4214</v>
      </c>
      <c r="N9" s="15">
        <v>0</v>
      </c>
      <c r="O9" s="58">
        <f t="shared" si="1"/>
        <v>0</v>
      </c>
      <c r="P9" s="39">
        <f t="shared" si="2"/>
        <v>23</v>
      </c>
      <c r="Q9" s="40">
        <f t="shared" si="3"/>
        <v>1</v>
      </c>
      <c r="R9" s="7"/>
      <c r="S9" s="6"/>
      <c r="T9" s="16">
        <v>1</v>
      </c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0.95833333333333337</v>
      </c>
      <c r="AD9" s="10">
        <f t="shared" si="6"/>
        <v>0.95833333333333337</v>
      </c>
      <c r="AE9" s="36">
        <f t="shared" si="7"/>
        <v>0.54356060606060608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116</v>
      </c>
      <c r="D10" s="52" t="s">
        <v>317</v>
      </c>
      <c r="E10" s="53" t="s">
        <v>426</v>
      </c>
      <c r="F10" s="30" t="s">
        <v>145</v>
      </c>
      <c r="G10" s="33">
        <v>2</v>
      </c>
      <c r="H10" s="35">
        <v>24</v>
      </c>
      <c r="I10" s="7">
        <v>6000</v>
      </c>
      <c r="J10" s="14">
        <v>6600</v>
      </c>
      <c r="K10" s="15">
        <f>L10</f>
        <v>6600</v>
      </c>
      <c r="L10" s="15">
        <f>3300*2</f>
        <v>6600</v>
      </c>
      <c r="M10" s="15">
        <f t="shared" si="0"/>
        <v>6600</v>
      </c>
      <c r="N10" s="15">
        <v>0</v>
      </c>
      <c r="O10" s="58">
        <f t="shared" si="1"/>
        <v>0</v>
      </c>
      <c r="P10" s="39">
        <f t="shared" si="2"/>
        <v>14</v>
      </c>
      <c r="Q10" s="40">
        <f t="shared" si="3"/>
        <v>10</v>
      </c>
      <c r="R10" s="7"/>
      <c r="S10" s="6">
        <v>10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0.58333333333333337</v>
      </c>
      <c r="AD10" s="10">
        <f t="shared" si="6"/>
        <v>0.58333333333333337</v>
      </c>
      <c r="AE10" s="36">
        <f t="shared" si="7"/>
        <v>0.54356060606060608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116</v>
      </c>
      <c r="D11" s="52" t="s">
        <v>173</v>
      </c>
      <c r="E11" s="53" t="s">
        <v>458</v>
      </c>
      <c r="F11" s="30" t="s">
        <v>145</v>
      </c>
      <c r="G11" s="33">
        <v>16</v>
      </c>
      <c r="H11" s="35">
        <v>24</v>
      </c>
      <c r="I11" s="7">
        <v>150000</v>
      </c>
      <c r="J11" s="14">
        <v>98292</v>
      </c>
      <c r="K11" s="15">
        <f>L11</f>
        <v>98292</v>
      </c>
      <c r="L11" s="15">
        <f>4477*12+3714*12</f>
        <v>98292</v>
      </c>
      <c r="M11" s="15">
        <f t="shared" si="0"/>
        <v>98292</v>
      </c>
      <c r="N11" s="15">
        <v>0</v>
      </c>
      <c r="O11" s="58">
        <f t="shared" si="1"/>
        <v>0</v>
      </c>
      <c r="P11" s="39">
        <f t="shared" si="2"/>
        <v>23</v>
      </c>
      <c r="Q11" s="40">
        <f t="shared" si="3"/>
        <v>1</v>
      </c>
      <c r="R11" s="7"/>
      <c r="S11" s="6"/>
      <c r="T11" s="16">
        <v>1</v>
      </c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0.95833333333333337</v>
      </c>
      <c r="AD11" s="10">
        <f t="shared" si="6"/>
        <v>0.95833333333333337</v>
      </c>
      <c r="AE11" s="36">
        <f t="shared" si="7"/>
        <v>0.54356060606060608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403</v>
      </c>
      <c r="F12" s="30" t="s">
        <v>167</v>
      </c>
      <c r="G12" s="12">
        <v>1</v>
      </c>
      <c r="H12" s="13">
        <v>22</v>
      </c>
      <c r="I12" s="31">
        <v>70000</v>
      </c>
      <c r="J12" s="5">
        <v>5244</v>
      </c>
      <c r="K12" s="15">
        <f>L12+3050+5463+5497+6377</f>
        <v>25631</v>
      </c>
      <c r="L12" s="15">
        <f>2469+2775</f>
        <v>5244</v>
      </c>
      <c r="M12" s="15">
        <f t="shared" si="0"/>
        <v>5244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0.54356060606060608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124</v>
      </c>
      <c r="E13" s="53" t="s">
        <v>453</v>
      </c>
      <c r="F13" s="30" t="s">
        <v>131</v>
      </c>
      <c r="G13" s="33">
        <v>2</v>
      </c>
      <c r="H13" s="35">
        <v>24</v>
      </c>
      <c r="I13" s="7">
        <v>30000</v>
      </c>
      <c r="J13" s="14">
        <v>11562</v>
      </c>
      <c r="K13" s="15">
        <f>L13+12072</f>
        <v>23634</v>
      </c>
      <c r="L13" s="15">
        <f>2808*2+2973*2</f>
        <v>11562</v>
      </c>
      <c r="M13" s="15">
        <f t="shared" si="0"/>
        <v>11562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0.54356060606060608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459</v>
      </c>
      <c r="F14" s="30" t="s">
        <v>350</v>
      </c>
      <c r="G14" s="33">
        <v>1</v>
      </c>
      <c r="H14" s="35">
        <v>50</v>
      </c>
      <c r="I14" s="7">
        <v>500</v>
      </c>
      <c r="J14" s="5">
        <v>303</v>
      </c>
      <c r="K14" s="15">
        <f>L14</f>
        <v>303</v>
      </c>
      <c r="L14" s="15">
        <f>303</f>
        <v>303</v>
      </c>
      <c r="M14" s="15">
        <f t="shared" si="0"/>
        <v>303</v>
      </c>
      <c r="N14" s="15">
        <v>0</v>
      </c>
      <c r="O14" s="58">
        <f t="shared" si="1"/>
        <v>0</v>
      </c>
      <c r="P14" s="39">
        <f t="shared" si="2"/>
        <v>6</v>
      </c>
      <c r="Q14" s="40">
        <f t="shared" si="3"/>
        <v>18</v>
      </c>
      <c r="R14" s="7"/>
      <c r="S14" s="6">
        <v>18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0.25</v>
      </c>
      <c r="AD14" s="10">
        <f t="shared" si="6"/>
        <v>0.25</v>
      </c>
      <c r="AE14" s="36">
        <f t="shared" si="7"/>
        <v>0.54356060606060608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123</v>
      </c>
      <c r="E15" s="53" t="s">
        <v>141</v>
      </c>
      <c r="F15" s="30" t="s">
        <v>135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0.54356060606060608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112</v>
      </c>
      <c r="D16" s="52" t="s">
        <v>115</v>
      </c>
      <c r="E16" s="53" t="s">
        <v>460</v>
      </c>
      <c r="F16" s="30" t="s">
        <v>131</v>
      </c>
      <c r="G16" s="12">
        <v>1</v>
      </c>
      <c r="H16" s="13">
        <v>24</v>
      </c>
      <c r="I16" s="7">
        <v>500</v>
      </c>
      <c r="J16" s="14">
        <v>920</v>
      </c>
      <c r="K16" s="15">
        <f>L16</f>
        <v>920</v>
      </c>
      <c r="L16" s="15">
        <f>920</f>
        <v>920</v>
      </c>
      <c r="M16" s="15">
        <f t="shared" si="0"/>
        <v>920</v>
      </c>
      <c r="N16" s="15">
        <v>0</v>
      </c>
      <c r="O16" s="58">
        <f t="shared" si="1"/>
        <v>0</v>
      </c>
      <c r="P16" s="39">
        <f t="shared" si="2"/>
        <v>14</v>
      </c>
      <c r="Q16" s="40">
        <f t="shared" si="3"/>
        <v>10</v>
      </c>
      <c r="R16" s="7"/>
      <c r="S16" s="6"/>
      <c r="T16" s="16"/>
      <c r="U16" s="16"/>
      <c r="V16" s="17"/>
      <c r="W16" s="5">
        <v>10</v>
      </c>
      <c r="X16" s="16"/>
      <c r="Y16" s="16"/>
      <c r="Z16" s="16"/>
      <c r="AA16" s="18"/>
      <c r="AB16" s="8">
        <f t="shared" si="4"/>
        <v>1</v>
      </c>
      <c r="AC16" s="9">
        <f t="shared" si="5"/>
        <v>0.58333333333333337</v>
      </c>
      <c r="AD16" s="10">
        <f t="shared" si="6"/>
        <v>0.58333333333333337</v>
      </c>
      <c r="AE16" s="36">
        <f t="shared" si="7"/>
        <v>0.54356060606060608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143</v>
      </c>
      <c r="D17" s="52" t="s">
        <v>150</v>
      </c>
      <c r="E17" s="53" t="s">
        <v>159</v>
      </c>
      <c r="F17" s="30" t="s">
        <v>154</v>
      </c>
      <c r="G17" s="12">
        <v>3</v>
      </c>
      <c r="H17" s="13">
        <v>24</v>
      </c>
      <c r="I17" s="7">
        <v>260000</v>
      </c>
      <c r="J17" s="14">
        <v>10491</v>
      </c>
      <c r="K17" s="15">
        <f>L17+16128+16857+16941+16140+15960+17466+17355+17745+17910+17925+2610+16239+17901+14879+13701+18378+18492+10491</f>
        <v>283118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0.54356060606060608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116</v>
      </c>
      <c r="D18" s="52" t="s">
        <v>124</v>
      </c>
      <c r="E18" s="53" t="s">
        <v>323</v>
      </c>
      <c r="F18" s="30" t="s">
        <v>134</v>
      </c>
      <c r="G18" s="33">
        <v>1</v>
      </c>
      <c r="H18" s="35">
        <v>24</v>
      </c>
      <c r="I18" s="7">
        <v>50000</v>
      </c>
      <c r="J18" s="14">
        <v>5058</v>
      </c>
      <c r="K18" s="15">
        <f>L18+4611+6255+1986</f>
        <v>17910</v>
      </c>
      <c r="L18" s="15">
        <f>3148+1910</f>
        <v>5058</v>
      </c>
      <c r="M18" s="15">
        <f t="shared" si="0"/>
        <v>5058</v>
      </c>
      <c r="N18" s="15">
        <v>0</v>
      </c>
      <c r="O18" s="58">
        <f t="shared" si="1"/>
        <v>0</v>
      </c>
      <c r="P18" s="39">
        <f t="shared" si="2"/>
        <v>22</v>
      </c>
      <c r="Q18" s="40">
        <f t="shared" si="3"/>
        <v>2</v>
      </c>
      <c r="R18" s="7"/>
      <c r="S18" s="6">
        <v>2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0.91666666666666663</v>
      </c>
      <c r="AD18" s="10">
        <f t="shared" si="6"/>
        <v>0.91666666666666663</v>
      </c>
      <c r="AE18" s="36">
        <f t="shared" si="7"/>
        <v>0.54356060606060608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142</v>
      </c>
      <c r="E19" s="53" t="s">
        <v>161</v>
      </c>
      <c r="F19" s="30" t="s">
        <v>134</v>
      </c>
      <c r="G19" s="33">
        <v>1</v>
      </c>
      <c r="H19" s="35">
        <v>24</v>
      </c>
      <c r="I19" s="7">
        <v>54000</v>
      </c>
      <c r="J19" s="14">
        <v>4716</v>
      </c>
      <c r="K19" s="15">
        <f>L19+5079+5307+3503+1179+3568+5398+5390+5307</f>
        <v>39447</v>
      </c>
      <c r="L19" s="15">
        <f>2733+1983</f>
        <v>4716</v>
      </c>
      <c r="M19" s="15">
        <f t="shared" si="0"/>
        <v>4716</v>
      </c>
      <c r="N19" s="15">
        <v>0</v>
      </c>
      <c r="O19" s="58">
        <f t="shared" si="1"/>
        <v>0</v>
      </c>
      <c r="P19" s="39">
        <f t="shared" si="2"/>
        <v>21</v>
      </c>
      <c r="Q19" s="40">
        <f t="shared" si="3"/>
        <v>3</v>
      </c>
      <c r="R19" s="7"/>
      <c r="S19" s="6">
        <v>3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0.875</v>
      </c>
      <c r="AD19" s="10">
        <f t="shared" si="6"/>
        <v>0.875</v>
      </c>
      <c r="AE19" s="36">
        <f t="shared" si="7"/>
        <v>0.54356060606060608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116</v>
      </c>
      <c r="D20" s="52" t="s">
        <v>115</v>
      </c>
      <c r="E20" s="53" t="s">
        <v>356</v>
      </c>
      <c r="F20" s="30" t="s">
        <v>122</v>
      </c>
      <c r="G20" s="12">
        <v>1</v>
      </c>
      <c r="H20" s="13">
        <v>24</v>
      </c>
      <c r="I20" s="7">
        <v>24000</v>
      </c>
      <c r="J20" s="14">
        <v>4447</v>
      </c>
      <c r="K20" s="15">
        <f>L20+2446+5228+5223+3767+5214+5257</f>
        <v>31582</v>
      </c>
      <c r="L20" s="15">
        <f>2107+2340</f>
        <v>4447</v>
      </c>
      <c r="M20" s="15">
        <f t="shared" si="0"/>
        <v>4447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0.54356060606060608</v>
      </c>
      <c r="AF20" s="84">
        <f t="shared" si="8"/>
        <v>15</v>
      </c>
    </row>
    <row r="21" spans="1:32" ht="27" customHeight="1">
      <c r="A21" s="96">
        <v>16</v>
      </c>
      <c r="B21" s="11" t="s">
        <v>57</v>
      </c>
      <c r="C21" s="11" t="s">
        <v>113</v>
      </c>
      <c r="D21" s="52"/>
      <c r="E21" s="53" t="s">
        <v>384</v>
      </c>
      <c r="F21" s="12" t="s">
        <v>114</v>
      </c>
      <c r="G21" s="12">
        <v>4</v>
      </c>
      <c r="H21" s="35">
        <v>20</v>
      </c>
      <c r="I21" s="7">
        <v>110000</v>
      </c>
      <c r="J21" s="14">
        <v>62904</v>
      </c>
      <c r="K21" s="15">
        <f>L21+33068+77956+67572+72180+74076</f>
        <v>387756</v>
      </c>
      <c r="L21" s="15">
        <f>6784*4+8942*4</f>
        <v>62904</v>
      </c>
      <c r="M21" s="15">
        <f t="shared" si="0"/>
        <v>62904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0.54356060606060608</v>
      </c>
      <c r="AF21" s="84">
        <f t="shared" si="8"/>
        <v>16</v>
      </c>
    </row>
    <row r="22" spans="1:32" ht="27" customHeight="1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0.54356060606060608</v>
      </c>
      <c r="AF22" s="84">
        <f t="shared" si="8"/>
        <v>31</v>
      </c>
    </row>
    <row r="23" spans="1:32" ht="27" customHeight="1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0.54356060606060608</v>
      </c>
      <c r="AF23" s="84">
        <f t="shared" si="8"/>
        <v>32</v>
      </c>
    </row>
    <row r="24" spans="1:32" ht="27" customHeight="1">
      <c r="A24" s="96">
        <v>33</v>
      </c>
      <c r="B24" s="11" t="s">
        <v>57</v>
      </c>
      <c r="C24" s="11" t="s">
        <v>116</v>
      </c>
      <c r="D24" s="52" t="s">
        <v>150</v>
      </c>
      <c r="E24" s="53" t="s">
        <v>163</v>
      </c>
      <c r="F24" s="12" t="s">
        <v>145</v>
      </c>
      <c r="G24" s="12">
        <v>1</v>
      </c>
      <c r="H24" s="35">
        <v>20</v>
      </c>
      <c r="I24" s="7">
        <v>140000</v>
      </c>
      <c r="J24" s="14">
        <v>6904</v>
      </c>
      <c r="K24" s="15">
        <f>L24+4387+7770+5806+7905+7479+7369+7360+2397</f>
        <v>57377</v>
      </c>
      <c r="L24" s="15">
        <f>3154+3750</f>
        <v>6904</v>
      </c>
      <c r="M24" s="15">
        <f t="shared" si="0"/>
        <v>6904</v>
      </c>
      <c r="N24" s="15">
        <v>0</v>
      </c>
      <c r="O24" s="58">
        <f t="shared" si="1"/>
        <v>0</v>
      </c>
      <c r="P24" s="39">
        <f t="shared" si="2"/>
        <v>23</v>
      </c>
      <c r="Q24" s="40">
        <f t="shared" si="3"/>
        <v>1</v>
      </c>
      <c r="R24" s="7"/>
      <c r="S24" s="6">
        <v>1</v>
      </c>
      <c r="T24" s="16"/>
      <c r="U24" s="16"/>
      <c r="V24" s="206"/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0.95833333333333337</v>
      </c>
      <c r="AD24" s="10">
        <f t="shared" si="6"/>
        <v>0.95833333333333337</v>
      </c>
      <c r="AE24" s="36">
        <f t="shared" si="7"/>
        <v>0.54356060606060608</v>
      </c>
      <c r="AF24" s="84">
        <f t="shared" si="8"/>
        <v>33</v>
      </c>
    </row>
    <row r="25" spans="1:32" ht="27" customHeight="1">
      <c r="A25" s="96">
        <v>34</v>
      </c>
      <c r="B25" s="11" t="s">
        <v>57</v>
      </c>
      <c r="C25" s="11" t="s">
        <v>116</v>
      </c>
      <c r="D25" s="52" t="s">
        <v>150</v>
      </c>
      <c r="E25" s="53" t="s">
        <v>165</v>
      </c>
      <c r="F25" s="12" t="s">
        <v>135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206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0.54356060606060608</v>
      </c>
      <c r="AF25" s="84">
        <f t="shared" si="8"/>
        <v>34</v>
      </c>
    </row>
    <row r="26" spans="1:32" ht="27" customHeight="1">
      <c r="A26" s="96">
        <v>35</v>
      </c>
      <c r="B26" s="11" t="s">
        <v>57</v>
      </c>
      <c r="C26" s="11" t="s">
        <v>116</v>
      </c>
      <c r="D26" s="52" t="s">
        <v>123</v>
      </c>
      <c r="E26" s="53" t="s">
        <v>137</v>
      </c>
      <c r="F26" s="12" t="s">
        <v>135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206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0.54356060606060608</v>
      </c>
      <c r="AF26" s="84">
        <f t="shared" si="8"/>
        <v>35</v>
      </c>
    </row>
    <row r="27" spans="1:32" ht="27" customHeight="1" thickBot="1">
      <c r="A27" s="96">
        <v>36</v>
      </c>
      <c r="B27" s="11" t="s">
        <v>57</v>
      </c>
      <c r="C27" s="11" t="s">
        <v>380</v>
      </c>
      <c r="D27" s="52"/>
      <c r="E27" s="53" t="s">
        <v>381</v>
      </c>
      <c r="F27" s="12" t="s">
        <v>382</v>
      </c>
      <c r="G27" s="12">
        <v>32</v>
      </c>
      <c r="H27" s="35">
        <v>20</v>
      </c>
      <c r="I27" s="7">
        <v>700000</v>
      </c>
      <c r="J27" s="14">
        <v>89792</v>
      </c>
      <c r="K27" s="15">
        <f>L27+326528+448864+89792</f>
        <v>865184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206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0.54356060606060608</v>
      </c>
      <c r="AF27" s="84">
        <f t="shared" si="8"/>
        <v>36</v>
      </c>
    </row>
    <row r="28" spans="1:32" ht="31.5" customHeight="1" thickBot="1">
      <c r="A28" s="464" t="s">
        <v>34</v>
      </c>
      <c r="B28" s="465"/>
      <c r="C28" s="465"/>
      <c r="D28" s="465"/>
      <c r="E28" s="465"/>
      <c r="F28" s="465"/>
      <c r="G28" s="465"/>
      <c r="H28" s="466"/>
      <c r="I28" s="22">
        <f t="shared" ref="I28:N28" si="9">SUM(I6:I27)</f>
        <v>2278700</v>
      </c>
      <c r="J28" s="19">
        <f t="shared" si="9"/>
        <v>364206</v>
      </c>
      <c r="K28" s="20">
        <f t="shared" si="9"/>
        <v>2542238</v>
      </c>
      <c r="L28" s="21">
        <f t="shared" si="9"/>
        <v>229979</v>
      </c>
      <c r="M28" s="20">
        <f t="shared" si="9"/>
        <v>229979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287</v>
      </c>
      <c r="Q28" s="43">
        <f t="shared" si="10"/>
        <v>241</v>
      </c>
      <c r="R28" s="23">
        <f t="shared" si="10"/>
        <v>0</v>
      </c>
      <c r="S28" s="24">
        <f t="shared" si="10"/>
        <v>61</v>
      </c>
      <c r="T28" s="24">
        <f t="shared" si="10"/>
        <v>2</v>
      </c>
      <c r="U28" s="24">
        <f t="shared" si="10"/>
        <v>0</v>
      </c>
      <c r="V28" s="25">
        <f t="shared" si="10"/>
        <v>48</v>
      </c>
      <c r="W28" s="26">
        <f t="shared" si="10"/>
        <v>130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0</v>
      </c>
      <c r="AB28" s="28">
        <f>AVERAGE(AB6:AB27)</f>
        <v>0.75</v>
      </c>
      <c r="AC28" s="4">
        <f>AVERAGE(AC6:AC27)</f>
        <v>0.54356060606060608</v>
      </c>
      <c r="AD28" s="4">
        <f>AVERAGE(AD6:AD27)</f>
        <v>0.54356060606060608</v>
      </c>
      <c r="AE28" s="29"/>
    </row>
    <row r="29" spans="1:32">
      <c r="T29" s="50" t="s">
        <v>157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160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67" t="s">
        <v>45</v>
      </c>
      <c r="B55" s="467"/>
      <c r="C55" s="467"/>
      <c r="D55" s="467"/>
      <c r="E55" s="467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68" t="s">
        <v>466</v>
      </c>
      <c r="B56" s="469"/>
      <c r="C56" s="469"/>
      <c r="D56" s="469"/>
      <c r="E56" s="469"/>
      <c r="F56" s="469"/>
      <c r="G56" s="469"/>
      <c r="H56" s="469"/>
      <c r="I56" s="469"/>
      <c r="J56" s="469"/>
      <c r="K56" s="469"/>
      <c r="L56" s="469"/>
      <c r="M56" s="470"/>
      <c r="N56" s="471" t="s">
        <v>470</v>
      </c>
      <c r="O56" s="472"/>
      <c r="P56" s="472"/>
      <c r="Q56" s="472"/>
      <c r="R56" s="472"/>
      <c r="S56" s="472"/>
      <c r="T56" s="472"/>
      <c r="U56" s="472"/>
      <c r="V56" s="472"/>
      <c r="W56" s="472"/>
      <c r="X56" s="472"/>
      <c r="Y56" s="472"/>
      <c r="Z56" s="472"/>
      <c r="AA56" s="472"/>
      <c r="AB56" s="472"/>
      <c r="AC56" s="472"/>
      <c r="AD56" s="473"/>
    </row>
    <row r="57" spans="1:32" ht="27" customHeight="1">
      <c r="A57" s="474" t="s">
        <v>2</v>
      </c>
      <c r="B57" s="475"/>
      <c r="C57" s="314" t="s">
        <v>46</v>
      </c>
      <c r="D57" s="314" t="s">
        <v>47</v>
      </c>
      <c r="E57" s="314" t="s">
        <v>107</v>
      </c>
      <c r="F57" s="476" t="s">
        <v>106</v>
      </c>
      <c r="G57" s="477"/>
      <c r="H57" s="477"/>
      <c r="I57" s="477"/>
      <c r="J57" s="477"/>
      <c r="K57" s="477"/>
      <c r="L57" s="477"/>
      <c r="M57" s="478"/>
      <c r="N57" s="67" t="s">
        <v>110</v>
      </c>
      <c r="O57" s="314" t="s">
        <v>46</v>
      </c>
      <c r="P57" s="476" t="s">
        <v>47</v>
      </c>
      <c r="Q57" s="479"/>
      <c r="R57" s="476" t="s">
        <v>38</v>
      </c>
      <c r="S57" s="477"/>
      <c r="T57" s="477"/>
      <c r="U57" s="479"/>
      <c r="V57" s="476" t="s">
        <v>48</v>
      </c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500" t="s">
        <v>116</v>
      </c>
      <c r="B58" s="501"/>
      <c r="C58" s="317" t="s">
        <v>169</v>
      </c>
      <c r="D58" s="317" t="s">
        <v>130</v>
      </c>
      <c r="E58" s="316" t="s">
        <v>424</v>
      </c>
      <c r="F58" s="492" t="s">
        <v>467</v>
      </c>
      <c r="G58" s="493"/>
      <c r="H58" s="493"/>
      <c r="I58" s="493"/>
      <c r="J58" s="493"/>
      <c r="K58" s="493"/>
      <c r="L58" s="493"/>
      <c r="M58" s="494"/>
      <c r="N58" s="315" t="s">
        <v>116</v>
      </c>
      <c r="O58" s="322" t="s">
        <v>259</v>
      </c>
      <c r="P58" s="495" t="s">
        <v>140</v>
      </c>
      <c r="Q58" s="496"/>
      <c r="R58" s="495" t="s">
        <v>471</v>
      </c>
      <c r="S58" s="497"/>
      <c r="T58" s="497"/>
      <c r="U58" s="496"/>
      <c r="V58" s="498" t="s">
        <v>125</v>
      </c>
      <c r="W58" s="498"/>
      <c r="X58" s="498"/>
      <c r="Y58" s="498"/>
      <c r="Z58" s="498"/>
      <c r="AA58" s="498"/>
      <c r="AB58" s="498"/>
      <c r="AC58" s="498"/>
      <c r="AD58" s="499"/>
    </row>
    <row r="59" spans="1:32" ht="27" customHeight="1">
      <c r="A59" s="500" t="s">
        <v>116</v>
      </c>
      <c r="B59" s="501"/>
      <c r="C59" s="317" t="s">
        <v>175</v>
      </c>
      <c r="D59" s="317" t="s">
        <v>115</v>
      </c>
      <c r="E59" s="316" t="s">
        <v>457</v>
      </c>
      <c r="F59" s="492" t="s">
        <v>125</v>
      </c>
      <c r="G59" s="493"/>
      <c r="H59" s="493"/>
      <c r="I59" s="493"/>
      <c r="J59" s="493"/>
      <c r="K59" s="493"/>
      <c r="L59" s="493"/>
      <c r="M59" s="494"/>
      <c r="N59" s="315" t="s">
        <v>112</v>
      </c>
      <c r="O59" s="322" t="s">
        <v>206</v>
      </c>
      <c r="P59" s="495" t="s">
        <v>115</v>
      </c>
      <c r="Q59" s="496"/>
      <c r="R59" s="495" t="s">
        <v>459</v>
      </c>
      <c r="S59" s="497"/>
      <c r="T59" s="497"/>
      <c r="U59" s="496"/>
      <c r="V59" s="498" t="s">
        <v>120</v>
      </c>
      <c r="W59" s="498"/>
      <c r="X59" s="498"/>
      <c r="Y59" s="498"/>
      <c r="Z59" s="498"/>
      <c r="AA59" s="498"/>
      <c r="AB59" s="498"/>
      <c r="AC59" s="498"/>
      <c r="AD59" s="499"/>
    </row>
    <row r="60" spans="1:32" ht="27" customHeight="1">
      <c r="A60" s="500" t="s">
        <v>116</v>
      </c>
      <c r="B60" s="501"/>
      <c r="C60" s="317" t="s">
        <v>277</v>
      </c>
      <c r="D60" s="317" t="s">
        <v>317</v>
      </c>
      <c r="E60" s="316" t="s">
        <v>426</v>
      </c>
      <c r="F60" s="492" t="s">
        <v>468</v>
      </c>
      <c r="G60" s="493"/>
      <c r="H60" s="493"/>
      <c r="I60" s="493"/>
      <c r="J60" s="493"/>
      <c r="K60" s="493"/>
      <c r="L60" s="493"/>
      <c r="M60" s="494"/>
      <c r="N60" s="315"/>
      <c r="O60" s="322"/>
      <c r="P60" s="495"/>
      <c r="Q60" s="496"/>
      <c r="R60" s="495"/>
      <c r="S60" s="497"/>
      <c r="T60" s="497"/>
      <c r="U60" s="496"/>
      <c r="V60" s="498"/>
      <c r="W60" s="498"/>
      <c r="X60" s="498"/>
      <c r="Y60" s="498"/>
      <c r="Z60" s="498"/>
      <c r="AA60" s="498"/>
      <c r="AB60" s="498"/>
      <c r="AC60" s="498"/>
      <c r="AD60" s="499"/>
    </row>
    <row r="61" spans="1:32" ht="27" customHeight="1">
      <c r="A61" s="500" t="s">
        <v>112</v>
      </c>
      <c r="B61" s="501"/>
      <c r="C61" s="317" t="s">
        <v>206</v>
      </c>
      <c r="D61" s="317" t="s">
        <v>115</v>
      </c>
      <c r="E61" s="316" t="s">
        <v>459</v>
      </c>
      <c r="F61" s="492" t="s">
        <v>469</v>
      </c>
      <c r="G61" s="493"/>
      <c r="H61" s="493"/>
      <c r="I61" s="493"/>
      <c r="J61" s="493"/>
      <c r="K61" s="493"/>
      <c r="L61" s="493"/>
      <c r="M61" s="494"/>
      <c r="N61" s="315"/>
      <c r="O61" s="322"/>
      <c r="P61" s="495"/>
      <c r="Q61" s="496"/>
      <c r="R61" s="495"/>
      <c r="S61" s="497"/>
      <c r="T61" s="497"/>
      <c r="U61" s="496"/>
      <c r="V61" s="498"/>
      <c r="W61" s="498"/>
      <c r="X61" s="498"/>
      <c r="Y61" s="498"/>
      <c r="Z61" s="498"/>
      <c r="AA61" s="498"/>
      <c r="AB61" s="498"/>
      <c r="AC61" s="498"/>
      <c r="AD61" s="499"/>
    </row>
    <row r="62" spans="1:32" ht="27" customHeight="1">
      <c r="A62" s="500" t="s">
        <v>112</v>
      </c>
      <c r="B62" s="501"/>
      <c r="C62" s="317" t="s">
        <v>239</v>
      </c>
      <c r="D62" s="317" t="s">
        <v>115</v>
      </c>
      <c r="E62" s="316" t="s">
        <v>460</v>
      </c>
      <c r="F62" s="492" t="s">
        <v>125</v>
      </c>
      <c r="G62" s="493"/>
      <c r="H62" s="493"/>
      <c r="I62" s="493"/>
      <c r="J62" s="493"/>
      <c r="K62" s="493"/>
      <c r="L62" s="493"/>
      <c r="M62" s="494"/>
      <c r="N62" s="315"/>
      <c r="O62" s="322"/>
      <c r="P62" s="495"/>
      <c r="Q62" s="496"/>
      <c r="R62" s="495"/>
      <c r="S62" s="497"/>
      <c r="T62" s="497"/>
      <c r="U62" s="496"/>
      <c r="V62" s="498"/>
      <c r="W62" s="498"/>
      <c r="X62" s="498"/>
      <c r="Y62" s="498"/>
      <c r="Z62" s="498"/>
      <c r="AA62" s="498"/>
      <c r="AB62" s="498"/>
      <c r="AC62" s="498"/>
      <c r="AD62" s="499"/>
    </row>
    <row r="63" spans="1:32" ht="27" customHeight="1">
      <c r="A63" s="500" t="s">
        <v>116</v>
      </c>
      <c r="B63" s="501"/>
      <c r="C63" s="317" t="s">
        <v>286</v>
      </c>
      <c r="D63" s="317" t="s">
        <v>140</v>
      </c>
      <c r="E63" s="316" t="s">
        <v>323</v>
      </c>
      <c r="F63" s="492" t="s">
        <v>120</v>
      </c>
      <c r="G63" s="493"/>
      <c r="H63" s="493"/>
      <c r="I63" s="493"/>
      <c r="J63" s="493"/>
      <c r="K63" s="493"/>
      <c r="L63" s="493"/>
      <c r="M63" s="494"/>
      <c r="N63" s="315"/>
      <c r="O63" s="322"/>
      <c r="P63" s="495"/>
      <c r="Q63" s="496"/>
      <c r="R63" s="495"/>
      <c r="S63" s="497"/>
      <c r="T63" s="497"/>
      <c r="U63" s="496"/>
      <c r="V63" s="498"/>
      <c r="W63" s="498"/>
      <c r="X63" s="498"/>
      <c r="Y63" s="498"/>
      <c r="Z63" s="498"/>
      <c r="AA63" s="498"/>
      <c r="AB63" s="498"/>
      <c r="AC63" s="498"/>
      <c r="AD63" s="499"/>
    </row>
    <row r="64" spans="1:32" ht="27" customHeight="1">
      <c r="A64" s="490" t="s">
        <v>116</v>
      </c>
      <c r="B64" s="491"/>
      <c r="C64" s="316" t="s">
        <v>198</v>
      </c>
      <c r="D64" s="316" t="s">
        <v>173</v>
      </c>
      <c r="E64" s="316" t="s">
        <v>458</v>
      </c>
      <c r="F64" s="492" t="s">
        <v>125</v>
      </c>
      <c r="G64" s="493"/>
      <c r="H64" s="493"/>
      <c r="I64" s="493"/>
      <c r="J64" s="493"/>
      <c r="K64" s="493"/>
      <c r="L64" s="493"/>
      <c r="M64" s="494"/>
      <c r="N64" s="315"/>
      <c r="O64" s="322"/>
      <c r="P64" s="495"/>
      <c r="Q64" s="496"/>
      <c r="R64" s="495"/>
      <c r="S64" s="497"/>
      <c r="T64" s="497"/>
      <c r="U64" s="496"/>
      <c r="V64" s="498"/>
      <c r="W64" s="498"/>
      <c r="X64" s="498"/>
      <c r="Y64" s="498"/>
      <c r="Z64" s="498"/>
      <c r="AA64" s="498"/>
      <c r="AB64" s="498"/>
      <c r="AC64" s="498"/>
      <c r="AD64" s="499"/>
    </row>
    <row r="65" spans="1:32" ht="27" customHeight="1">
      <c r="A65" s="500"/>
      <c r="B65" s="501"/>
      <c r="C65" s="317"/>
      <c r="D65" s="317"/>
      <c r="E65" s="316"/>
      <c r="F65" s="492"/>
      <c r="G65" s="493"/>
      <c r="H65" s="493"/>
      <c r="I65" s="493"/>
      <c r="J65" s="493"/>
      <c r="K65" s="493"/>
      <c r="L65" s="493"/>
      <c r="M65" s="494"/>
      <c r="N65" s="315"/>
      <c r="O65" s="322"/>
      <c r="P65" s="495"/>
      <c r="Q65" s="496"/>
      <c r="R65" s="495"/>
      <c r="S65" s="497"/>
      <c r="T65" s="497"/>
      <c r="U65" s="496"/>
      <c r="V65" s="498"/>
      <c r="W65" s="498"/>
      <c r="X65" s="498"/>
      <c r="Y65" s="498"/>
      <c r="Z65" s="498"/>
      <c r="AA65" s="498"/>
      <c r="AB65" s="498"/>
      <c r="AC65" s="498"/>
      <c r="AD65" s="499"/>
    </row>
    <row r="66" spans="1:32" ht="27" customHeight="1">
      <c r="A66" s="500"/>
      <c r="B66" s="501"/>
      <c r="C66" s="317"/>
      <c r="D66" s="317"/>
      <c r="E66" s="316"/>
      <c r="F66" s="492"/>
      <c r="G66" s="493"/>
      <c r="H66" s="493"/>
      <c r="I66" s="493"/>
      <c r="J66" s="493"/>
      <c r="K66" s="493"/>
      <c r="L66" s="493"/>
      <c r="M66" s="494"/>
      <c r="N66" s="315"/>
      <c r="O66" s="322"/>
      <c r="P66" s="491"/>
      <c r="Q66" s="491"/>
      <c r="R66" s="491"/>
      <c r="S66" s="491"/>
      <c r="T66" s="491"/>
      <c r="U66" s="491"/>
      <c r="V66" s="498"/>
      <c r="W66" s="498"/>
      <c r="X66" s="498"/>
      <c r="Y66" s="498"/>
      <c r="Z66" s="498"/>
      <c r="AA66" s="498"/>
      <c r="AB66" s="498"/>
      <c r="AC66" s="498"/>
      <c r="AD66" s="499"/>
      <c r="AF66" s="84">
        <f>8*3000</f>
        <v>24000</v>
      </c>
    </row>
    <row r="67" spans="1:32" ht="27" customHeight="1" thickBot="1">
      <c r="A67" s="502"/>
      <c r="B67" s="503"/>
      <c r="C67" s="318"/>
      <c r="D67" s="319"/>
      <c r="E67" s="318"/>
      <c r="F67" s="504"/>
      <c r="G67" s="505"/>
      <c r="H67" s="505"/>
      <c r="I67" s="505"/>
      <c r="J67" s="505"/>
      <c r="K67" s="505"/>
      <c r="L67" s="505"/>
      <c r="M67" s="506"/>
      <c r="N67" s="111"/>
      <c r="O67" s="103"/>
      <c r="P67" s="507"/>
      <c r="Q67" s="507"/>
      <c r="R67" s="507"/>
      <c r="S67" s="507"/>
      <c r="T67" s="507"/>
      <c r="U67" s="507"/>
      <c r="V67" s="508"/>
      <c r="W67" s="508"/>
      <c r="X67" s="508"/>
      <c r="Y67" s="508"/>
      <c r="Z67" s="508"/>
      <c r="AA67" s="508"/>
      <c r="AB67" s="508"/>
      <c r="AC67" s="508"/>
      <c r="AD67" s="509"/>
      <c r="AF67" s="84">
        <f>16*3000</f>
        <v>48000</v>
      </c>
    </row>
    <row r="68" spans="1:32" ht="27.75" thickBot="1">
      <c r="A68" s="510" t="s">
        <v>472</v>
      </c>
      <c r="B68" s="510"/>
      <c r="C68" s="510"/>
      <c r="D68" s="510"/>
      <c r="E68" s="51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11" t="s">
        <v>111</v>
      </c>
      <c r="B69" s="512"/>
      <c r="C69" s="320" t="s">
        <v>2</v>
      </c>
      <c r="D69" s="320" t="s">
        <v>37</v>
      </c>
      <c r="E69" s="320" t="s">
        <v>3</v>
      </c>
      <c r="F69" s="512" t="s">
        <v>109</v>
      </c>
      <c r="G69" s="512"/>
      <c r="H69" s="512"/>
      <c r="I69" s="512"/>
      <c r="J69" s="512"/>
      <c r="K69" s="512" t="s">
        <v>39</v>
      </c>
      <c r="L69" s="512"/>
      <c r="M69" s="320" t="s">
        <v>40</v>
      </c>
      <c r="N69" s="512" t="s">
        <v>41</v>
      </c>
      <c r="O69" s="512"/>
      <c r="P69" s="513" t="s">
        <v>42</v>
      </c>
      <c r="Q69" s="514"/>
      <c r="R69" s="513" t="s">
        <v>43</v>
      </c>
      <c r="S69" s="515"/>
      <c r="T69" s="515"/>
      <c r="U69" s="515"/>
      <c r="V69" s="515"/>
      <c r="W69" s="515"/>
      <c r="X69" s="515"/>
      <c r="Y69" s="515"/>
      <c r="Z69" s="515"/>
      <c r="AA69" s="514"/>
      <c r="AB69" s="512" t="s">
        <v>44</v>
      </c>
      <c r="AC69" s="512"/>
      <c r="AD69" s="516"/>
      <c r="AF69" s="84">
        <f>SUM(AF66:AF68)</f>
        <v>96000</v>
      </c>
    </row>
    <row r="70" spans="1:32" ht="25.5" customHeight="1">
      <c r="A70" s="517">
        <v>1</v>
      </c>
      <c r="B70" s="518"/>
      <c r="C70" s="104" t="s">
        <v>116</v>
      </c>
      <c r="D70" s="324"/>
      <c r="E70" s="321" t="s">
        <v>130</v>
      </c>
      <c r="F70" s="519" t="s">
        <v>424</v>
      </c>
      <c r="G70" s="520"/>
      <c r="H70" s="520"/>
      <c r="I70" s="520"/>
      <c r="J70" s="521"/>
      <c r="K70" s="522" t="s">
        <v>146</v>
      </c>
      <c r="L70" s="522"/>
      <c r="M70" s="51" t="s">
        <v>178</v>
      </c>
      <c r="N70" s="523" t="s">
        <v>169</v>
      </c>
      <c r="O70" s="523"/>
      <c r="P70" s="524">
        <v>100</v>
      </c>
      <c r="Q70" s="524"/>
      <c r="R70" s="498"/>
      <c r="S70" s="498"/>
      <c r="T70" s="498"/>
      <c r="U70" s="498"/>
      <c r="V70" s="498"/>
      <c r="W70" s="498"/>
      <c r="X70" s="498"/>
      <c r="Y70" s="498"/>
      <c r="Z70" s="498"/>
      <c r="AA70" s="498"/>
      <c r="AB70" s="522"/>
      <c r="AC70" s="522"/>
      <c r="AD70" s="525"/>
      <c r="AF70" s="50"/>
    </row>
    <row r="71" spans="1:32" ht="25.5" customHeight="1">
      <c r="A71" s="517">
        <v>2</v>
      </c>
      <c r="B71" s="518"/>
      <c r="C71" s="104" t="s">
        <v>116</v>
      </c>
      <c r="D71" s="324"/>
      <c r="E71" s="321" t="s">
        <v>317</v>
      </c>
      <c r="F71" s="519" t="s">
        <v>426</v>
      </c>
      <c r="G71" s="520"/>
      <c r="H71" s="520"/>
      <c r="I71" s="520"/>
      <c r="J71" s="521"/>
      <c r="K71" s="522" t="s">
        <v>145</v>
      </c>
      <c r="L71" s="522"/>
      <c r="M71" s="51" t="s">
        <v>178</v>
      </c>
      <c r="N71" s="523" t="s">
        <v>277</v>
      </c>
      <c r="O71" s="523"/>
      <c r="P71" s="524">
        <v>200</v>
      </c>
      <c r="Q71" s="524"/>
      <c r="R71" s="498"/>
      <c r="S71" s="498"/>
      <c r="T71" s="498"/>
      <c r="U71" s="498"/>
      <c r="V71" s="498"/>
      <c r="W71" s="498"/>
      <c r="X71" s="498"/>
      <c r="Y71" s="498"/>
      <c r="Z71" s="498"/>
      <c r="AA71" s="498"/>
      <c r="AB71" s="522"/>
      <c r="AC71" s="522"/>
      <c r="AD71" s="525"/>
      <c r="AF71" s="50"/>
    </row>
    <row r="72" spans="1:32" ht="25.5" customHeight="1">
      <c r="A72" s="517">
        <v>3</v>
      </c>
      <c r="B72" s="518"/>
      <c r="C72" s="104"/>
      <c r="D72" s="324"/>
      <c r="E72" s="321"/>
      <c r="F72" s="519"/>
      <c r="G72" s="520"/>
      <c r="H72" s="520"/>
      <c r="I72" s="520"/>
      <c r="J72" s="521"/>
      <c r="K72" s="522"/>
      <c r="L72" s="522"/>
      <c r="M72" s="51"/>
      <c r="N72" s="523"/>
      <c r="O72" s="523"/>
      <c r="P72" s="524"/>
      <c r="Q72" s="524"/>
      <c r="R72" s="498"/>
      <c r="S72" s="498"/>
      <c r="T72" s="498"/>
      <c r="U72" s="498"/>
      <c r="V72" s="498"/>
      <c r="W72" s="498"/>
      <c r="X72" s="498"/>
      <c r="Y72" s="498"/>
      <c r="Z72" s="498"/>
      <c r="AA72" s="498"/>
      <c r="AB72" s="522"/>
      <c r="AC72" s="522"/>
      <c r="AD72" s="525"/>
      <c r="AF72" s="50"/>
    </row>
    <row r="73" spans="1:32" ht="25.5" customHeight="1">
      <c r="A73" s="517">
        <v>4</v>
      </c>
      <c r="B73" s="518"/>
      <c r="C73" s="104"/>
      <c r="D73" s="324"/>
      <c r="E73" s="321"/>
      <c r="F73" s="519"/>
      <c r="G73" s="520"/>
      <c r="H73" s="520"/>
      <c r="I73" s="520"/>
      <c r="J73" s="521"/>
      <c r="K73" s="522"/>
      <c r="L73" s="522"/>
      <c r="M73" s="51"/>
      <c r="N73" s="523"/>
      <c r="O73" s="523"/>
      <c r="P73" s="524"/>
      <c r="Q73" s="524"/>
      <c r="R73" s="498"/>
      <c r="S73" s="498"/>
      <c r="T73" s="498"/>
      <c r="U73" s="498"/>
      <c r="V73" s="498"/>
      <c r="W73" s="498"/>
      <c r="X73" s="498"/>
      <c r="Y73" s="498"/>
      <c r="Z73" s="498"/>
      <c r="AA73" s="498"/>
      <c r="AB73" s="522"/>
      <c r="AC73" s="522"/>
      <c r="AD73" s="525"/>
      <c r="AF73" s="50"/>
    </row>
    <row r="74" spans="1:32" ht="25.5" customHeight="1">
      <c r="A74" s="517">
        <v>5</v>
      </c>
      <c r="B74" s="518"/>
      <c r="C74" s="104"/>
      <c r="D74" s="324"/>
      <c r="E74" s="321"/>
      <c r="F74" s="519"/>
      <c r="G74" s="520"/>
      <c r="H74" s="520"/>
      <c r="I74" s="520"/>
      <c r="J74" s="521"/>
      <c r="K74" s="522"/>
      <c r="L74" s="522"/>
      <c r="M74" s="51"/>
      <c r="N74" s="523"/>
      <c r="O74" s="523"/>
      <c r="P74" s="524"/>
      <c r="Q74" s="524"/>
      <c r="R74" s="498"/>
      <c r="S74" s="498"/>
      <c r="T74" s="498"/>
      <c r="U74" s="498"/>
      <c r="V74" s="498"/>
      <c r="W74" s="498"/>
      <c r="X74" s="498"/>
      <c r="Y74" s="498"/>
      <c r="Z74" s="498"/>
      <c r="AA74" s="498"/>
      <c r="AB74" s="522"/>
      <c r="AC74" s="522"/>
      <c r="AD74" s="525"/>
      <c r="AF74" s="50"/>
    </row>
    <row r="75" spans="1:32" ht="25.5" customHeight="1">
      <c r="A75" s="517">
        <v>6</v>
      </c>
      <c r="B75" s="518"/>
      <c r="C75" s="104"/>
      <c r="D75" s="324"/>
      <c r="E75" s="321"/>
      <c r="F75" s="519"/>
      <c r="G75" s="520"/>
      <c r="H75" s="520"/>
      <c r="I75" s="520"/>
      <c r="J75" s="521"/>
      <c r="K75" s="522"/>
      <c r="L75" s="522"/>
      <c r="M75" s="51"/>
      <c r="N75" s="523"/>
      <c r="O75" s="523"/>
      <c r="P75" s="524"/>
      <c r="Q75" s="524"/>
      <c r="R75" s="498"/>
      <c r="S75" s="498"/>
      <c r="T75" s="498"/>
      <c r="U75" s="498"/>
      <c r="V75" s="498"/>
      <c r="W75" s="498"/>
      <c r="X75" s="498"/>
      <c r="Y75" s="498"/>
      <c r="Z75" s="498"/>
      <c r="AA75" s="498"/>
      <c r="AB75" s="522"/>
      <c r="AC75" s="522"/>
      <c r="AD75" s="525"/>
      <c r="AF75" s="50"/>
    </row>
    <row r="76" spans="1:32" ht="25.5" customHeight="1">
      <c r="A76" s="517">
        <v>7</v>
      </c>
      <c r="B76" s="518"/>
      <c r="C76" s="104"/>
      <c r="D76" s="324"/>
      <c r="E76" s="321"/>
      <c r="F76" s="519"/>
      <c r="G76" s="520"/>
      <c r="H76" s="520"/>
      <c r="I76" s="520"/>
      <c r="J76" s="521"/>
      <c r="K76" s="522"/>
      <c r="L76" s="522"/>
      <c r="M76" s="51"/>
      <c r="N76" s="523"/>
      <c r="O76" s="523"/>
      <c r="P76" s="524"/>
      <c r="Q76" s="524"/>
      <c r="R76" s="498"/>
      <c r="S76" s="498"/>
      <c r="T76" s="498"/>
      <c r="U76" s="498"/>
      <c r="V76" s="498"/>
      <c r="W76" s="498"/>
      <c r="X76" s="498"/>
      <c r="Y76" s="498"/>
      <c r="Z76" s="498"/>
      <c r="AA76" s="498"/>
      <c r="AB76" s="522"/>
      <c r="AC76" s="522"/>
      <c r="AD76" s="525"/>
      <c r="AF76" s="50"/>
    </row>
    <row r="77" spans="1:32" ht="25.5" customHeight="1">
      <c r="A77" s="517">
        <v>8</v>
      </c>
      <c r="B77" s="518"/>
      <c r="C77" s="104"/>
      <c r="D77" s="324"/>
      <c r="E77" s="321"/>
      <c r="F77" s="526"/>
      <c r="G77" s="522"/>
      <c r="H77" s="522"/>
      <c r="I77" s="522"/>
      <c r="J77" s="522"/>
      <c r="K77" s="522"/>
      <c r="L77" s="522"/>
      <c r="M77" s="51"/>
      <c r="N77" s="523"/>
      <c r="O77" s="523"/>
      <c r="P77" s="524"/>
      <c r="Q77" s="524"/>
      <c r="R77" s="498"/>
      <c r="S77" s="498"/>
      <c r="T77" s="498"/>
      <c r="U77" s="498"/>
      <c r="V77" s="498"/>
      <c r="W77" s="498"/>
      <c r="X77" s="498"/>
      <c r="Y77" s="498"/>
      <c r="Z77" s="498"/>
      <c r="AA77" s="498"/>
      <c r="AB77" s="522"/>
      <c r="AC77" s="522"/>
      <c r="AD77" s="525"/>
      <c r="AF77" s="50"/>
    </row>
    <row r="78" spans="1:32" ht="25.5" customHeight="1">
      <c r="A78" s="517">
        <v>9</v>
      </c>
      <c r="B78" s="518"/>
      <c r="C78" s="104"/>
      <c r="D78" s="324"/>
      <c r="E78" s="321"/>
      <c r="F78" s="526"/>
      <c r="G78" s="522"/>
      <c r="H78" s="522"/>
      <c r="I78" s="522"/>
      <c r="J78" s="522"/>
      <c r="K78" s="522"/>
      <c r="L78" s="522"/>
      <c r="M78" s="51"/>
      <c r="N78" s="523"/>
      <c r="O78" s="523"/>
      <c r="P78" s="524"/>
      <c r="Q78" s="524"/>
      <c r="R78" s="498"/>
      <c r="S78" s="498"/>
      <c r="T78" s="498"/>
      <c r="U78" s="498"/>
      <c r="V78" s="498"/>
      <c r="W78" s="498"/>
      <c r="X78" s="498"/>
      <c r="Y78" s="498"/>
      <c r="Z78" s="498"/>
      <c r="AA78" s="498"/>
      <c r="AB78" s="522"/>
      <c r="AC78" s="522"/>
      <c r="AD78" s="525"/>
      <c r="AF78" s="50"/>
    </row>
    <row r="79" spans="1:32" ht="25.5" customHeight="1">
      <c r="A79" s="517">
        <v>10</v>
      </c>
      <c r="B79" s="518"/>
      <c r="C79" s="104"/>
      <c r="D79" s="324"/>
      <c r="E79" s="321"/>
      <c r="F79" s="526"/>
      <c r="G79" s="522"/>
      <c r="H79" s="522"/>
      <c r="I79" s="522"/>
      <c r="J79" s="522"/>
      <c r="K79" s="522"/>
      <c r="L79" s="522"/>
      <c r="M79" s="51"/>
      <c r="N79" s="523"/>
      <c r="O79" s="523"/>
      <c r="P79" s="524"/>
      <c r="Q79" s="524"/>
      <c r="R79" s="498"/>
      <c r="S79" s="498"/>
      <c r="T79" s="498"/>
      <c r="U79" s="498"/>
      <c r="V79" s="498"/>
      <c r="W79" s="498"/>
      <c r="X79" s="498"/>
      <c r="Y79" s="498"/>
      <c r="Z79" s="498"/>
      <c r="AA79" s="498"/>
      <c r="AB79" s="522"/>
      <c r="AC79" s="522"/>
      <c r="AD79" s="525"/>
      <c r="AF79" s="50"/>
    </row>
    <row r="80" spans="1:32" ht="26.25" customHeight="1" thickBot="1">
      <c r="A80" s="527" t="s">
        <v>473</v>
      </c>
      <c r="B80" s="527"/>
      <c r="C80" s="527"/>
      <c r="D80" s="527"/>
      <c r="E80" s="527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528" t="s">
        <v>111</v>
      </c>
      <c r="B81" s="529"/>
      <c r="C81" s="323" t="s">
        <v>2</v>
      </c>
      <c r="D81" s="323" t="s">
        <v>37</v>
      </c>
      <c r="E81" s="323" t="s">
        <v>121</v>
      </c>
      <c r="F81" s="530" t="s">
        <v>38</v>
      </c>
      <c r="G81" s="530"/>
      <c r="H81" s="530"/>
      <c r="I81" s="530"/>
      <c r="J81" s="530"/>
      <c r="K81" s="531" t="s">
        <v>58</v>
      </c>
      <c r="L81" s="532"/>
      <c r="M81" s="532"/>
      <c r="N81" s="532"/>
      <c r="O81" s="532"/>
      <c r="P81" s="532"/>
      <c r="Q81" s="532"/>
      <c r="R81" s="532"/>
      <c r="S81" s="533"/>
      <c r="T81" s="530" t="s">
        <v>49</v>
      </c>
      <c r="U81" s="530"/>
      <c r="V81" s="531" t="s">
        <v>50</v>
      </c>
      <c r="W81" s="533"/>
      <c r="X81" s="532" t="s">
        <v>51</v>
      </c>
      <c r="Y81" s="532"/>
      <c r="Z81" s="532"/>
      <c r="AA81" s="532"/>
      <c r="AB81" s="532"/>
      <c r="AC81" s="532"/>
      <c r="AD81" s="534"/>
      <c r="AF81" s="50"/>
    </row>
    <row r="82" spans="1:32" ht="33.75" customHeight="1">
      <c r="A82" s="543">
        <v>1</v>
      </c>
      <c r="B82" s="544"/>
      <c r="C82" s="325"/>
      <c r="D82" s="325"/>
      <c r="E82" s="65"/>
      <c r="F82" s="545"/>
      <c r="G82" s="546"/>
      <c r="H82" s="546"/>
      <c r="I82" s="546"/>
      <c r="J82" s="547"/>
      <c r="K82" s="548"/>
      <c r="L82" s="549"/>
      <c r="M82" s="549"/>
      <c r="N82" s="549"/>
      <c r="O82" s="549"/>
      <c r="P82" s="549"/>
      <c r="Q82" s="549"/>
      <c r="R82" s="549"/>
      <c r="S82" s="550"/>
      <c r="T82" s="551"/>
      <c r="U82" s="552"/>
      <c r="V82" s="553"/>
      <c r="W82" s="553"/>
      <c r="X82" s="554"/>
      <c r="Y82" s="554"/>
      <c r="Z82" s="554"/>
      <c r="AA82" s="554"/>
      <c r="AB82" s="554"/>
      <c r="AC82" s="554"/>
      <c r="AD82" s="555"/>
      <c r="AF82" s="50"/>
    </row>
    <row r="83" spans="1:32" ht="30" customHeight="1">
      <c r="A83" s="535">
        <f>A82+1</f>
        <v>2</v>
      </c>
      <c r="B83" s="536"/>
      <c r="C83" s="324"/>
      <c r="D83" s="324"/>
      <c r="E83" s="32"/>
      <c r="F83" s="536"/>
      <c r="G83" s="536"/>
      <c r="H83" s="536"/>
      <c r="I83" s="536"/>
      <c r="J83" s="536"/>
      <c r="K83" s="537"/>
      <c r="L83" s="538"/>
      <c r="M83" s="538"/>
      <c r="N83" s="538"/>
      <c r="O83" s="538"/>
      <c r="P83" s="538"/>
      <c r="Q83" s="538"/>
      <c r="R83" s="538"/>
      <c r="S83" s="539"/>
      <c r="T83" s="540"/>
      <c r="U83" s="540"/>
      <c r="V83" s="540"/>
      <c r="W83" s="540"/>
      <c r="X83" s="541"/>
      <c r="Y83" s="541"/>
      <c r="Z83" s="541"/>
      <c r="AA83" s="541"/>
      <c r="AB83" s="541"/>
      <c r="AC83" s="541"/>
      <c r="AD83" s="542"/>
      <c r="AF83" s="50"/>
    </row>
    <row r="84" spans="1:32" ht="30" customHeight="1">
      <c r="A84" s="535">
        <f t="shared" ref="A84:A88" si="11">A83+1</f>
        <v>3</v>
      </c>
      <c r="B84" s="536"/>
      <c r="C84" s="324"/>
      <c r="D84" s="324"/>
      <c r="E84" s="32"/>
      <c r="F84" s="536"/>
      <c r="G84" s="536"/>
      <c r="H84" s="536"/>
      <c r="I84" s="536"/>
      <c r="J84" s="536"/>
      <c r="K84" s="537"/>
      <c r="L84" s="538"/>
      <c r="M84" s="538"/>
      <c r="N84" s="538"/>
      <c r="O84" s="538"/>
      <c r="P84" s="538"/>
      <c r="Q84" s="538"/>
      <c r="R84" s="538"/>
      <c r="S84" s="539"/>
      <c r="T84" s="540"/>
      <c r="U84" s="540"/>
      <c r="V84" s="540"/>
      <c r="W84" s="540"/>
      <c r="X84" s="541"/>
      <c r="Y84" s="541"/>
      <c r="Z84" s="541"/>
      <c r="AA84" s="541"/>
      <c r="AB84" s="541"/>
      <c r="AC84" s="541"/>
      <c r="AD84" s="542"/>
      <c r="AF84" s="50"/>
    </row>
    <row r="85" spans="1:32" ht="30" customHeight="1">
      <c r="A85" s="535">
        <f t="shared" si="11"/>
        <v>4</v>
      </c>
      <c r="B85" s="536"/>
      <c r="C85" s="324"/>
      <c r="D85" s="324"/>
      <c r="E85" s="32"/>
      <c r="F85" s="536"/>
      <c r="G85" s="536"/>
      <c r="H85" s="536"/>
      <c r="I85" s="536"/>
      <c r="J85" s="536"/>
      <c r="K85" s="537"/>
      <c r="L85" s="538"/>
      <c r="M85" s="538"/>
      <c r="N85" s="538"/>
      <c r="O85" s="538"/>
      <c r="P85" s="538"/>
      <c r="Q85" s="538"/>
      <c r="R85" s="538"/>
      <c r="S85" s="539"/>
      <c r="T85" s="540"/>
      <c r="U85" s="540"/>
      <c r="V85" s="540"/>
      <c r="W85" s="540"/>
      <c r="X85" s="541"/>
      <c r="Y85" s="541"/>
      <c r="Z85" s="541"/>
      <c r="AA85" s="541"/>
      <c r="AB85" s="541"/>
      <c r="AC85" s="541"/>
      <c r="AD85" s="542"/>
      <c r="AF85" s="50"/>
    </row>
    <row r="86" spans="1:32" ht="30" customHeight="1">
      <c r="A86" s="535">
        <f t="shared" si="11"/>
        <v>5</v>
      </c>
      <c r="B86" s="536"/>
      <c r="C86" s="324"/>
      <c r="D86" s="324"/>
      <c r="E86" s="32"/>
      <c r="F86" s="536"/>
      <c r="G86" s="536"/>
      <c r="H86" s="536"/>
      <c r="I86" s="536"/>
      <c r="J86" s="536"/>
      <c r="K86" s="537"/>
      <c r="L86" s="538"/>
      <c r="M86" s="538"/>
      <c r="N86" s="538"/>
      <c r="O86" s="538"/>
      <c r="P86" s="538"/>
      <c r="Q86" s="538"/>
      <c r="R86" s="538"/>
      <c r="S86" s="539"/>
      <c r="T86" s="540"/>
      <c r="U86" s="540"/>
      <c r="V86" s="540"/>
      <c r="W86" s="540"/>
      <c r="X86" s="541"/>
      <c r="Y86" s="541"/>
      <c r="Z86" s="541"/>
      <c r="AA86" s="541"/>
      <c r="AB86" s="541"/>
      <c r="AC86" s="541"/>
      <c r="AD86" s="542"/>
      <c r="AF86" s="50"/>
    </row>
    <row r="87" spans="1:32" ht="30" customHeight="1">
      <c r="A87" s="535">
        <f t="shared" si="11"/>
        <v>6</v>
      </c>
      <c r="B87" s="536"/>
      <c r="C87" s="324"/>
      <c r="D87" s="324"/>
      <c r="E87" s="32"/>
      <c r="F87" s="536"/>
      <c r="G87" s="536"/>
      <c r="H87" s="536"/>
      <c r="I87" s="536"/>
      <c r="J87" s="536"/>
      <c r="K87" s="537"/>
      <c r="L87" s="538"/>
      <c r="M87" s="538"/>
      <c r="N87" s="538"/>
      <c r="O87" s="538"/>
      <c r="P87" s="538"/>
      <c r="Q87" s="538"/>
      <c r="R87" s="538"/>
      <c r="S87" s="539"/>
      <c r="T87" s="540"/>
      <c r="U87" s="540"/>
      <c r="V87" s="540"/>
      <c r="W87" s="540"/>
      <c r="X87" s="541"/>
      <c r="Y87" s="541"/>
      <c r="Z87" s="541"/>
      <c r="AA87" s="541"/>
      <c r="AB87" s="541"/>
      <c r="AC87" s="541"/>
      <c r="AD87" s="542"/>
      <c r="AF87" s="50"/>
    </row>
    <row r="88" spans="1:32" ht="30" customHeight="1">
      <c r="A88" s="535">
        <f t="shared" si="11"/>
        <v>7</v>
      </c>
      <c r="B88" s="536"/>
      <c r="C88" s="324"/>
      <c r="D88" s="324"/>
      <c r="E88" s="32"/>
      <c r="F88" s="536"/>
      <c r="G88" s="536"/>
      <c r="H88" s="536"/>
      <c r="I88" s="536"/>
      <c r="J88" s="536"/>
      <c r="K88" s="537"/>
      <c r="L88" s="538"/>
      <c r="M88" s="538"/>
      <c r="N88" s="538"/>
      <c r="O88" s="538"/>
      <c r="P88" s="538"/>
      <c r="Q88" s="538"/>
      <c r="R88" s="538"/>
      <c r="S88" s="539"/>
      <c r="T88" s="540"/>
      <c r="U88" s="540"/>
      <c r="V88" s="540"/>
      <c r="W88" s="540"/>
      <c r="X88" s="541"/>
      <c r="Y88" s="541"/>
      <c r="Z88" s="541"/>
      <c r="AA88" s="541"/>
      <c r="AB88" s="541"/>
      <c r="AC88" s="541"/>
      <c r="AD88" s="542"/>
      <c r="AF88" s="50"/>
    </row>
    <row r="89" spans="1:32" ht="36" thickBot="1">
      <c r="A89" s="527" t="s">
        <v>474</v>
      </c>
      <c r="B89" s="527"/>
      <c r="C89" s="527"/>
      <c r="D89" s="527"/>
      <c r="E89" s="527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56" t="s">
        <v>111</v>
      </c>
      <c r="B90" s="530"/>
      <c r="C90" s="557" t="s">
        <v>52</v>
      </c>
      <c r="D90" s="557"/>
      <c r="E90" s="557" t="s">
        <v>53</v>
      </c>
      <c r="F90" s="557"/>
      <c r="G90" s="557"/>
      <c r="H90" s="557"/>
      <c r="I90" s="557"/>
      <c r="J90" s="557"/>
      <c r="K90" s="557" t="s">
        <v>54</v>
      </c>
      <c r="L90" s="557"/>
      <c r="M90" s="557"/>
      <c r="N90" s="557"/>
      <c r="O90" s="557"/>
      <c r="P90" s="557"/>
      <c r="Q90" s="557"/>
      <c r="R90" s="557"/>
      <c r="S90" s="557"/>
      <c r="T90" s="557" t="s">
        <v>55</v>
      </c>
      <c r="U90" s="557"/>
      <c r="V90" s="557" t="s">
        <v>56</v>
      </c>
      <c r="W90" s="557"/>
      <c r="X90" s="557"/>
      <c r="Y90" s="557" t="s">
        <v>51</v>
      </c>
      <c r="Z90" s="557"/>
      <c r="AA90" s="557"/>
      <c r="AB90" s="557"/>
      <c r="AC90" s="557"/>
      <c r="AD90" s="558"/>
      <c r="AF90" s="50"/>
    </row>
    <row r="91" spans="1:32" ht="30.75" customHeight="1">
      <c r="A91" s="543">
        <v>1</v>
      </c>
      <c r="B91" s="544"/>
      <c r="C91" s="559">
        <v>9</v>
      </c>
      <c r="D91" s="559"/>
      <c r="E91" s="559" t="s">
        <v>127</v>
      </c>
      <c r="F91" s="559"/>
      <c r="G91" s="559"/>
      <c r="H91" s="559"/>
      <c r="I91" s="559"/>
      <c r="J91" s="559"/>
      <c r="K91" s="559" t="s">
        <v>136</v>
      </c>
      <c r="L91" s="559"/>
      <c r="M91" s="559"/>
      <c r="N91" s="559"/>
      <c r="O91" s="559"/>
      <c r="P91" s="559"/>
      <c r="Q91" s="559"/>
      <c r="R91" s="559"/>
      <c r="S91" s="559"/>
      <c r="T91" s="559" t="s">
        <v>128</v>
      </c>
      <c r="U91" s="559"/>
      <c r="V91" s="560" t="s">
        <v>133</v>
      </c>
      <c r="W91" s="560"/>
      <c r="X91" s="560"/>
      <c r="Y91" s="561"/>
      <c r="Z91" s="561"/>
      <c r="AA91" s="561"/>
      <c r="AB91" s="561"/>
      <c r="AC91" s="561"/>
      <c r="AD91" s="562"/>
      <c r="AF91" s="50"/>
    </row>
    <row r="92" spans="1:32" ht="30.75" customHeight="1">
      <c r="A92" s="535">
        <v>2</v>
      </c>
      <c r="B92" s="536"/>
      <c r="C92" s="570"/>
      <c r="D92" s="570"/>
      <c r="E92" s="570"/>
      <c r="F92" s="570"/>
      <c r="G92" s="570"/>
      <c r="H92" s="570"/>
      <c r="I92" s="570"/>
      <c r="J92" s="570"/>
      <c r="K92" s="570"/>
      <c r="L92" s="570"/>
      <c r="M92" s="570"/>
      <c r="N92" s="570"/>
      <c r="O92" s="570"/>
      <c r="P92" s="570"/>
      <c r="Q92" s="570"/>
      <c r="R92" s="570"/>
      <c r="S92" s="570"/>
      <c r="T92" s="571"/>
      <c r="U92" s="571"/>
      <c r="V92" s="572"/>
      <c r="W92" s="572"/>
      <c r="X92" s="572"/>
      <c r="Y92" s="563"/>
      <c r="Z92" s="563"/>
      <c r="AA92" s="563"/>
      <c r="AB92" s="563"/>
      <c r="AC92" s="563"/>
      <c r="AD92" s="564"/>
      <c r="AF92" s="50"/>
    </row>
    <row r="93" spans="1:32" ht="30.75" customHeight="1" thickBot="1">
      <c r="A93" s="565">
        <v>3</v>
      </c>
      <c r="B93" s="566"/>
      <c r="C93" s="567"/>
      <c r="D93" s="567"/>
      <c r="E93" s="567"/>
      <c r="F93" s="567"/>
      <c r="G93" s="567"/>
      <c r="H93" s="567"/>
      <c r="I93" s="567"/>
      <c r="J93" s="567"/>
      <c r="K93" s="567"/>
      <c r="L93" s="567"/>
      <c r="M93" s="567"/>
      <c r="N93" s="567"/>
      <c r="O93" s="567"/>
      <c r="P93" s="567"/>
      <c r="Q93" s="567"/>
      <c r="R93" s="567"/>
      <c r="S93" s="567"/>
      <c r="T93" s="567"/>
      <c r="U93" s="567"/>
      <c r="V93" s="573"/>
      <c r="W93" s="573"/>
      <c r="X93" s="573"/>
      <c r="Y93" s="568"/>
      <c r="Z93" s="568"/>
      <c r="AA93" s="568"/>
      <c r="AB93" s="568"/>
      <c r="AC93" s="568"/>
      <c r="AD93" s="569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3" max="29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33CC-FA94-45E3-A8EB-C4A860341687}">
  <dimension ref="A1:AF94"/>
  <sheetViews>
    <sheetView view="pageBreakPreview" topLeftCell="A70" zoomScale="70" zoomScaleNormal="72" zoomScaleSheetLayoutView="70" workbookViewId="0">
      <selection activeCell="A91" sqref="A91:B9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50" t="s">
        <v>475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1"/>
      <c r="B3" s="451"/>
      <c r="C3" s="451"/>
      <c r="D3" s="451"/>
      <c r="E3" s="451"/>
      <c r="F3" s="451"/>
      <c r="G3" s="45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52" t="s">
        <v>0</v>
      </c>
      <c r="B4" s="454" t="s">
        <v>1</v>
      </c>
      <c r="C4" s="454" t="s">
        <v>2</v>
      </c>
      <c r="D4" s="457" t="s">
        <v>3</v>
      </c>
      <c r="E4" s="459" t="s">
        <v>4</v>
      </c>
      <c r="F4" s="457" t="s">
        <v>5</v>
      </c>
      <c r="G4" s="454" t="s">
        <v>6</v>
      </c>
      <c r="H4" s="460" t="s">
        <v>7</v>
      </c>
      <c r="I4" s="480" t="s">
        <v>8</v>
      </c>
      <c r="J4" s="481"/>
      <c r="K4" s="481"/>
      <c r="L4" s="481"/>
      <c r="M4" s="481"/>
      <c r="N4" s="481"/>
      <c r="O4" s="482"/>
      <c r="P4" s="483" t="s">
        <v>9</v>
      </c>
      <c r="Q4" s="484"/>
      <c r="R4" s="486" t="s">
        <v>10</v>
      </c>
      <c r="S4" s="485"/>
      <c r="T4" s="485"/>
      <c r="U4" s="485"/>
      <c r="V4" s="487"/>
      <c r="W4" s="485" t="s">
        <v>11</v>
      </c>
      <c r="X4" s="485"/>
      <c r="Y4" s="485"/>
      <c r="Z4" s="485"/>
      <c r="AA4" s="487"/>
      <c r="AB4" s="488" t="s">
        <v>12</v>
      </c>
      <c r="AC4" s="462" t="s">
        <v>13</v>
      </c>
      <c r="AD4" s="462" t="s">
        <v>14</v>
      </c>
      <c r="AE4" s="54"/>
    </row>
    <row r="5" spans="1:32" ht="51" customHeight="1" thickBot="1">
      <c r="A5" s="453"/>
      <c r="B5" s="455"/>
      <c r="C5" s="456"/>
      <c r="D5" s="458"/>
      <c r="E5" s="458"/>
      <c r="F5" s="458"/>
      <c r="G5" s="455"/>
      <c r="H5" s="461"/>
      <c r="I5" s="55" t="s">
        <v>15</v>
      </c>
      <c r="J5" s="56" t="s">
        <v>16</v>
      </c>
      <c r="K5" s="338" t="s">
        <v>17</v>
      </c>
      <c r="L5" s="338" t="s">
        <v>18</v>
      </c>
      <c r="M5" s="338" t="s">
        <v>19</v>
      </c>
      <c r="N5" s="33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89"/>
      <c r="AC5" s="463"/>
      <c r="AD5" s="463"/>
      <c r="AE5" s="54"/>
    </row>
    <row r="6" spans="1:32" ht="27" customHeight="1">
      <c r="A6" s="112">
        <v>1</v>
      </c>
      <c r="B6" s="11" t="s">
        <v>57</v>
      </c>
      <c r="C6" s="34" t="s">
        <v>116</v>
      </c>
      <c r="D6" s="52" t="s">
        <v>130</v>
      </c>
      <c r="E6" s="53" t="s">
        <v>158</v>
      </c>
      <c r="F6" s="30" t="s">
        <v>146</v>
      </c>
      <c r="G6" s="12">
        <v>2</v>
      </c>
      <c r="H6" s="13">
        <v>24</v>
      </c>
      <c r="I6" s="31">
        <v>174000</v>
      </c>
      <c r="J6" s="14">
        <v>13128</v>
      </c>
      <c r="K6" s="15">
        <f>L6+2384+8412+9776+8821+8774+10138+6972+8852+4388+11916+2738+3190+6210+12800+10648+13436+12794</f>
        <v>155377</v>
      </c>
      <c r="L6" s="15">
        <f>3307*2+3257*2</f>
        <v>13128</v>
      </c>
      <c r="M6" s="15">
        <f t="shared" ref="M6:M28" si="0">L6-N6</f>
        <v>13128</v>
      </c>
      <c r="N6" s="15">
        <v>0</v>
      </c>
      <c r="O6" s="58">
        <f t="shared" ref="O6:O29" si="1">IF(L6=0,"0",N6/L6)</f>
        <v>0</v>
      </c>
      <c r="P6" s="39">
        <f t="shared" ref="P6:P28" si="2">IF(L6=0,"0",(24-Q6))</f>
        <v>24</v>
      </c>
      <c r="Q6" s="40">
        <f t="shared" ref="Q6:Q28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8" si="4">IF(J6=0,"0",(L6/J6))</f>
        <v>1</v>
      </c>
      <c r="AC6" s="9">
        <f t="shared" ref="AC6:AC28" si="5">IF(P6=0,"0",(P6/24))</f>
        <v>1</v>
      </c>
      <c r="AD6" s="10">
        <f t="shared" ref="AD6:AD28" si="6">AC6*AB6*(1-O6)</f>
        <v>1</v>
      </c>
      <c r="AE6" s="36">
        <f t="shared" ref="AE6:AE28" si="7">$AD$29</f>
        <v>0.39855072463768115</v>
      </c>
      <c r="AF6" s="84">
        <f t="shared" ref="AF6:AF28" si="8">A6</f>
        <v>1</v>
      </c>
    </row>
    <row r="7" spans="1:32" ht="27" customHeight="1">
      <c r="A7" s="112">
        <v>2</v>
      </c>
      <c r="B7" s="11" t="s">
        <v>57</v>
      </c>
      <c r="C7" s="34" t="s">
        <v>116</v>
      </c>
      <c r="D7" s="52" t="s">
        <v>130</v>
      </c>
      <c r="E7" s="53" t="s">
        <v>424</v>
      </c>
      <c r="F7" s="30" t="s">
        <v>146</v>
      </c>
      <c r="G7" s="12">
        <v>2</v>
      </c>
      <c r="H7" s="13">
        <v>24</v>
      </c>
      <c r="I7" s="31">
        <v>3000</v>
      </c>
      <c r="J7" s="14">
        <v>4260</v>
      </c>
      <c r="K7" s="15">
        <f>L7+4260</f>
        <v>4260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0.39855072463768115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143</v>
      </c>
      <c r="D8" s="52" t="s">
        <v>260</v>
      </c>
      <c r="E8" s="53" t="s">
        <v>465</v>
      </c>
      <c r="F8" s="30" t="s">
        <v>131</v>
      </c>
      <c r="G8" s="12">
        <v>1</v>
      </c>
      <c r="H8" s="13">
        <v>24</v>
      </c>
      <c r="I8" s="7">
        <v>700</v>
      </c>
      <c r="J8" s="14">
        <v>1761</v>
      </c>
      <c r="K8" s="15">
        <f>L8+1761</f>
        <v>1761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0.39855072463768115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116</v>
      </c>
      <c r="D9" s="52" t="s">
        <v>115</v>
      </c>
      <c r="E9" s="53" t="s">
        <v>457</v>
      </c>
      <c r="F9" s="30" t="s">
        <v>350</v>
      </c>
      <c r="G9" s="12">
        <v>1</v>
      </c>
      <c r="H9" s="13">
        <v>24</v>
      </c>
      <c r="I9" s="7">
        <v>14000</v>
      </c>
      <c r="J9" s="14">
        <v>4693</v>
      </c>
      <c r="K9" s="15">
        <f>L9+4214</f>
        <v>8907</v>
      </c>
      <c r="L9" s="15">
        <f>2199+189+2305</f>
        <v>4693</v>
      </c>
      <c r="M9" s="15">
        <f t="shared" si="0"/>
        <v>4693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0.39855072463768115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116</v>
      </c>
      <c r="D10" s="52" t="s">
        <v>317</v>
      </c>
      <c r="E10" s="53" t="s">
        <v>426</v>
      </c>
      <c r="F10" s="30" t="s">
        <v>145</v>
      </c>
      <c r="G10" s="33">
        <v>2</v>
      </c>
      <c r="H10" s="35">
        <v>24</v>
      </c>
      <c r="I10" s="7">
        <v>6000</v>
      </c>
      <c r="J10" s="14">
        <v>6600</v>
      </c>
      <c r="K10" s="15">
        <f>L10+6600</f>
        <v>6600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0.39855072463768115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116</v>
      </c>
      <c r="D11" s="52" t="s">
        <v>173</v>
      </c>
      <c r="E11" s="53" t="s">
        <v>458</v>
      </c>
      <c r="F11" s="30" t="s">
        <v>145</v>
      </c>
      <c r="G11" s="33">
        <v>16</v>
      </c>
      <c r="H11" s="35">
        <v>24</v>
      </c>
      <c r="I11" s="7">
        <v>150000</v>
      </c>
      <c r="J11" s="14">
        <v>105528</v>
      </c>
      <c r="K11" s="15">
        <f>L11+98292</f>
        <v>203820</v>
      </c>
      <c r="L11" s="15">
        <f>4423*12+4371*12</f>
        <v>105528</v>
      </c>
      <c r="M11" s="15">
        <f t="shared" si="0"/>
        <v>105528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0.39855072463768115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403</v>
      </c>
      <c r="F12" s="30" t="s">
        <v>167</v>
      </c>
      <c r="G12" s="12">
        <v>1</v>
      </c>
      <c r="H12" s="13">
        <v>22</v>
      </c>
      <c r="I12" s="31">
        <v>70000</v>
      </c>
      <c r="J12" s="5">
        <v>5460</v>
      </c>
      <c r="K12" s="15">
        <f>L12+3050+5463+5497+6377+5244</f>
        <v>31091</v>
      </c>
      <c r="L12" s="15">
        <f>2740+2720</f>
        <v>5460</v>
      </c>
      <c r="M12" s="15">
        <f t="shared" si="0"/>
        <v>5460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0.39855072463768115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116</v>
      </c>
      <c r="D13" s="52" t="s">
        <v>124</v>
      </c>
      <c r="E13" s="53" t="s">
        <v>471</v>
      </c>
      <c r="F13" s="30" t="s">
        <v>131</v>
      </c>
      <c r="G13" s="33">
        <v>1</v>
      </c>
      <c r="H13" s="35">
        <v>24</v>
      </c>
      <c r="I13" s="7">
        <v>14000</v>
      </c>
      <c r="J13" s="14">
        <v>4237</v>
      </c>
      <c r="K13" s="15">
        <f>L13</f>
        <v>4237</v>
      </c>
      <c r="L13" s="15">
        <f>1873+2364</f>
        <v>4237</v>
      </c>
      <c r="M13" s="15">
        <f t="shared" si="0"/>
        <v>4237</v>
      </c>
      <c r="N13" s="15">
        <v>0</v>
      </c>
      <c r="O13" s="58">
        <f t="shared" si="1"/>
        <v>0</v>
      </c>
      <c r="P13" s="39">
        <f t="shared" si="2"/>
        <v>20</v>
      </c>
      <c r="Q13" s="40">
        <f t="shared" si="3"/>
        <v>4</v>
      </c>
      <c r="R13" s="7"/>
      <c r="S13" s="6">
        <v>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0.83333333333333337</v>
      </c>
      <c r="AD13" s="10">
        <f t="shared" si="6"/>
        <v>0.83333333333333337</v>
      </c>
      <c r="AE13" s="36">
        <f t="shared" si="7"/>
        <v>0.39855072463768115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459</v>
      </c>
      <c r="F14" s="30" t="s">
        <v>350</v>
      </c>
      <c r="G14" s="33">
        <v>1</v>
      </c>
      <c r="H14" s="35">
        <v>50</v>
      </c>
      <c r="I14" s="7">
        <v>500</v>
      </c>
      <c r="J14" s="5">
        <v>116</v>
      </c>
      <c r="K14" s="15">
        <f>L14+303</f>
        <v>419</v>
      </c>
      <c r="L14" s="15">
        <v>116</v>
      </c>
      <c r="M14" s="15">
        <f t="shared" si="0"/>
        <v>116</v>
      </c>
      <c r="N14" s="15">
        <v>0</v>
      </c>
      <c r="O14" s="58">
        <f t="shared" si="1"/>
        <v>0</v>
      </c>
      <c r="P14" s="39">
        <f t="shared" si="2"/>
        <v>4</v>
      </c>
      <c r="Q14" s="40">
        <f t="shared" si="3"/>
        <v>20</v>
      </c>
      <c r="R14" s="7"/>
      <c r="S14" s="6">
        <v>20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0.16666666666666666</v>
      </c>
      <c r="AD14" s="10">
        <f t="shared" si="6"/>
        <v>0.16666666666666666</v>
      </c>
      <c r="AE14" s="36">
        <f t="shared" si="7"/>
        <v>0.39855072463768115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123</v>
      </c>
      <c r="E15" s="53" t="s">
        <v>141</v>
      </c>
      <c r="F15" s="30" t="s">
        <v>135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0.39855072463768115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112</v>
      </c>
      <c r="D16" s="52" t="s">
        <v>115</v>
      </c>
      <c r="E16" s="53" t="s">
        <v>460</v>
      </c>
      <c r="F16" s="30" t="s">
        <v>131</v>
      </c>
      <c r="G16" s="12">
        <v>1</v>
      </c>
      <c r="H16" s="13">
        <v>24</v>
      </c>
      <c r="I16" s="7">
        <v>500</v>
      </c>
      <c r="J16" s="14">
        <v>920</v>
      </c>
      <c r="K16" s="15">
        <f>L16+920</f>
        <v>920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0.39855072463768115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143</v>
      </c>
      <c r="D17" s="52" t="s">
        <v>150</v>
      </c>
      <c r="E17" s="53" t="s">
        <v>159</v>
      </c>
      <c r="F17" s="30" t="s">
        <v>154</v>
      </c>
      <c r="G17" s="12">
        <v>3</v>
      </c>
      <c r="H17" s="13">
        <v>24</v>
      </c>
      <c r="I17" s="7">
        <v>260000</v>
      </c>
      <c r="J17" s="14">
        <v>10491</v>
      </c>
      <c r="K17" s="15">
        <f>L17+16128+16857+16941+16140+15960+17466+17355+17745+17910+17925+2610+16239+17901+14879+13701+18378+18492+10491</f>
        <v>283118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0.39855072463768115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116</v>
      </c>
      <c r="D18" s="52" t="s">
        <v>124</v>
      </c>
      <c r="E18" s="53" t="s">
        <v>323</v>
      </c>
      <c r="F18" s="30" t="s">
        <v>134</v>
      </c>
      <c r="G18" s="33">
        <v>1</v>
      </c>
      <c r="H18" s="35">
        <v>24</v>
      </c>
      <c r="I18" s="7">
        <v>50000</v>
      </c>
      <c r="J18" s="14">
        <v>1300</v>
      </c>
      <c r="K18" s="15">
        <f>L18+4611+6255+1986+5058</f>
        <v>19210</v>
      </c>
      <c r="L18" s="15">
        <v>1300</v>
      </c>
      <c r="M18" s="15">
        <f t="shared" si="0"/>
        <v>1300</v>
      </c>
      <c r="N18" s="15">
        <v>0</v>
      </c>
      <c r="O18" s="58">
        <f t="shared" si="1"/>
        <v>0</v>
      </c>
      <c r="P18" s="39">
        <f t="shared" si="2"/>
        <v>6</v>
      </c>
      <c r="Q18" s="40">
        <f t="shared" si="3"/>
        <v>18</v>
      </c>
      <c r="R18" s="7"/>
      <c r="S18" s="6">
        <v>18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0.25</v>
      </c>
      <c r="AD18" s="10">
        <f t="shared" si="6"/>
        <v>0.25</v>
      </c>
      <c r="AE18" s="36">
        <f t="shared" si="7"/>
        <v>0.39855072463768115</v>
      </c>
      <c r="AF18" s="84">
        <f t="shared" si="8"/>
        <v>13</v>
      </c>
    </row>
    <row r="19" spans="1:32" ht="27" customHeight="1">
      <c r="A19" s="96">
        <v>13</v>
      </c>
      <c r="B19" s="11" t="s">
        <v>57</v>
      </c>
      <c r="C19" s="11" t="s">
        <v>143</v>
      </c>
      <c r="D19" s="52" t="s">
        <v>115</v>
      </c>
      <c r="E19" s="53" t="s">
        <v>476</v>
      </c>
      <c r="F19" s="30" t="s">
        <v>350</v>
      </c>
      <c r="G19" s="33">
        <v>1</v>
      </c>
      <c r="H19" s="35">
        <v>24</v>
      </c>
      <c r="I19" s="7">
        <v>1000</v>
      </c>
      <c r="J19" s="14">
        <v>2566</v>
      </c>
      <c r="K19" s="15">
        <f>L19</f>
        <v>2566</v>
      </c>
      <c r="L19" s="15">
        <f>425+2141</f>
        <v>2566</v>
      </c>
      <c r="M19" s="15">
        <f t="shared" ref="M19" si="9">L19-N19</f>
        <v>2566</v>
      </c>
      <c r="N19" s="15">
        <v>0</v>
      </c>
      <c r="O19" s="58">
        <f t="shared" ref="O19" si="10">IF(L19=0,"0",N19/L19)</f>
        <v>0</v>
      </c>
      <c r="P19" s="39">
        <f t="shared" ref="P19" si="11">IF(L19=0,"0",(24-Q19))</f>
        <v>14</v>
      </c>
      <c r="Q19" s="40">
        <f t="shared" ref="Q19" si="12">SUM(R19:AA19)</f>
        <v>10</v>
      </c>
      <c r="R19" s="7"/>
      <c r="S19" s="6"/>
      <c r="T19" s="16">
        <v>10</v>
      </c>
      <c r="U19" s="16"/>
      <c r="V19" s="17"/>
      <c r="W19" s="5"/>
      <c r="X19" s="16"/>
      <c r="Y19" s="16"/>
      <c r="Z19" s="16"/>
      <c r="AA19" s="18"/>
      <c r="AB19" s="8">
        <f t="shared" ref="AB19" si="13">IF(J19=0,"0",(L19/J19))</f>
        <v>1</v>
      </c>
      <c r="AC19" s="9">
        <f t="shared" ref="AC19" si="14">IF(P19=0,"0",(P19/24))</f>
        <v>0.58333333333333337</v>
      </c>
      <c r="AD19" s="10">
        <f t="shared" ref="AD19" si="15">AC19*AB19*(1-O19)</f>
        <v>0.58333333333333337</v>
      </c>
      <c r="AE19" s="36">
        <f t="shared" si="7"/>
        <v>0.39855072463768115</v>
      </c>
      <c r="AF19" s="84">
        <f t="shared" ref="AF19" si="16">A19</f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142</v>
      </c>
      <c r="E20" s="53" t="s">
        <v>161</v>
      </c>
      <c r="F20" s="30" t="s">
        <v>134</v>
      </c>
      <c r="G20" s="33">
        <v>1</v>
      </c>
      <c r="H20" s="35">
        <v>24</v>
      </c>
      <c r="I20" s="7">
        <v>54000</v>
      </c>
      <c r="J20" s="14">
        <v>2400</v>
      </c>
      <c r="K20" s="15">
        <f>L20+5079+5307+3503+1179+3568+5398+5390+5307+4716</f>
        <v>41847</v>
      </c>
      <c r="L20" s="15">
        <f>2400</f>
        <v>2400</v>
      </c>
      <c r="M20" s="15">
        <f t="shared" si="0"/>
        <v>2400</v>
      </c>
      <c r="N20" s="15">
        <v>0</v>
      </c>
      <c r="O20" s="58">
        <f t="shared" si="1"/>
        <v>0</v>
      </c>
      <c r="P20" s="39">
        <f t="shared" si="2"/>
        <v>12</v>
      </c>
      <c r="Q20" s="40">
        <f t="shared" si="3"/>
        <v>12</v>
      </c>
      <c r="R20" s="7"/>
      <c r="S20" s="6">
        <v>12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0.5</v>
      </c>
      <c r="AD20" s="10">
        <f t="shared" si="6"/>
        <v>0.5</v>
      </c>
      <c r="AE20" s="36">
        <f t="shared" si="7"/>
        <v>0.39855072463768115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143</v>
      </c>
      <c r="D21" s="52" t="s">
        <v>317</v>
      </c>
      <c r="E21" s="53" t="s">
        <v>477</v>
      </c>
      <c r="F21" s="30" t="s">
        <v>301</v>
      </c>
      <c r="G21" s="12">
        <v>1</v>
      </c>
      <c r="H21" s="13">
        <v>24</v>
      </c>
      <c r="I21" s="7">
        <v>1000</v>
      </c>
      <c r="J21" s="14">
        <v>3635</v>
      </c>
      <c r="K21" s="15">
        <f>L21</f>
        <v>3635</v>
      </c>
      <c r="L21" s="15">
        <f>1103+2532</f>
        <v>3635</v>
      </c>
      <c r="M21" s="15">
        <f t="shared" si="0"/>
        <v>3635</v>
      </c>
      <c r="N21" s="15">
        <v>0</v>
      </c>
      <c r="O21" s="58">
        <f t="shared" si="1"/>
        <v>0</v>
      </c>
      <c r="P21" s="39">
        <f t="shared" si="2"/>
        <v>20</v>
      </c>
      <c r="Q21" s="40">
        <f t="shared" si="3"/>
        <v>4</v>
      </c>
      <c r="R21" s="7"/>
      <c r="S21" s="6"/>
      <c r="T21" s="16">
        <v>4</v>
      </c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0.83333333333333337</v>
      </c>
      <c r="AD21" s="10">
        <f t="shared" si="6"/>
        <v>0.83333333333333337</v>
      </c>
      <c r="AE21" s="36">
        <f t="shared" si="7"/>
        <v>0.39855072463768115</v>
      </c>
      <c r="AF21" s="84">
        <f t="shared" si="8"/>
        <v>15</v>
      </c>
    </row>
    <row r="22" spans="1:32" ht="27" customHeight="1">
      <c r="A22" s="96">
        <v>16</v>
      </c>
      <c r="B22" s="11" t="s">
        <v>57</v>
      </c>
      <c r="C22" s="11" t="s">
        <v>113</v>
      </c>
      <c r="D22" s="52"/>
      <c r="E22" s="53" t="s">
        <v>384</v>
      </c>
      <c r="F22" s="12" t="s">
        <v>114</v>
      </c>
      <c r="G22" s="12">
        <v>4</v>
      </c>
      <c r="H22" s="35">
        <v>20</v>
      </c>
      <c r="I22" s="7">
        <v>110000</v>
      </c>
      <c r="J22" s="14">
        <v>70044</v>
      </c>
      <c r="K22" s="15">
        <f>L22+33068+77956+67572+72180+74076+62904</f>
        <v>457800</v>
      </c>
      <c r="L22" s="15">
        <f>8789*4+8722*4</f>
        <v>70044</v>
      </c>
      <c r="M22" s="15">
        <f t="shared" si="0"/>
        <v>70044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0.39855072463768115</v>
      </c>
      <c r="AF22" s="84">
        <f t="shared" si="8"/>
        <v>16</v>
      </c>
    </row>
    <row r="23" spans="1:32" ht="27" customHeight="1">
      <c r="A23" s="96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0.39855072463768115</v>
      </c>
      <c r="AF23" s="84">
        <f t="shared" si="8"/>
        <v>31</v>
      </c>
    </row>
    <row r="24" spans="1:32" ht="27" customHeight="1">
      <c r="A24" s="96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0.39855072463768115</v>
      </c>
      <c r="AF24" s="84">
        <f t="shared" si="8"/>
        <v>32</v>
      </c>
    </row>
    <row r="25" spans="1:32" ht="27" customHeight="1">
      <c r="A25" s="96">
        <v>33</v>
      </c>
      <c r="B25" s="11" t="s">
        <v>57</v>
      </c>
      <c r="C25" s="11" t="s">
        <v>116</v>
      </c>
      <c r="D25" s="52" t="s">
        <v>150</v>
      </c>
      <c r="E25" s="53" t="s">
        <v>163</v>
      </c>
      <c r="F25" s="12" t="s">
        <v>145</v>
      </c>
      <c r="G25" s="12">
        <v>1</v>
      </c>
      <c r="H25" s="35">
        <v>20</v>
      </c>
      <c r="I25" s="7">
        <v>140000</v>
      </c>
      <c r="J25" s="14">
        <v>7208</v>
      </c>
      <c r="K25" s="15">
        <f>L25+4387+7770+5806+7905+7479+7369+7360+2397+6904</f>
        <v>64585</v>
      </c>
      <c r="L25" s="15">
        <f>3868+3340</f>
        <v>7208</v>
      </c>
      <c r="M25" s="15">
        <f t="shared" si="0"/>
        <v>7208</v>
      </c>
      <c r="N25" s="15">
        <v>0</v>
      </c>
      <c r="O25" s="58">
        <f t="shared" si="1"/>
        <v>0</v>
      </c>
      <c r="P25" s="39">
        <f t="shared" si="2"/>
        <v>24</v>
      </c>
      <c r="Q25" s="40">
        <f t="shared" si="3"/>
        <v>0</v>
      </c>
      <c r="R25" s="7"/>
      <c r="S25" s="6"/>
      <c r="T25" s="16"/>
      <c r="U25" s="16"/>
      <c r="V25" s="206"/>
      <c r="W25" s="5"/>
      <c r="X25" s="16"/>
      <c r="Y25" s="16"/>
      <c r="Z25" s="16"/>
      <c r="AA25" s="18"/>
      <c r="AB25" s="8">
        <f t="shared" si="4"/>
        <v>1</v>
      </c>
      <c r="AC25" s="9">
        <f t="shared" si="5"/>
        <v>1</v>
      </c>
      <c r="AD25" s="10">
        <f t="shared" si="6"/>
        <v>1</v>
      </c>
      <c r="AE25" s="36">
        <f t="shared" si="7"/>
        <v>0.39855072463768115</v>
      </c>
      <c r="AF25" s="84">
        <f t="shared" si="8"/>
        <v>33</v>
      </c>
    </row>
    <row r="26" spans="1:32" ht="27" customHeight="1">
      <c r="A26" s="96">
        <v>34</v>
      </c>
      <c r="B26" s="11" t="s">
        <v>57</v>
      </c>
      <c r="C26" s="11" t="s">
        <v>116</v>
      </c>
      <c r="D26" s="52" t="s">
        <v>150</v>
      </c>
      <c r="E26" s="53" t="s">
        <v>165</v>
      </c>
      <c r="F26" s="12" t="s">
        <v>135</v>
      </c>
      <c r="G26" s="12">
        <v>4</v>
      </c>
      <c r="H26" s="35">
        <v>20</v>
      </c>
      <c r="I26" s="7">
        <v>240000</v>
      </c>
      <c r="J26" s="14">
        <v>9988</v>
      </c>
      <c r="K26" s="15">
        <f>L26+24768+29084+29040+29804+27780+4064+26996+28972+25428+29132+9988</f>
        <v>265056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206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0.39855072463768115</v>
      </c>
      <c r="AF26" s="84">
        <f t="shared" si="8"/>
        <v>34</v>
      </c>
    </row>
    <row r="27" spans="1:32" ht="27" customHeight="1">
      <c r="A27" s="96">
        <v>35</v>
      </c>
      <c r="B27" s="11" t="s">
        <v>57</v>
      </c>
      <c r="C27" s="11" t="s">
        <v>116</v>
      </c>
      <c r="D27" s="52" t="s">
        <v>123</v>
      </c>
      <c r="E27" s="53" t="s">
        <v>137</v>
      </c>
      <c r="F27" s="12" t="s">
        <v>135</v>
      </c>
      <c r="G27" s="12">
        <v>4</v>
      </c>
      <c r="H27" s="35">
        <v>20</v>
      </c>
      <c r="I27" s="7">
        <v>240000</v>
      </c>
      <c r="J27" s="14">
        <v>11600</v>
      </c>
      <c r="K27" s="15">
        <f>L27+25004+29968+31848+29672+31736+27000+29200+29420+29140+11600</f>
        <v>274588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206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0.39855072463768115</v>
      </c>
      <c r="AF27" s="84">
        <f t="shared" si="8"/>
        <v>35</v>
      </c>
    </row>
    <row r="28" spans="1:32" ht="27" customHeight="1" thickBot="1">
      <c r="A28" s="96">
        <v>36</v>
      </c>
      <c r="B28" s="11" t="s">
        <v>57</v>
      </c>
      <c r="C28" s="11" t="s">
        <v>380</v>
      </c>
      <c r="D28" s="52"/>
      <c r="E28" s="53" t="s">
        <v>381</v>
      </c>
      <c r="F28" s="12" t="s">
        <v>382</v>
      </c>
      <c r="G28" s="12">
        <v>32</v>
      </c>
      <c r="H28" s="35">
        <v>20</v>
      </c>
      <c r="I28" s="7">
        <v>700000</v>
      </c>
      <c r="J28" s="14">
        <v>89792</v>
      </c>
      <c r="K28" s="15">
        <f>L28+326528+448864+89792</f>
        <v>865184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206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6"/>
        <v>0</v>
      </c>
      <c r="AE28" s="36">
        <f t="shared" si="7"/>
        <v>0.39855072463768115</v>
      </c>
      <c r="AF28" s="84">
        <f t="shared" si="8"/>
        <v>36</v>
      </c>
    </row>
    <row r="29" spans="1:32" ht="31.5" customHeight="1" thickBot="1">
      <c r="A29" s="464" t="s">
        <v>34</v>
      </c>
      <c r="B29" s="465"/>
      <c r="C29" s="465"/>
      <c r="D29" s="465"/>
      <c r="E29" s="465"/>
      <c r="F29" s="465"/>
      <c r="G29" s="465"/>
      <c r="H29" s="466"/>
      <c r="I29" s="22">
        <f t="shared" ref="I29:N29" si="17">SUM(I6:I28)</f>
        <v>2240700</v>
      </c>
      <c r="J29" s="19">
        <f t="shared" si="17"/>
        <v>368083</v>
      </c>
      <c r="K29" s="20">
        <f t="shared" si="17"/>
        <v>2707337</v>
      </c>
      <c r="L29" s="21">
        <f t="shared" si="17"/>
        <v>220315</v>
      </c>
      <c r="M29" s="20">
        <f t="shared" si="17"/>
        <v>220315</v>
      </c>
      <c r="N29" s="21">
        <f t="shared" si="17"/>
        <v>0</v>
      </c>
      <c r="O29" s="41">
        <f t="shared" si="1"/>
        <v>0</v>
      </c>
      <c r="P29" s="42">
        <f t="shared" ref="P29:AA29" si="18">SUM(P6:P28)</f>
        <v>220</v>
      </c>
      <c r="Q29" s="43">
        <f t="shared" si="18"/>
        <v>332</v>
      </c>
      <c r="R29" s="23">
        <f t="shared" si="18"/>
        <v>0</v>
      </c>
      <c r="S29" s="24">
        <f t="shared" si="18"/>
        <v>78</v>
      </c>
      <c r="T29" s="24">
        <f t="shared" si="18"/>
        <v>14</v>
      </c>
      <c r="U29" s="24">
        <f t="shared" si="18"/>
        <v>0</v>
      </c>
      <c r="V29" s="25">
        <f t="shared" si="18"/>
        <v>48</v>
      </c>
      <c r="W29" s="26">
        <f t="shared" si="18"/>
        <v>192</v>
      </c>
      <c r="X29" s="27">
        <f t="shared" si="18"/>
        <v>0</v>
      </c>
      <c r="Y29" s="27">
        <f t="shared" si="18"/>
        <v>0</v>
      </c>
      <c r="Z29" s="27">
        <f t="shared" si="18"/>
        <v>0</v>
      </c>
      <c r="AA29" s="27">
        <f t="shared" si="18"/>
        <v>0</v>
      </c>
      <c r="AB29" s="28">
        <f>AVERAGE(AB6:AB28)</f>
        <v>0.5714285714285714</v>
      </c>
      <c r="AC29" s="4">
        <f>AVERAGE(AC6:AC28)</f>
        <v>0.39855072463768115</v>
      </c>
      <c r="AD29" s="4">
        <f>AVERAGE(AD6:AD28)</f>
        <v>0.39855072463768115</v>
      </c>
      <c r="AE29" s="29"/>
    </row>
    <row r="30" spans="1:32">
      <c r="T30" s="50" t="s">
        <v>157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160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5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467" t="s">
        <v>45</v>
      </c>
      <c r="B56" s="467"/>
      <c r="C56" s="467"/>
      <c r="D56" s="467"/>
      <c r="E56" s="467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468" t="s">
        <v>478</v>
      </c>
      <c r="B57" s="469"/>
      <c r="C57" s="469"/>
      <c r="D57" s="469"/>
      <c r="E57" s="469"/>
      <c r="F57" s="469"/>
      <c r="G57" s="469"/>
      <c r="H57" s="469"/>
      <c r="I57" s="469"/>
      <c r="J57" s="469"/>
      <c r="K57" s="469"/>
      <c r="L57" s="469"/>
      <c r="M57" s="470"/>
      <c r="N57" s="471" t="s">
        <v>479</v>
      </c>
      <c r="O57" s="472"/>
      <c r="P57" s="472"/>
      <c r="Q57" s="472"/>
      <c r="R57" s="472"/>
      <c r="S57" s="472"/>
      <c r="T57" s="472"/>
      <c r="U57" s="472"/>
      <c r="V57" s="472"/>
      <c r="W57" s="472"/>
      <c r="X57" s="472"/>
      <c r="Y57" s="472"/>
      <c r="Z57" s="472"/>
      <c r="AA57" s="472"/>
      <c r="AB57" s="472"/>
      <c r="AC57" s="472"/>
      <c r="AD57" s="473"/>
    </row>
    <row r="58" spans="1:32" ht="27" customHeight="1">
      <c r="A58" s="474" t="s">
        <v>2</v>
      </c>
      <c r="B58" s="475"/>
      <c r="C58" s="337" t="s">
        <v>46</v>
      </c>
      <c r="D58" s="337" t="s">
        <v>47</v>
      </c>
      <c r="E58" s="337" t="s">
        <v>107</v>
      </c>
      <c r="F58" s="476" t="s">
        <v>106</v>
      </c>
      <c r="G58" s="477"/>
      <c r="H58" s="477"/>
      <c r="I58" s="477"/>
      <c r="J58" s="477"/>
      <c r="K58" s="477"/>
      <c r="L58" s="477"/>
      <c r="M58" s="478"/>
      <c r="N58" s="67" t="s">
        <v>110</v>
      </c>
      <c r="O58" s="337" t="s">
        <v>46</v>
      </c>
      <c r="P58" s="476" t="s">
        <v>47</v>
      </c>
      <c r="Q58" s="479"/>
      <c r="R58" s="476" t="s">
        <v>38</v>
      </c>
      <c r="S58" s="477"/>
      <c r="T58" s="477"/>
      <c r="U58" s="479"/>
      <c r="V58" s="476" t="s">
        <v>48</v>
      </c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500" t="s">
        <v>116</v>
      </c>
      <c r="B59" s="501"/>
      <c r="C59" s="332" t="s">
        <v>259</v>
      </c>
      <c r="D59" s="332" t="s">
        <v>140</v>
      </c>
      <c r="E59" s="333" t="s">
        <v>471</v>
      </c>
      <c r="F59" s="492" t="s">
        <v>469</v>
      </c>
      <c r="G59" s="493"/>
      <c r="H59" s="493"/>
      <c r="I59" s="493"/>
      <c r="J59" s="493"/>
      <c r="K59" s="493"/>
      <c r="L59" s="493"/>
      <c r="M59" s="494"/>
      <c r="N59" s="336" t="s">
        <v>116</v>
      </c>
      <c r="O59" s="330" t="s">
        <v>259</v>
      </c>
      <c r="P59" s="495" t="s">
        <v>140</v>
      </c>
      <c r="Q59" s="496"/>
      <c r="R59" s="495" t="s">
        <v>471</v>
      </c>
      <c r="S59" s="497"/>
      <c r="T59" s="497"/>
      <c r="U59" s="496"/>
      <c r="V59" s="498" t="s">
        <v>120</v>
      </c>
      <c r="W59" s="498"/>
      <c r="X59" s="498"/>
      <c r="Y59" s="498"/>
      <c r="Z59" s="498"/>
      <c r="AA59" s="498"/>
      <c r="AB59" s="498"/>
      <c r="AC59" s="498"/>
      <c r="AD59" s="499"/>
    </row>
    <row r="60" spans="1:32" ht="27" customHeight="1">
      <c r="A60" s="500" t="s">
        <v>116</v>
      </c>
      <c r="B60" s="501"/>
      <c r="C60" s="332" t="s">
        <v>175</v>
      </c>
      <c r="D60" s="332" t="s">
        <v>115</v>
      </c>
      <c r="E60" s="333" t="s">
        <v>457</v>
      </c>
      <c r="F60" s="492" t="s">
        <v>421</v>
      </c>
      <c r="G60" s="493"/>
      <c r="H60" s="493"/>
      <c r="I60" s="493"/>
      <c r="J60" s="493"/>
      <c r="K60" s="493"/>
      <c r="L60" s="493"/>
      <c r="M60" s="494"/>
      <c r="N60" s="336" t="s">
        <v>112</v>
      </c>
      <c r="O60" s="330" t="s">
        <v>206</v>
      </c>
      <c r="P60" s="495" t="s">
        <v>115</v>
      </c>
      <c r="Q60" s="496"/>
      <c r="R60" s="495" t="s">
        <v>459</v>
      </c>
      <c r="S60" s="497"/>
      <c r="T60" s="497"/>
      <c r="U60" s="496"/>
      <c r="V60" s="498" t="s">
        <v>120</v>
      </c>
      <c r="W60" s="498"/>
      <c r="X60" s="498"/>
      <c r="Y60" s="498"/>
      <c r="Z60" s="498"/>
      <c r="AA60" s="498"/>
      <c r="AB60" s="498"/>
      <c r="AC60" s="498"/>
      <c r="AD60" s="499"/>
    </row>
    <row r="61" spans="1:32" ht="27" customHeight="1">
      <c r="A61" s="500" t="s">
        <v>112</v>
      </c>
      <c r="B61" s="501"/>
      <c r="C61" s="332" t="s">
        <v>206</v>
      </c>
      <c r="D61" s="332" t="s">
        <v>115</v>
      </c>
      <c r="E61" s="333" t="s">
        <v>459</v>
      </c>
      <c r="F61" s="492" t="s">
        <v>285</v>
      </c>
      <c r="G61" s="493"/>
      <c r="H61" s="493"/>
      <c r="I61" s="493"/>
      <c r="J61" s="493"/>
      <c r="K61" s="493"/>
      <c r="L61" s="493"/>
      <c r="M61" s="494"/>
      <c r="N61" s="336" t="s">
        <v>112</v>
      </c>
      <c r="O61" s="330" t="s">
        <v>482</v>
      </c>
      <c r="P61" s="495" t="s">
        <v>115</v>
      </c>
      <c r="Q61" s="496"/>
      <c r="R61" s="495" t="s">
        <v>480</v>
      </c>
      <c r="S61" s="497"/>
      <c r="T61" s="497"/>
      <c r="U61" s="496"/>
      <c r="V61" s="498" t="s">
        <v>481</v>
      </c>
      <c r="W61" s="498"/>
      <c r="X61" s="498"/>
      <c r="Y61" s="498"/>
      <c r="Z61" s="498"/>
      <c r="AA61" s="498"/>
      <c r="AB61" s="498"/>
      <c r="AC61" s="498"/>
      <c r="AD61" s="499"/>
    </row>
    <row r="62" spans="1:32" ht="27" customHeight="1">
      <c r="A62" s="500" t="s">
        <v>116</v>
      </c>
      <c r="B62" s="501"/>
      <c r="C62" s="332" t="s">
        <v>286</v>
      </c>
      <c r="D62" s="332" t="s">
        <v>140</v>
      </c>
      <c r="E62" s="333" t="s">
        <v>323</v>
      </c>
      <c r="F62" s="492" t="s">
        <v>368</v>
      </c>
      <c r="G62" s="493"/>
      <c r="H62" s="493"/>
      <c r="I62" s="493"/>
      <c r="J62" s="493"/>
      <c r="K62" s="493"/>
      <c r="L62" s="493"/>
      <c r="M62" s="494"/>
      <c r="N62" s="336" t="s">
        <v>112</v>
      </c>
      <c r="O62" s="330" t="s">
        <v>489</v>
      </c>
      <c r="P62" s="495" t="s">
        <v>115</v>
      </c>
      <c r="Q62" s="496"/>
      <c r="R62" s="495" t="s">
        <v>487</v>
      </c>
      <c r="S62" s="497"/>
      <c r="T62" s="497"/>
      <c r="U62" s="496"/>
      <c r="V62" s="498" t="s">
        <v>481</v>
      </c>
      <c r="W62" s="498"/>
      <c r="X62" s="498"/>
      <c r="Y62" s="498"/>
      <c r="Z62" s="498"/>
      <c r="AA62" s="498"/>
      <c r="AB62" s="498"/>
      <c r="AC62" s="498"/>
      <c r="AD62" s="499"/>
    </row>
    <row r="63" spans="1:32" ht="27" customHeight="1">
      <c r="A63" s="500" t="s">
        <v>143</v>
      </c>
      <c r="B63" s="501"/>
      <c r="C63" s="332" t="s">
        <v>129</v>
      </c>
      <c r="D63" s="332" t="s">
        <v>317</v>
      </c>
      <c r="E63" s="333" t="s">
        <v>477</v>
      </c>
      <c r="F63" s="492" t="s">
        <v>125</v>
      </c>
      <c r="G63" s="493"/>
      <c r="H63" s="493"/>
      <c r="I63" s="493"/>
      <c r="J63" s="493"/>
      <c r="K63" s="493"/>
      <c r="L63" s="493"/>
      <c r="M63" s="494"/>
      <c r="N63" s="336" t="s">
        <v>112</v>
      </c>
      <c r="O63" s="330" t="s">
        <v>491</v>
      </c>
      <c r="P63" s="495" t="s">
        <v>490</v>
      </c>
      <c r="Q63" s="496"/>
      <c r="R63" s="495" t="s">
        <v>488</v>
      </c>
      <c r="S63" s="497"/>
      <c r="T63" s="497"/>
      <c r="U63" s="496"/>
      <c r="V63" s="498" t="s">
        <v>481</v>
      </c>
      <c r="W63" s="498"/>
      <c r="X63" s="498"/>
      <c r="Y63" s="498"/>
      <c r="Z63" s="498"/>
      <c r="AA63" s="498"/>
      <c r="AB63" s="498"/>
      <c r="AC63" s="498"/>
      <c r="AD63" s="499"/>
    </row>
    <row r="64" spans="1:32" ht="27" customHeight="1">
      <c r="A64" s="500" t="s">
        <v>143</v>
      </c>
      <c r="B64" s="501"/>
      <c r="C64" s="332" t="s">
        <v>286</v>
      </c>
      <c r="D64" s="332" t="s">
        <v>115</v>
      </c>
      <c r="E64" s="333" t="s">
        <v>476</v>
      </c>
      <c r="F64" s="492" t="s">
        <v>125</v>
      </c>
      <c r="G64" s="493"/>
      <c r="H64" s="493"/>
      <c r="I64" s="493"/>
      <c r="J64" s="493"/>
      <c r="K64" s="493"/>
      <c r="L64" s="493"/>
      <c r="M64" s="494"/>
      <c r="N64" s="336" t="s">
        <v>112</v>
      </c>
      <c r="O64" s="330" t="s">
        <v>485</v>
      </c>
      <c r="P64" s="495" t="s">
        <v>486</v>
      </c>
      <c r="Q64" s="496"/>
      <c r="R64" s="495" t="s">
        <v>483</v>
      </c>
      <c r="S64" s="497"/>
      <c r="T64" s="497"/>
      <c r="U64" s="496"/>
      <c r="V64" s="498" t="s">
        <v>120</v>
      </c>
      <c r="W64" s="498"/>
      <c r="X64" s="498"/>
      <c r="Y64" s="498"/>
      <c r="Z64" s="498"/>
      <c r="AA64" s="498"/>
      <c r="AB64" s="498"/>
      <c r="AC64" s="498"/>
      <c r="AD64" s="499"/>
    </row>
    <row r="65" spans="1:32" ht="27" customHeight="1">
      <c r="A65" s="490" t="s">
        <v>112</v>
      </c>
      <c r="B65" s="491"/>
      <c r="C65" s="333" t="s">
        <v>485</v>
      </c>
      <c r="D65" s="333" t="s">
        <v>486</v>
      </c>
      <c r="E65" s="333" t="s">
        <v>483</v>
      </c>
      <c r="F65" s="492" t="s">
        <v>484</v>
      </c>
      <c r="G65" s="493"/>
      <c r="H65" s="493"/>
      <c r="I65" s="493"/>
      <c r="J65" s="493"/>
      <c r="K65" s="493"/>
      <c r="L65" s="493"/>
      <c r="M65" s="494"/>
      <c r="N65" s="336"/>
      <c r="O65" s="330"/>
      <c r="P65" s="495"/>
      <c r="Q65" s="496"/>
      <c r="R65" s="495"/>
      <c r="S65" s="497"/>
      <c r="T65" s="497"/>
      <c r="U65" s="496"/>
      <c r="V65" s="498"/>
      <c r="W65" s="498"/>
      <c r="X65" s="498"/>
      <c r="Y65" s="498"/>
      <c r="Z65" s="498"/>
      <c r="AA65" s="498"/>
      <c r="AB65" s="498"/>
      <c r="AC65" s="498"/>
      <c r="AD65" s="499"/>
    </row>
    <row r="66" spans="1:32" ht="27" customHeight="1">
      <c r="A66" s="500"/>
      <c r="B66" s="501"/>
      <c r="C66" s="332"/>
      <c r="D66" s="332"/>
      <c r="E66" s="333"/>
      <c r="F66" s="492"/>
      <c r="G66" s="493"/>
      <c r="H66" s="493"/>
      <c r="I66" s="493"/>
      <c r="J66" s="493"/>
      <c r="K66" s="493"/>
      <c r="L66" s="493"/>
      <c r="M66" s="494"/>
      <c r="N66" s="336"/>
      <c r="O66" s="330"/>
      <c r="P66" s="495"/>
      <c r="Q66" s="496"/>
      <c r="R66" s="495"/>
      <c r="S66" s="497"/>
      <c r="T66" s="497"/>
      <c r="U66" s="496"/>
      <c r="V66" s="498"/>
      <c r="W66" s="498"/>
      <c r="X66" s="498"/>
      <c r="Y66" s="498"/>
      <c r="Z66" s="498"/>
      <c r="AA66" s="498"/>
      <c r="AB66" s="498"/>
      <c r="AC66" s="498"/>
      <c r="AD66" s="499"/>
    </row>
    <row r="67" spans="1:32" ht="27" customHeight="1">
      <c r="A67" s="500"/>
      <c r="B67" s="501"/>
      <c r="C67" s="332"/>
      <c r="D67" s="332"/>
      <c r="E67" s="333"/>
      <c r="F67" s="492"/>
      <c r="G67" s="493"/>
      <c r="H67" s="493"/>
      <c r="I67" s="493"/>
      <c r="J67" s="493"/>
      <c r="K67" s="493"/>
      <c r="L67" s="493"/>
      <c r="M67" s="494"/>
      <c r="N67" s="336"/>
      <c r="O67" s="330"/>
      <c r="P67" s="491"/>
      <c r="Q67" s="491"/>
      <c r="R67" s="491"/>
      <c r="S67" s="491"/>
      <c r="T67" s="491"/>
      <c r="U67" s="491"/>
      <c r="V67" s="498"/>
      <c r="W67" s="498"/>
      <c r="X67" s="498"/>
      <c r="Y67" s="498"/>
      <c r="Z67" s="498"/>
      <c r="AA67" s="498"/>
      <c r="AB67" s="498"/>
      <c r="AC67" s="498"/>
      <c r="AD67" s="499"/>
      <c r="AF67" s="84">
        <f>8*3000</f>
        <v>24000</v>
      </c>
    </row>
    <row r="68" spans="1:32" ht="27" customHeight="1" thickBot="1">
      <c r="A68" s="502"/>
      <c r="B68" s="503"/>
      <c r="C68" s="334"/>
      <c r="D68" s="335"/>
      <c r="E68" s="334"/>
      <c r="F68" s="504"/>
      <c r="G68" s="505"/>
      <c r="H68" s="505"/>
      <c r="I68" s="505"/>
      <c r="J68" s="505"/>
      <c r="K68" s="505"/>
      <c r="L68" s="505"/>
      <c r="M68" s="506"/>
      <c r="N68" s="111"/>
      <c r="O68" s="103"/>
      <c r="P68" s="507"/>
      <c r="Q68" s="507"/>
      <c r="R68" s="507"/>
      <c r="S68" s="507"/>
      <c r="T68" s="507"/>
      <c r="U68" s="507"/>
      <c r="V68" s="508"/>
      <c r="W68" s="508"/>
      <c r="X68" s="508"/>
      <c r="Y68" s="508"/>
      <c r="Z68" s="508"/>
      <c r="AA68" s="508"/>
      <c r="AB68" s="508"/>
      <c r="AC68" s="508"/>
      <c r="AD68" s="509"/>
      <c r="AF68" s="84">
        <f>16*3000</f>
        <v>48000</v>
      </c>
    </row>
    <row r="69" spans="1:32" ht="27.75" thickBot="1">
      <c r="A69" s="510" t="s">
        <v>492</v>
      </c>
      <c r="B69" s="510"/>
      <c r="C69" s="510"/>
      <c r="D69" s="510"/>
      <c r="E69" s="510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4">
        <v>24000</v>
      </c>
    </row>
    <row r="70" spans="1:32" ht="29.25" customHeight="1" thickBot="1">
      <c r="A70" s="511" t="s">
        <v>111</v>
      </c>
      <c r="B70" s="512"/>
      <c r="C70" s="331" t="s">
        <v>2</v>
      </c>
      <c r="D70" s="331" t="s">
        <v>37</v>
      </c>
      <c r="E70" s="331" t="s">
        <v>3</v>
      </c>
      <c r="F70" s="512" t="s">
        <v>109</v>
      </c>
      <c r="G70" s="512"/>
      <c r="H70" s="512"/>
      <c r="I70" s="512"/>
      <c r="J70" s="512"/>
      <c r="K70" s="512" t="s">
        <v>39</v>
      </c>
      <c r="L70" s="512"/>
      <c r="M70" s="331" t="s">
        <v>40</v>
      </c>
      <c r="N70" s="512" t="s">
        <v>41</v>
      </c>
      <c r="O70" s="512"/>
      <c r="P70" s="513" t="s">
        <v>42</v>
      </c>
      <c r="Q70" s="514"/>
      <c r="R70" s="513" t="s">
        <v>43</v>
      </c>
      <c r="S70" s="515"/>
      <c r="T70" s="515"/>
      <c r="U70" s="515"/>
      <c r="V70" s="515"/>
      <c r="W70" s="515"/>
      <c r="X70" s="515"/>
      <c r="Y70" s="515"/>
      <c r="Z70" s="515"/>
      <c r="AA70" s="514"/>
      <c r="AB70" s="512" t="s">
        <v>44</v>
      </c>
      <c r="AC70" s="512"/>
      <c r="AD70" s="516"/>
      <c r="AF70" s="84">
        <f>SUM(AF67:AF69)</f>
        <v>96000</v>
      </c>
    </row>
    <row r="71" spans="1:32" ht="25.5" customHeight="1">
      <c r="A71" s="517">
        <v>1</v>
      </c>
      <c r="B71" s="518"/>
      <c r="C71" s="104" t="s">
        <v>494</v>
      </c>
      <c r="D71" s="326"/>
      <c r="E71" s="329" t="s">
        <v>495</v>
      </c>
      <c r="F71" s="519" t="s">
        <v>493</v>
      </c>
      <c r="G71" s="520"/>
      <c r="H71" s="520"/>
      <c r="I71" s="520"/>
      <c r="J71" s="521"/>
      <c r="K71" s="522" t="s">
        <v>496</v>
      </c>
      <c r="L71" s="522"/>
      <c r="M71" s="51" t="s">
        <v>497</v>
      </c>
      <c r="N71" s="523" t="s">
        <v>498</v>
      </c>
      <c r="O71" s="523"/>
      <c r="P71" s="524">
        <v>50</v>
      </c>
      <c r="Q71" s="524"/>
      <c r="R71" s="498"/>
      <c r="S71" s="498"/>
      <c r="T71" s="498"/>
      <c r="U71" s="498"/>
      <c r="V71" s="498"/>
      <c r="W71" s="498"/>
      <c r="X71" s="498"/>
      <c r="Y71" s="498"/>
      <c r="Z71" s="498"/>
      <c r="AA71" s="498"/>
      <c r="AB71" s="522"/>
      <c r="AC71" s="522"/>
      <c r="AD71" s="525"/>
      <c r="AF71" s="50"/>
    </row>
    <row r="72" spans="1:32" ht="25.5" customHeight="1">
      <c r="A72" s="517">
        <v>2</v>
      </c>
      <c r="B72" s="518"/>
      <c r="C72" s="104" t="s">
        <v>502</v>
      </c>
      <c r="D72" s="326"/>
      <c r="E72" s="329"/>
      <c r="F72" s="519" t="s">
        <v>499</v>
      </c>
      <c r="G72" s="520"/>
      <c r="H72" s="520"/>
      <c r="I72" s="520"/>
      <c r="J72" s="521"/>
      <c r="K72" s="522" t="s">
        <v>500</v>
      </c>
      <c r="L72" s="522"/>
      <c r="M72" s="51" t="s">
        <v>497</v>
      </c>
      <c r="N72" s="523" t="s">
        <v>482</v>
      </c>
      <c r="O72" s="523"/>
      <c r="P72" s="524">
        <v>50</v>
      </c>
      <c r="Q72" s="524"/>
      <c r="R72" s="498"/>
      <c r="S72" s="498"/>
      <c r="T72" s="498"/>
      <c r="U72" s="498"/>
      <c r="V72" s="498"/>
      <c r="W72" s="498"/>
      <c r="X72" s="498"/>
      <c r="Y72" s="498"/>
      <c r="Z72" s="498"/>
      <c r="AA72" s="498"/>
      <c r="AB72" s="522"/>
      <c r="AC72" s="522"/>
      <c r="AD72" s="525"/>
      <c r="AF72" s="50"/>
    </row>
    <row r="73" spans="1:32" ht="25.5" customHeight="1">
      <c r="A73" s="517">
        <v>3</v>
      </c>
      <c r="B73" s="518"/>
      <c r="C73" s="104" t="s">
        <v>502</v>
      </c>
      <c r="D73" s="326"/>
      <c r="E73" s="329"/>
      <c r="F73" s="519" t="s">
        <v>501</v>
      </c>
      <c r="G73" s="520"/>
      <c r="H73" s="520"/>
      <c r="I73" s="520"/>
      <c r="J73" s="521"/>
      <c r="K73" s="522" t="s">
        <v>500</v>
      </c>
      <c r="L73" s="522"/>
      <c r="M73" s="51" t="s">
        <v>497</v>
      </c>
      <c r="N73" s="523" t="s">
        <v>482</v>
      </c>
      <c r="O73" s="523"/>
      <c r="P73" s="524">
        <v>250</v>
      </c>
      <c r="Q73" s="524"/>
      <c r="R73" s="498"/>
      <c r="S73" s="498"/>
      <c r="T73" s="498"/>
      <c r="U73" s="498"/>
      <c r="V73" s="498"/>
      <c r="W73" s="498"/>
      <c r="X73" s="498"/>
      <c r="Y73" s="498"/>
      <c r="Z73" s="498"/>
      <c r="AA73" s="498"/>
      <c r="AB73" s="522"/>
      <c r="AC73" s="522"/>
      <c r="AD73" s="525"/>
      <c r="AF73" s="50"/>
    </row>
    <row r="74" spans="1:32" ht="25.5" customHeight="1">
      <c r="A74" s="517">
        <v>4</v>
      </c>
      <c r="B74" s="518"/>
      <c r="C74" s="104"/>
      <c r="D74" s="326"/>
      <c r="E74" s="329"/>
      <c r="F74" s="519"/>
      <c r="G74" s="520"/>
      <c r="H74" s="520"/>
      <c r="I74" s="520"/>
      <c r="J74" s="521"/>
      <c r="K74" s="522"/>
      <c r="L74" s="522"/>
      <c r="M74" s="51"/>
      <c r="N74" s="523"/>
      <c r="O74" s="523"/>
      <c r="P74" s="524"/>
      <c r="Q74" s="524"/>
      <c r="R74" s="498"/>
      <c r="S74" s="498"/>
      <c r="T74" s="498"/>
      <c r="U74" s="498"/>
      <c r="V74" s="498"/>
      <c r="W74" s="498"/>
      <c r="X74" s="498"/>
      <c r="Y74" s="498"/>
      <c r="Z74" s="498"/>
      <c r="AA74" s="498"/>
      <c r="AB74" s="522"/>
      <c r="AC74" s="522"/>
      <c r="AD74" s="525"/>
      <c r="AF74" s="50"/>
    </row>
    <row r="75" spans="1:32" ht="25.5" customHeight="1">
      <c r="A75" s="517">
        <v>5</v>
      </c>
      <c r="B75" s="518"/>
      <c r="C75" s="104"/>
      <c r="D75" s="326"/>
      <c r="E75" s="329"/>
      <c r="F75" s="519"/>
      <c r="G75" s="520"/>
      <c r="H75" s="520"/>
      <c r="I75" s="520"/>
      <c r="J75" s="521"/>
      <c r="K75" s="522"/>
      <c r="L75" s="522"/>
      <c r="M75" s="51"/>
      <c r="N75" s="523"/>
      <c r="O75" s="523"/>
      <c r="P75" s="524"/>
      <c r="Q75" s="524"/>
      <c r="R75" s="498"/>
      <c r="S75" s="498"/>
      <c r="T75" s="498"/>
      <c r="U75" s="498"/>
      <c r="V75" s="498"/>
      <c r="W75" s="498"/>
      <c r="X75" s="498"/>
      <c r="Y75" s="498"/>
      <c r="Z75" s="498"/>
      <c r="AA75" s="498"/>
      <c r="AB75" s="522"/>
      <c r="AC75" s="522"/>
      <c r="AD75" s="525"/>
      <c r="AF75" s="50"/>
    </row>
    <row r="76" spans="1:32" ht="25.5" customHeight="1">
      <c r="A76" s="517">
        <v>6</v>
      </c>
      <c r="B76" s="518"/>
      <c r="C76" s="104"/>
      <c r="D76" s="326"/>
      <c r="E76" s="329"/>
      <c r="F76" s="519"/>
      <c r="G76" s="520"/>
      <c r="H76" s="520"/>
      <c r="I76" s="520"/>
      <c r="J76" s="521"/>
      <c r="K76" s="522"/>
      <c r="L76" s="522"/>
      <c r="M76" s="51"/>
      <c r="N76" s="523"/>
      <c r="O76" s="523"/>
      <c r="P76" s="524"/>
      <c r="Q76" s="524"/>
      <c r="R76" s="498"/>
      <c r="S76" s="498"/>
      <c r="T76" s="498"/>
      <c r="U76" s="498"/>
      <c r="V76" s="498"/>
      <c r="W76" s="498"/>
      <c r="X76" s="498"/>
      <c r="Y76" s="498"/>
      <c r="Z76" s="498"/>
      <c r="AA76" s="498"/>
      <c r="AB76" s="522"/>
      <c r="AC76" s="522"/>
      <c r="AD76" s="525"/>
      <c r="AF76" s="50"/>
    </row>
    <row r="77" spans="1:32" ht="25.5" customHeight="1">
      <c r="A77" s="517">
        <v>7</v>
      </c>
      <c r="B77" s="518"/>
      <c r="C77" s="104"/>
      <c r="D77" s="326"/>
      <c r="E77" s="329"/>
      <c r="F77" s="519"/>
      <c r="G77" s="520"/>
      <c r="H77" s="520"/>
      <c r="I77" s="520"/>
      <c r="J77" s="521"/>
      <c r="K77" s="522"/>
      <c r="L77" s="522"/>
      <c r="M77" s="51"/>
      <c r="N77" s="523"/>
      <c r="O77" s="523"/>
      <c r="P77" s="524"/>
      <c r="Q77" s="524"/>
      <c r="R77" s="498"/>
      <c r="S77" s="498"/>
      <c r="T77" s="498"/>
      <c r="U77" s="498"/>
      <c r="V77" s="498"/>
      <c r="W77" s="498"/>
      <c r="X77" s="498"/>
      <c r="Y77" s="498"/>
      <c r="Z77" s="498"/>
      <c r="AA77" s="498"/>
      <c r="AB77" s="522"/>
      <c r="AC77" s="522"/>
      <c r="AD77" s="525"/>
      <c r="AF77" s="50"/>
    </row>
    <row r="78" spans="1:32" ht="25.5" customHeight="1">
      <c r="A78" s="517">
        <v>8</v>
      </c>
      <c r="B78" s="518"/>
      <c r="C78" s="104"/>
      <c r="D78" s="326"/>
      <c r="E78" s="329"/>
      <c r="F78" s="526"/>
      <c r="G78" s="522"/>
      <c r="H78" s="522"/>
      <c r="I78" s="522"/>
      <c r="J78" s="522"/>
      <c r="K78" s="522"/>
      <c r="L78" s="522"/>
      <c r="M78" s="51"/>
      <c r="N78" s="523"/>
      <c r="O78" s="523"/>
      <c r="P78" s="524"/>
      <c r="Q78" s="524"/>
      <c r="R78" s="498"/>
      <c r="S78" s="498"/>
      <c r="T78" s="498"/>
      <c r="U78" s="498"/>
      <c r="V78" s="498"/>
      <c r="W78" s="498"/>
      <c r="X78" s="498"/>
      <c r="Y78" s="498"/>
      <c r="Z78" s="498"/>
      <c r="AA78" s="498"/>
      <c r="AB78" s="522"/>
      <c r="AC78" s="522"/>
      <c r="AD78" s="525"/>
      <c r="AF78" s="50"/>
    </row>
    <row r="79" spans="1:32" ht="25.5" customHeight="1">
      <c r="A79" s="517">
        <v>9</v>
      </c>
      <c r="B79" s="518"/>
      <c r="C79" s="104"/>
      <c r="D79" s="326"/>
      <c r="E79" s="329"/>
      <c r="F79" s="526"/>
      <c r="G79" s="522"/>
      <c r="H79" s="522"/>
      <c r="I79" s="522"/>
      <c r="J79" s="522"/>
      <c r="K79" s="522"/>
      <c r="L79" s="522"/>
      <c r="M79" s="51"/>
      <c r="N79" s="523"/>
      <c r="O79" s="523"/>
      <c r="P79" s="524"/>
      <c r="Q79" s="524"/>
      <c r="R79" s="498"/>
      <c r="S79" s="498"/>
      <c r="T79" s="498"/>
      <c r="U79" s="498"/>
      <c r="V79" s="498"/>
      <c r="W79" s="498"/>
      <c r="X79" s="498"/>
      <c r="Y79" s="498"/>
      <c r="Z79" s="498"/>
      <c r="AA79" s="498"/>
      <c r="AB79" s="522"/>
      <c r="AC79" s="522"/>
      <c r="AD79" s="525"/>
      <c r="AF79" s="50"/>
    </row>
    <row r="80" spans="1:32" ht="25.5" customHeight="1">
      <c r="A80" s="517">
        <v>10</v>
      </c>
      <c r="B80" s="518"/>
      <c r="C80" s="104"/>
      <c r="D80" s="326"/>
      <c r="E80" s="329"/>
      <c r="F80" s="526"/>
      <c r="G80" s="522"/>
      <c r="H80" s="522"/>
      <c r="I80" s="522"/>
      <c r="J80" s="522"/>
      <c r="K80" s="522"/>
      <c r="L80" s="522"/>
      <c r="M80" s="51"/>
      <c r="N80" s="523"/>
      <c r="O80" s="523"/>
      <c r="P80" s="524"/>
      <c r="Q80" s="524"/>
      <c r="R80" s="498"/>
      <c r="S80" s="498"/>
      <c r="T80" s="498"/>
      <c r="U80" s="498"/>
      <c r="V80" s="498"/>
      <c r="W80" s="498"/>
      <c r="X80" s="498"/>
      <c r="Y80" s="498"/>
      <c r="Z80" s="498"/>
      <c r="AA80" s="498"/>
      <c r="AB80" s="522"/>
      <c r="AC80" s="522"/>
      <c r="AD80" s="525"/>
      <c r="AF80" s="50"/>
    </row>
    <row r="81" spans="1:32" ht="26.25" customHeight="1" thickBot="1">
      <c r="A81" s="527" t="s">
        <v>503</v>
      </c>
      <c r="B81" s="527"/>
      <c r="C81" s="527"/>
      <c r="D81" s="527"/>
      <c r="E81" s="527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528" t="s">
        <v>111</v>
      </c>
      <c r="B82" s="529"/>
      <c r="C82" s="328" t="s">
        <v>2</v>
      </c>
      <c r="D82" s="328" t="s">
        <v>37</v>
      </c>
      <c r="E82" s="328" t="s">
        <v>121</v>
      </c>
      <c r="F82" s="530" t="s">
        <v>38</v>
      </c>
      <c r="G82" s="530"/>
      <c r="H82" s="530"/>
      <c r="I82" s="530"/>
      <c r="J82" s="530"/>
      <c r="K82" s="531" t="s">
        <v>58</v>
      </c>
      <c r="L82" s="532"/>
      <c r="M82" s="532"/>
      <c r="N82" s="532"/>
      <c r="O82" s="532"/>
      <c r="P82" s="532"/>
      <c r="Q82" s="532"/>
      <c r="R82" s="532"/>
      <c r="S82" s="533"/>
      <c r="T82" s="530" t="s">
        <v>49</v>
      </c>
      <c r="U82" s="530"/>
      <c r="V82" s="531" t="s">
        <v>50</v>
      </c>
      <c r="W82" s="533"/>
      <c r="X82" s="532" t="s">
        <v>51</v>
      </c>
      <c r="Y82" s="532"/>
      <c r="Z82" s="532"/>
      <c r="AA82" s="532"/>
      <c r="AB82" s="532"/>
      <c r="AC82" s="532"/>
      <c r="AD82" s="534"/>
      <c r="AF82" s="50"/>
    </row>
    <row r="83" spans="1:32" ht="33.75" customHeight="1">
      <c r="A83" s="543">
        <v>1</v>
      </c>
      <c r="B83" s="544"/>
      <c r="C83" s="327"/>
      <c r="D83" s="327"/>
      <c r="E83" s="65"/>
      <c r="F83" s="545"/>
      <c r="G83" s="546"/>
      <c r="H83" s="546"/>
      <c r="I83" s="546"/>
      <c r="J83" s="547"/>
      <c r="K83" s="548"/>
      <c r="L83" s="549"/>
      <c r="M83" s="549"/>
      <c r="N83" s="549"/>
      <c r="O83" s="549"/>
      <c r="P83" s="549"/>
      <c r="Q83" s="549"/>
      <c r="R83" s="549"/>
      <c r="S83" s="550"/>
      <c r="T83" s="551"/>
      <c r="U83" s="552"/>
      <c r="V83" s="553"/>
      <c r="W83" s="553"/>
      <c r="X83" s="554"/>
      <c r="Y83" s="554"/>
      <c r="Z83" s="554"/>
      <c r="AA83" s="554"/>
      <c r="AB83" s="554"/>
      <c r="AC83" s="554"/>
      <c r="AD83" s="555"/>
      <c r="AF83" s="50"/>
    </row>
    <row r="84" spans="1:32" ht="30" customHeight="1">
      <c r="A84" s="535">
        <f>A83+1</f>
        <v>2</v>
      </c>
      <c r="B84" s="536"/>
      <c r="C84" s="326"/>
      <c r="D84" s="326"/>
      <c r="E84" s="32"/>
      <c r="F84" s="536"/>
      <c r="G84" s="536"/>
      <c r="H84" s="536"/>
      <c r="I84" s="536"/>
      <c r="J84" s="536"/>
      <c r="K84" s="537"/>
      <c r="L84" s="538"/>
      <c r="M84" s="538"/>
      <c r="N84" s="538"/>
      <c r="O84" s="538"/>
      <c r="P84" s="538"/>
      <c r="Q84" s="538"/>
      <c r="R84" s="538"/>
      <c r="S84" s="539"/>
      <c r="T84" s="540"/>
      <c r="U84" s="540"/>
      <c r="V84" s="540"/>
      <c r="W84" s="540"/>
      <c r="X84" s="541"/>
      <c r="Y84" s="541"/>
      <c r="Z84" s="541"/>
      <c r="AA84" s="541"/>
      <c r="AB84" s="541"/>
      <c r="AC84" s="541"/>
      <c r="AD84" s="542"/>
      <c r="AF84" s="50"/>
    </row>
    <row r="85" spans="1:32" ht="30" customHeight="1">
      <c r="A85" s="535">
        <f t="shared" ref="A85:A89" si="19">A84+1</f>
        <v>3</v>
      </c>
      <c r="B85" s="536"/>
      <c r="C85" s="326"/>
      <c r="D85" s="326"/>
      <c r="E85" s="32"/>
      <c r="F85" s="536"/>
      <c r="G85" s="536"/>
      <c r="H85" s="536"/>
      <c r="I85" s="536"/>
      <c r="J85" s="536"/>
      <c r="K85" s="537"/>
      <c r="L85" s="538"/>
      <c r="M85" s="538"/>
      <c r="N85" s="538"/>
      <c r="O85" s="538"/>
      <c r="P85" s="538"/>
      <c r="Q85" s="538"/>
      <c r="R85" s="538"/>
      <c r="S85" s="539"/>
      <c r="T85" s="540"/>
      <c r="U85" s="540"/>
      <c r="V85" s="540"/>
      <c r="W85" s="540"/>
      <c r="X85" s="541"/>
      <c r="Y85" s="541"/>
      <c r="Z85" s="541"/>
      <c r="AA85" s="541"/>
      <c r="AB85" s="541"/>
      <c r="AC85" s="541"/>
      <c r="AD85" s="542"/>
      <c r="AF85" s="50"/>
    </row>
    <row r="86" spans="1:32" ht="30" customHeight="1">
      <c r="A86" s="535">
        <f t="shared" si="19"/>
        <v>4</v>
      </c>
      <c r="B86" s="536"/>
      <c r="C86" s="326"/>
      <c r="D86" s="326"/>
      <c r="E86" s="32"/>
      <c r="F86" s="536"/>
      <c r="G86" s="536"/>
      <c r="H86" s="536"/>
      <c r="I86" s="536"/>
      <c r="J86" s="536"/>
      <c r="K86" s="537"/>
      <c r="L86" s="538"/>
      <c r="M86" s="538"/>
      <c r="N86" s="538"/>
      <c r="O86" s="538"/>
      <c r="P86" s="538"/>
      <c r="Q86" s="538"/>
      <c r="R86" s="538"/>
      <c r="S86" s="539"/>
      <c r="T86" s="540"/>
      <c r="U86" s="540"/>
      <c r="V86" s="540"/>
      <c r="W86" s="540"/>
      <c r="X86" s="541"/>
      <c r="Y86" s="541"/>
      <c r="Z86" s="541"/>
      <c r="AA86" s="541"/>
      <c r="AB86" s="541"/>
      <c r="AC86" s="541"/>
      <c r="AD86" s="542"/>
      <c r="AF86" s="50"/>
    </row>
    <row r="87" spans="1:32" ht="30" customHeight="1">
      <c r="A87" s="535">
        <f t="shared" si="19"/>
        <v>5</v>
      </c>
      <c r="B87" s="536"/>
      <c r="C87" s="326"/>
      <c r="D87" s="326"/>
      <c r="E87" s="32"/>
      <c r="F87" s="536"/>
      <c r="G87" s="536"/>
      <c r="H87" s="536"/>
      <c r="I87" s="536"/>
      <c r="J87" s="536"/>
      <c r="K87" s="537"/>
      <c r="L87" s="538"/>
      <c r="M87" s="538"/>
      <c r="N87" s="538"/>
      <c r="O87" s="538"/>
      <c r="P87" s="538"/>
      <c r="Q87" s="538"/>
      <c r="R87" s="538"/>
      <c r="S87" s="539"/>
      <c r="T87" s="540"/>
      <c r="U87" s="540"/>
      <c r="V87" s="540"/>
      <c r="W87" s="540"/>
      <c r="X87" s="541"/>
      <c r="Y87" s="541"/>
      <c r="Z87" s="541"/>
      <c r="AA87" s="541"/>
      <c r="AB87" s="541"/>
      <c r="AC87" s="541"/>
      <c r="AD87" s="542"/>
      <c r="AF87" s="50"/>
    </row>
    <row r="88" spans="1:32" ht="30" customHeight="1">
      <c r="A88" s="535">
        <f t="shared" si="19"/>
        <v>6</v>
      </c>
      <c r="B88" s="536"/>
      <c r="C88" s="326"/>
      <c r="D88" s="326"/>
      <c r="E88" s="32"/>
      <c r="F88" s="536"/>
      <c r="G88" s="536"/>
      <c r="H88" s="536"/>
      <c r="I88" s="536"/>
      <c r="J88" s="536"/>
      <c r="K88" s="537"/>
      <c r="L88" s="538"/>
      <c r="M88" s="538"/>
      <c r="N88" s="538"/>
      <c r="O88" s="538"/>
      <c r="P88" s="538"/>
      <c r="Q88" s="538"/>
      <c r="R88" s="538"/>
      <c r="S88" s="539"/>
      <c r="T88" s="540"/>
      <c r="U88" s="540"/>
      <c r="V88" s="540"/>
      <c r="W88" s="540"/>
      <c r="X88" s="541"/>
      <c r="Y88" s="541"/>
      <c r="Z88" s="541"/>
      <c r="AA88" s="541"/>
      <c r="AB88" s="541"/>
      <c r="AC88" s="541"/>
      <c r="AD88" s="542"/>
      <c r="AF88" s="50"/>
    </row>
    <row r="89" spans="1:32" ht="30" customHeight="1">
      <c r="A89" s="535">
        <f t="shared" si="19"/>
        <v>7</v>
      </c>
      <c r="B89" s="536"/>
      <c r="C89" s="326"/>
      <c r="D89" s="326"/>
      <c r="E89" s="32"/>
      <c r="F89" s="536"/>
      <c r="G89" s="536"/>
      <c r="H89" s="536"/>
      <c r="I89" s="536"/>
      <c r="J89" s="536"/>
      <c r="K89" s="537"/>
      <c r="L89" s="538"/>
      <c r="M89" s="538"/>
      <c r="N89" s="538"/>
      <c r="O89" s="538"/>
      <c r="P89" s="538"/>
      <c r="Q89" s="538"/>
      <c r="R89" s="538"/>
      <c r="S89" s="539"/>
      <c r="T89" s="540"/>
      <c r="U89" s="540"/>
      <c r="V89" s="540"/>
      <c r="W89" s="540"/>
      <c r="X89" s="541"/>
      <c r="Y89" s="541"/>
      <c r="Z89" s="541"/>
      <c r="AA89" s="541"/>
      <c r="AB89" s="541"/>
      <c r="AC89" s="541"/>
      <c r="AD89" s="542"/>
      <c r="AF89" s="50"/>
    </row>
    <row r="90" spans="1:32" ht="36" thickBot="1">
      <c r="A90" s="527" t="s">
        <v>504</v>
      </c>
      <c r="B90" s="527"/>
      <c r="C90" s="527"/>
      <c r="D90" s="527"/>
      <c r="E90" s="527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556" t="s">
        <v>111</v>
      </c>
      <c r="B91" s="530"/>
      <c r="C91" s="557" t="s">
        <v>52</v>
      </c>
      <c r="D91" s="557"/>
      <c r="E91" s="557" t="s">
        <v>53</v>
      </c>
      <c r="F91" s="557"/>
      <c r="G91" s="557"/>
      <c r="H91" s="557"/>
      <c r="I91" s="557"/>
      <c r="J91" s="557"/>
      <c r="K91" s="557" t="s">
        <v>54</v>
      </c>
      <c r="L91" s="557"/>
      <c r="M91" s="557"/>
      <c r="N91" s="557"/>
      <c r="O91" s="557"/>
      <c r="P91" s="557"/>
      <c r="Q91" s="557"/>
      <c r="R91" s="557"/>
      <c r="S91" s="557"/>
      <c r="T91" s="557" t="s">
        <v>55</v>
      </c>
      <c r="U91" s="557"/>
      <c r="V91" s="557" t="s">
        <v>56</v>
      </c>
      <c r="W91" s="557"/>
      <c r="X91" s="557"/>
      <c r="Y91" s="557" t="s">
        <v>51</v>
      </c>
      <c r="Z91" s="557"/>
      <c r="AA91" s="557"/>
      <c r="AB91" s="557"/>
      <c r="AC91" s="557"/>
      <c r="AD91" s="558"/>
      <c r="AF91" s="50"/>
    </row>
    <row r="92" spans="1:32" ht="30.75" customHeight="1">
      <c r="A92" s="543">
        <v>1</v>
      </c>
      <c r="B92" s="544"/>
      <c r="C92" s="559">
        <v>9</v>
      </c>
      <c r="D92" s="559"/>
      <c r="E92" s="559" t="s">
        <v>127</v>
      </c>
      <c r="F92" s="559"/>
      <c r="G92" s="559"/>
      <c r="H92" s="559"/>
      <c r="I92" s="559"/>
      <c r="J92" s="559"/>
      <c r="K92" s="559" t="s">
        <v>136</v>
      </c>
      <c r="L92" s="559"/>
      <c r="M92" s="559"/>
      <c r="N92" s="559"/>
      <c r="O92" s="559"/>
      <c r="P92" s="559"/>
      <c r="Q92" s="559"/>
      <c r="R92" s="559"/>
      <c r="S92" s="559"/>
      <c r="T92" s="559" t="s">
        <v>128</v>
      </c>
      <c r="U92" s="559"/>
      <c r="V92" s="560" t="s">
        <v>133</v>
      </c>
      <c r="W92" s="560"/>
      <c r="X92" s="560"/>
      <c r="Y92" s="561"/>
      <c r="Z92" s="561"/>
      <c r="AA92" s="561"/>
      <c r="AB92" s="561"/>
      <c r="AC92" s="561"/>
      <c r="AD92" s="562"/>
      <c r="AF92" s="50"/>
    </row>
    <row r="93" spans="1:32" ht="30.75" customHeight="1">
      <c r="A93" s="535">
        <v>2</v>
      </c>
      <c r="B93" s="536"/>
      <c r="C93" s="570"/>
      <c r="D93" s="570"/>
      <c r="E93" s="570"/>
      <c r="F93" s="570"/>
      <c r="G93" s="570"/>
      <c r="H93" s="570"/>
      <c r="I93" s="570"/>
      <c r="J93" s="570"/>
      <c r="K93" s="570"/>
      <c r="L93" s="570"/>
      <c r="M93" s="570"/>
      <c r="N93" s="570"/>
      <c r="O93" s="570"/>
      <c r="P93" s="570"/>
      <c r="Q93" s="570"/>
      <c r="R93" s="570"/>
      <c r="S93" s="570"/>
      <c r="T93" s="571"/>
      <c r="U93" s="571"/>
      <c r="V93" s="572"/>
      <c r="W93" s="572"/>
      <c r="X93" s="572"/>
      <c r="Y93" s="563"/>
      <c r="Z93" s="563"/>
      <c r="AA93" s="563"/>
      <c r="AB93" s="563"/>
      <c r="AC93" s="563"/>
      <c r="AD93" s="564"/>
      <c r="AF93" s="50"/>
    </row>
    <row r="94" spans="1:32" ht="30.75" customHeight="1" thickBot="1">
      <c r="A94" s="565">
        <v>3</v>
      </c>
      <c r="B94" s="566"/>
      <c r="C94" s="567"/>
      <c r="D94" s="567"/>
      <c r="E94" s="567"/>
      <c r="F94" s="567"/>
      <c r="G94" s="567"/>
      <c r="H94" s="567"/>
      <c r="I94" s="567"/>
      <c r="J94" s="567"/>
      <c r="K94" s="567"/>
      <c r="L94" s="567"/>
      <c r="M94" s="567"/>
      <c r="N94" s="567"/>
      <c r="O94" s="567"/>
      <c r="P94" s="567"/>
      <c r="Q94" s="567"/>
      <c r="R94" s="567"/>
      <c r="S94" s="567"/>
      <c r="T94" s="567"/>
      <c r="U94" s="567"/>
      <c r="V94" s="573"/>
      <c r="W94" s="573"/>
      <c r="X94" s="573"/>
      <c r="Y94" s="568"/>
      <c r="Z94" s="568"/>
      <c r="AA94" s="568"/>
      <c r="AB94" s="568"/>
      <c r="AC94" s="568"/>
      <c r="AD94" s="569"/>
      <c r="AF94" s="50"/>
    </row>
  </sheetData>
  <mergeCells count="232"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4" max="29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F96E-C933-4748-9909-B21D1F4882AF}">
  <dimension ref="A1:AF94"/>
  <sheetViews>
    <sheetView view="pageBreakPreview" zoomScale="70" zoomScaleNormal="72" zoomScaleSheetLayoutView="70" workbookViewId="0">
      <selection activeCell="A91" sqref="A91:B9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50" t="s">
        <v>505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1"/>
      <c r="B3" s="451"/>
      <c r="C3" s="451"/>
      <c r="D3" s="451"/>
      <c r="E3" s="451"/>
      <c r="F3" s="451"/>
      <c r="G3" s="45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52" t="s">
        <v>0</v>
      </c>
      <c r="B4" s="454" t="s">
        <v>1</v>
      </c>
      <c r="C4" s="454" t="s">
        <v>2</v>
      </c>
      <c r="D4" s="457" t="s">
        <v>3</v>
      </c>
      <c r="E4" s="459" t="s">
        <v>4</v>
      </c>
      <c r="F4" s="457" t="s">
        <v>5</v>
      </c>
      <c r="G4" s="454" t="s">
        <v>6</v>
      </c>
      <c r="H4" s="460" t="s">
        <v>7</v>
      </c>
      <c r="I4" s="480" t="s">
        <v>8</v>
      </c>
      <c r="J4" s="481"/>
      <c r="K4" s="481"/>
      <c r="L4" s="481"/>
      <c r="M4" s="481"/>
      <c r="N4" s="481"/>
      <c r="O4" s="482"/>
      <c r="P4" s="483" t="s">
        <v>9</v>
      </c>
      <c r="Q4" s="484"/>
      <c r="R4" s="486" t="s">
        <v>10</v>
      </c>
      <c r="S4" s="485"/>
      <c r="T4" s="485"/>
      <c r="U4" s="485"/>
      <c r="V4" s="487"/>
      <c r="W4" s="485" t="s">
        <v>11</v>
      </c>
      <c r="X4" s="485"/>
      <c r="Y4" s="485"/>
      <c r="Z4" s="485"/>
      <c r="AA4" s="487"/>
      <c r="AB4" s="488" t="s">
        <v>12</v>
      </c>
      <c r="AC4" s="462" t="s">
        <v>13</v>
      </c>
      <c r="AD4" s="462" t="s">
        <v>14</v>
      </c>
      <c r="AE4" s="54"/>
    </row>
    <row r="5" spans="1:32" ht="51" customHeight="1" thickBot="1">
      <c r="A5" s="453"/>
      <c r="B5" s="455"/>
      <c r="C5" s="456"/>
      <c r="D5" s="458"/>
      <c r="E5" s="458"/>
      <c r="F5" s="458"/>
      <c r="G5" s="455"/>
      <c r="H5" s="461"/>
      <c r="I5" s="55" t="s">
        <v>15</v>
      </c>
      <c r="J5" s="56" t="s">
        <v>16</v>
      </c>
      <c r="K5" s="351" t="s">
        <v>17</v>
      </c>
      <c r="L5" s="351" t="s">
        <v>18</v>
      </c>
      <c r="M5" s="351" t="s">
        <v>19</v>
      </c>
      <c r="N5" s="35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89"/>
      <c r="AC5" s="463"/>
      <c r="AD5" s="463"/>
      <c r="AE5" s="54"/>
    </row>
    <row r="6" spans="1:32" ht="27" customHeight="1">
      <c r="A6" s="112">
        <v>1</v>
      </c>
      <c r="B6" s="11" t="s">
        <v>57</v>
      </c>
      <c r="C6" s="34" t="s">
        <v>116</v>
      </c>
      <c r="D6" s="52" t="s">
        <v>130</v>
      </c>
      <c r="E6" s="53" t="s">
        <v>158</v>
      </c>
      <c r="F6" s="30" t="s">
        <v>146</v>
      </c>
      <c r="G6" s="12">
        <v>2</v>
      </c>
      <c r="H6" s="13">
        <v>24</v>
      </c>
      <c r="I6" s="31">
        <v>174000</v>
      </c>
      <c r="J6" s="14">
        <v>13256</v>
      </c>
      <c r="K6" s="15">
        <f>L6+2384+8412+9776+8821+8774+10138+6972+8852+4388+11916+2738+3190+6210+12800+10648+13436+12794+13128</f>
        <v>168633</v>
      </c>
      <c r="L6" s="15">
        <f>3314*2+3314*2</f>
        <v>13256</v>
      </c>
      <c r="M6" s="15">
        <f t="shared" ref="M6:M28" si="0">L6-N6</f>
        <v>13256</v>
      </c>
      <c r="N6" s="15">
        <v>0</v>
      </c>
      <c r="O6" s="58">
        <f t="shared" ref="O6:O29" si="1">IF(L6=0,"0",N6/L6)</f>
        <v>0</v>
      </c>
      <c r="P6" s="39">
        <f t="shared" ref="P6:P28" si="2">IF(L6=0,"0",(24-Q6))</f>
        <v>24</v>
      </c>
      <c r="Q6" s="40">
        <f t="shared" ref="Q6:Q28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8" si="4">IF(J6=0,"0",(L6/J6))</f>
        <v>1</v>
      </c>
      <c r="AC6" s="9">
        <f t="shared" ref="AC6:AC28" si="5">IF(P6=0,"0",(P6/24))</f>
        <v>1</v>
      </c>
      <c r="AD6" s="10">
        <f t="shared" ref="AD6:AD28" si="6">AC6*AB6*(1-O6)</f>
        <v>1</v>
      </c>
      <c r="AE6" s="36">
        <f t="shared" ref="AE6:AE28" si="7">$AD$29</f>
        <v>0.29347826086956524</v>
      </c>
      <c r="AF6" s="84">
        <f t="shared" ref="AF6:AF28" si="8">A6</f>
        <v>1</v>
      </c>
    </row>
    <row r="7" spans="1:32" ht="27" customHeight="1">
      <c r="A7" s="112">
        <v>2</v>
      </c>
      <c r="B7" s="11" t="s">
        <v>57</v>
      </c>
      <c r="C7" s="34" t="s">
        <v>116</v>
      </c>
      <c r="D7" s="52" t="s">
        <v>130</v>
      </c>
      <c r="E7" s="53" t="s">
        <v>424</v>
      </c>
      <c r="F7" s="30" t="s">
        <v>146</v>
      </c>
      <c r="G7" s="12">
        <v>2</v>
      </c>
      <c r="H7" s="13">
        <v>24</v>
      </c>
      <c r="I7" s="31">
        <v>3000</v>
      </c>
      <c r="J7" s="14">
        <v>4260</v>
      </c>
      <c r="K7" s="15">
        <f>L7+4260</f>
        <v>4260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0.29347826086956524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143</v>
      </c>
      <c r="D8" s="52" t="s">
        <v>260</v>
      </c>
      <c r="E8" s="53" t="s">
        <v>465</v>
      </c>
      <c r="F8" s="30" t="s">
        <v>131</v>
      </c>
      <c r="G8" s="12">
        <v>1</v>
      </c>
      <c r="H8" s="13">
        <v>24</v>
      </c>
      <c r="I8" s="7">
        <v>700</v>
      </c>
      <c r="J8" s="14">
        <v>1761</v>
      </c>
      <c r="K8" s="15">
        <f>L8+1761</f>
        <v>1761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0.29347826086956524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116</v>
      </c>
      <c r="D9" s="52" t="s">
        <v>115</v>
      </c>
      <c r="E9" s="53" t="s">
        <v>457</v>
      </c>
      <c r="F9" s="30" t="s">
        <v>350</v>
      </c>
      <c r="G9" s="12">
        <v>1</v>
      </c>
      <c r="H9" s="13">
        <v>24</v>
      </c>
      <c r="I9" s="7">
        <v>14000</v>
      </c>
      <c r="J9" s="14">
        <v>1903</v>
      </c>
      <c r="K9" s="15">
        <f>L9+4214+4693</f>
        <v>10810</v>
      </c>
      <c r="L9" s="15">
        <v>1903</v>
      </c>
      <c r="M9" s="15">
        <f t="shared" si="0"/>
        <v>1903</v>
      </c>
      <c r="N9" s="15">
        <v>0</v>
      </c>
      <c r="O9" s="58">
        <f t="shared" si="1"/>
        <v>0</v>
      </c>
      <c r="P9" s="39">
        <f t="shared" si="2"/>
        <v>12</v>
      </c>
      <c r="Q9" s="40">
        <f t="shared" si="3"/>
        <v>12</v>
      </c>
      <c r="R9" s="7"/>
      <c r="S9" s="6">
        <v>12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0.5</v>
      </c>
      <c r="AD9" s="10">
        <f t="shared" si="6"/>
        <v>0.5</v>
      </c>
      <c r="AE9" s="36">
        <f t="shared" si="7"/>
        <v>0.29347826086956524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116</v>
      </c>
      <c r="D10" s="52" t="s">
        <v>317</v>
      </c>
      <c r="E10" s="53" t="s">
        <v>426</v>
      </c>
      <c r="F10" s="30" t="s">
        <v>145</v>
      </c>
      <c r="G10" s="33">
        <v>2</v>
      </c>
      <c r="H10" s="35">
        <v>24</v>
      </c>
      <c r="I10" s="7">
        <v>6000</v>
      </c>
      <c r="J10" s="14">
        <v>6600</v>
      </c>
      <c r="K10" s="15">
        <f>L10+6600</f>
        <v>6600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0.29347826086956524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116</v>
      </c>
      <c r="D11" s="52" t="s">
        <v>173</v>
      </c>
      <c r="E11" s="53" t="s">
        <v>458</v>
      </c>
      <c r="F11" s="30" t="s">
        <v>145</v>
      </c>
      <c r="G11" s="33">
        <v>16</v>
      </c>
      <c r="H11" s="35">
        <v>24</v>
      </c>
      <c r="I11" s="7">
        <v>150000</v>
      </c>
      <c r="J11" s="14">
        <v>100116</v>
      </c>
      <c r="K11" s="15">
        <f>L11+98292+105528</f>
        <v>303936</v>
      </c>
      <c r="L11" s="15">
        <f>4423*12+3920*12</f>
        <v>100116</v>
      </c>
      <c r="M11" s="15">
        <f t="shared" si="0"/>
        <v>100116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0.29347826086956524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403</v>
      </c>
      <c r="F12" s="30" t="s">
        <v>167</v>
      </c>
      <c r="G12" s="12">
        <v>1</v>
      </c>
      <c r="H12" s="13">
        <v>22</v>
      </c>
      <c r="I12" s="31">
        <v>70000</v>
      </c>
      <c r="J12" s="5">
        <v>5580</v>
      </c>
      <c r="K12" s="15">
        <f>L12+3050+5463+5497+6377+5244+5460</f>
        <v>36671</v>
      </c>
      <c r="L12" s="15">
        <f>2813+2767</f>
        <v>5580</v>
      </c>
      <c r="M12" s="15">
        <f t="shared" si="0"/>
        <v>5580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0.29347826086956524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116</v>
      </c>
      <c r="D13" s="52" t="s">
        <v>124</v>
      </c>
      <c r="E13" s="53" t="s">
        <v>471</v>
      </c>
      <c r="F13" s="30" t="s">
        <v>131</v>
      </c>
      <c r="G13" s="33">
        <v>1</v>
      </c>
      <c r="H13" s="35">
        <v>24</v>
      </c>
      <c r="I13" s="7">
        <v>14000</v>
      </c>
      <c r="J13" s="14">
        <v>737</v>
      </c>
      <c r="K13" s="15">
        <f>L13+4237</f>
        <v>4974</v>
      </c>
      <c r="L13" s="15">
        <f>472+265</f>
        <v>737</v>
      </c>
      <c r="M13" s="15">
        <f t="shared" si="0"/>
        <v>737</v>
      </c>
      <c r="N13" s="15">
        <v>0</v>
      </c>
      <c r="O13" s="58">
        <f t="shared" si="1"/>
        <v>0</v>
      </c>
      <c r="P13" s="39">
        <f t="shared" si="2"/>
        <v>4</v>
      </c>
      <c r="Q13" s="40">
        <f t="shared" si="3"/>
        <v>20</v>
      </c>
      <c r="R13" s="7"/>
      <c r="S13" s="6">
        <v>20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0.16666666666666666</v>
      </c>
      <c r="AD13" s="10">
        <f t="shared" si="6"/>
        <v>0.16666666666666666</v>
      </c>
      <c r="AE13" s="36">
        <f t="shared" si="7"/>
        <v>0.29347826086956524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459</v>
      </c>
      <c r="F14" s="30" t="s">
        <v>350</v>
      </c>
      <c r="G14" s="33">
        <v>1</v>
      </c>
      <c r="H14" s="35">
        <v>50</v>
      </c>
      <c r="I14" s="7">
        <v>500</v>
      </c>
      <c r="J14" s="5">
        <v>49</v>
      </c>
      <c r="K14" s="15">
        <f>L14+303+116</f>
        <v>468</v>
      </c>
      <c r="L14" s="15">
        <v>49</v>
      </c>
      <c r="M14" s="15">
        <f t="shared" si="0"/>
        <v>49</v>
      </c>
      <c r="N14" s="15">
        <v>0</v>
      </c>
      <c r="O14" s="58">
        <f t="shared" si="1"/>
        <v>0</v>
      </c>
      <c r="P14" s="39">
        <f t="shared" si="2"/>
        <v>4</v>
      </c>
      <c r="Q14" s="40">
        <f t="shared" si="3"/>
        <v>20</v>
      </c>
      <c r="R14" s="7"/>
      <c r="S14" s="6">
        <v>20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0.16666666666666666</v>
      </c>
      <c r="AD14" s="10">
        <f t="shared" si="6"/>
        <v>0.16666666666666666</v>
      </c>
      <c r="AE14" s="36">
        <f t="shared" si="7"/>
        <v>0.29347826086956524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123</v>
      </c>
      <c r="E15" s="53" t="s">
        <v>141</v>
      </c>
      <c r="F15" s="30" t="s">
        <v>135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0.29347826086956524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112</v>
      </c>
      <c r="D16" s="52" t="s">
        <v>115</v>
      </c>
      <c r="E16" s="53" t="s">
        <v>480</v>
      </c>
      <c r="F16" s="30" t="s">
        <v>350</v>
      </c>
      <c r="G16" s="12">
        <v>1</v>
      </c>
      <c r="H16" s="13">
        <v>24</v>
      </c>
      <c r="I16" s="7">
        <v>18000</v>
      </c>
      <c r="J16" s="14">
        <v>920</v>
      </c>
      <c r="K16" s="15">
        <f>L16</f>
        <v>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>
        <v>24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0.29347826086956524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143</v>
      </c>
      <c r="D17" s="52" t="s">
        <v>150</v>
      </c>
      <c r="E17" s="53" t="s">
        <v>445</v>
      </c>
      <c r="F17" s="30" t="s">
        <v>154</v>
      </c>
      <c r="G17" s="12">
        <v>4</v>
      </c>
      <c r="H17" s="13">
        <v>24</v>
      </c>
      <c r="I17" s="7">
        <v>1500</v>
      </c>
      <c r="J17" s="14">
        <v>2164</v>
      </c>
      <c r="K17" s="15">
        <f>L17</f>
        <v>2164</v>
      </c>
      <c r="L17" s="15">
        <f>541*4</f>
        <v>2164</v>
      </c>
      <c r="M17" s="15">
        <f t="shared" si="0"/>
        <v>2164</v>
      </c>
      <c r="N17" s="15">
        <v>0</v>
      </c>
      <c r="O17" s="58">
        <f t="shared" si="1"/>
        <v>0</v>
      </c>
      <c r="P17" s="39">
        <f t="shared" si="2"/>
        <v>4</v>
      </c>
      <c r="Q17" s="40">
        <f t="shared" si="3"/>
        <v>20</v>
      </c>
      <c r="R17" s="7"/>
      <c r="S17" s="6"/>
      <c r="T17" s="16"/>
      <c r="U17" s="16"/>
      <c r="V17" s="17"/>
      <c r="W17" s="5">
        <v>20</v>
      </c>
      <c r="X17" s="16"/>
      <c r="Y17" s="16"/>
      <c r="Z17" s="16"/>
      <c r="AA17" s="18"/>
      <c r="AB17" s="8">
        <f t="shared" si="4"/>
        <v>1</v>
      </c>
      <c r="AC17" s="9">
        <f t="shared" si="5"/>
        <v>0.16666666666666666</v>
      </c>
      <c r="AD17" s="10">
        <f t="shared" si="6"/>
        <v>0.16666666666666666</v>
      </c>
      <c r="AE17" s="36">
        <f t="shared" si="7"/>
        <v>0.29347826086956524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123</v>
      </c>
      <c r="E18" s="53" t="s">
        <v>207</v>
      </c>
      <c r="F18" s="30" t="s">
        <v>145</v>
      </c>
      <c r="G18" s="33">
        <v>1</v>
      </c>
      <c r="H18" s="35">
        <v>24</v>
      </c>
      <c r="I18" s="7">
        <v>200</v>
      </c>
      <c r="J18" s="14">
        <v>543</v>
      </c>
      <c r="K18" s="15">
        <f>L18</f>
        <v>543</v>
      </c>
      <c r="L18" s="15">
        <v>543</v>
      </c>
      <c r="M18" s="15">
        <f t="shared" ref="M18" si="9">L18-N18</f>
        <v>543</v>
      </c>
      <c r="N18" s="15">
        <v>0</v>
      </c>
      <c r="O18" s="58">
        <f t="shared" ref="O18" si="10">IF(L18=0,"0",N18/L18)</f>
        <v>0</v>
      </c>
      <c r="P18" s="39">
        <f t="shared" ref="P18" si="11">IF(L18=0,"0",(24-Q18))</f>
        <v>4</v>
      </c>
      <c r="Q18" s="40">
        <f t="shared" ref="Q18" si="12">SUM(R18:AA18)</f>
        <v>20</v>
      </c>
      <c r="R18" s="7"/>
      <c r="S18" s="6"/>
      <c r="T18" s="16"/>
      <c r="U18" s="16"/>
      <c r="V18" s="17"/>
      <c r="W18" s="5">
        <v>20</v>
      </c>
      <c r="X18" s="16"/>
      <c r="Y18" s="16"/>
      <c r="Z18" s="16"/>
      <c r="AA18" s="18"/>
      <c r="AB18" s="8">
        <f t="shared" ref="AB18" si="13">IF(J18=0,"0",(L18/J18))</f>
        <v>1</v>
      </c>
      <c r="AC18" s="9">
        <f t="shared" ref="AC18" si="14">IF(P18=0,"0",(P18/24))</f>
        <v>0.16666666666666666</v>
      </c>
      <c r="AD18" s="10">
        <f t="shared" ref="AD18" si="15">AC18*AB18*(1-O18)</f>
        <v>0.16666666666666666</v>
      </c>
      <c r="AE18" s="36">
        <f t="shared" si="7"/>
        <v>0.29347826086956524</v>
      </c>
      <c r="AF18" s="84">
        <f t="shared" ref="AF18" si="16">A18</f>
        <v>13</v>
      </c>
    </row>
    <row r="19" spans="1:32" ht="27" customHeight="1">
      <c r="A19" s="96">
        <v>13</v>
      </c>
      <c r="B19" s="11" t="s">
        <v>57</v>
      </c>
      <c r="C19" s="11" t="s">
        <v>116</v>
      </c>
      <c r="D19" s="52" t="s">
        <v>124</v>
      </c>
      <c r="E19" s="53" t="s">
        <v>323</v>
      </c>
      <c r="F19" s="30" t="s">
        <v>134</v>
      </c>
      <c r="G19" s="33">
        <v>1</v>
      </c>
      <c r="H19" s="35">
        <v>24</v>
      </c>
      <c r="I19" s="7">
        <v>50000</v>
      </c>
      <c r="J19" s="14">
        <v>1291</v>
      </c>
      <c r="K19" s="15">
        <f>L19+4611+6255+1986+5058+1300</f>
        <v>20501</v>
      </c>
      <c r="L19" s="15">
        <v>1291</v>
      </c>
      <c r="M19" s="15">
        <f t="shared" si="0"/>
        <v>1291</v>
      </c>
      <c r="N19" s="15">
        <v>0</v>
      </c>
      <c r="O19" s="58">
        <f t="shared" si="1"/>
        <v>0</v>
      </c>
      <c r="P19" s="39">
        <f t="shared" si="2"/>
        <v>6</v>
      </c>
      <c r="Q19" s="40">
        <f t="shared" si="3"/>
        <v>18</v>
      </c>
      <c r="R19" s="7"/>
      <c r="S19" s="6">
        <v>18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0.25</v>
      </c>
      <c r="AD19" s="10">
        <f t="shared" si="6"/>
        <v>0.25</v>
      </c>
      <c r="AE19" s="36">
        <f t="shared" si="7"/>
        <v>0.29347826086956524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142</v>
      </c>
      <c r="E20" s="53" t="s">
        <v>161</v>
      </c>
      <c r="F20" s="30" t="s">
        <v>134</v>
      </c>
      <c r="G20" s="33">
        <v>1</v>
      </c>
      <c r="H20" s="35">
        <v>24</v>
      </c>
      <c r="I20" s="7">
        <v>54000</v>
      </c>
      <c r="J20" s="14">
        <v>323</v>
      </c>
      <c r="K20" s="15">
        <f>L20+5079+5307+3503+1179+3568+5398+5390+5307+4716+2400</f>
        <v>42170</v>
      </c>
      <c r="L20" s="15">
        <f>323</f>
        <v>323</v>
      </c>
      <c r="M20" s="15">
        <f t="shared" si="0"/>
        <v>323</v>
      </c>
      <c r="N20" s="15">
        <v>0</v>
      </c>
      <c r="O20" s="58">
        <f t="shared" si="1"/>
        <v>0</v>
      </c>
      <c r="P20" s="39">
        <f t="shared" si="2"/>
        <v>4</v>
      </c>
      <c r="Q20" s="40">
        <f t="shared" si="3"/>
        <v>20</v>
      </c>
      <c r="R20" s="7"/>
      <c r="S20" s="6">
        <v>20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0.16666666666666666</v>
      </c>
      <c r="AD20" s="10">
        <f t="shared" si="6"/>
        <v>0.16666666666666666</v>
      </c>
      <c r="AE20" s="36">
        <f t="shared" si="7"/>
        <v>0.29347826086956524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112</v>
      </c>
      <c r="D21" s="52" t="s">
        <v>115</v>
      </c>
      <c r="E21" s="53" t="s">
        <v>487</v>
      </c>
      <c r="F21" s="30" t="s">
        <v>131</v>
      </c>
      <c r="G21" s="12">
        <v>1</v>
      </c>
      <c r="H21" s="13">
        <v>24</v>
      </c>
      <c r="I21" s="7">
        <v>200</v>
      </c>
      <c r="J21" s="14">
        <v>543</v>
      </c>
      <c r="K21" s="15">
        <f>L21</f>
        <v>543</v>
      </c>
      <c r="L21" s="15">
        <v>543</v>
      </c>
      <c r="M21" s="15">
        <f t="shared" si="0"/>
        <v>543</v>
      </c>
      <c r="N21" s="15">
        <v>0</v>
      </c>
      <c r="O21" s="58">
        <f t="shared" si="1"/>
        <v>0</v>
      </c>
      <c r="P21" s="39">
        <f t="shared" si="2"/>
        <v>4</v>
      </c>
      <c r="Q21" s="40">
        <f t="shared" si="3"/>
        <v>20</v>
      </c>
      <c r="R21" s="7"/>
      <c r="S21" s="6"/>
      <c r="T21" s="16"/>
      <c r="U21" s="16"/>
      <c r="V21" s="17"/>
      <c r="W21" s="5">
        <v>20</v>
      </c>
      <c r="X21" s="16"/>
      <c r="Y21" s="16"/>
      <c r="Z21" s="16"/>
      <c r="AA21" s="18"/>
      <c r="AB21" s="8">
        <f t="shared" si="4"/>
        <v>1</v>
      </c>
      <c r="AC21" s="9">
        <f t="shared" si="5"/>
        <v>0.16666666666666666</v>
      </c>
      <c r="AD21" s="10">
        <f t="shared" si="6"/>
        <v>0.16666666666666666</v>
      </c>
      <c r="AE21" s="36">
        <f t="shared" si="7"/>
        <v>0.29347826086956524</v>
      </c>
      <c r="AF21" s="84">
        <f t="shared" si="8"/>
        <v>15</v>
      </c>
    </row>
    <row r="22" spans="1:32" ht="27" customHeight="1">
      <c r="A22" s="96">
        <v>16</v>
      </c>
      <c r="B22" s="11" t="s">
        <v>57</v>
      </c>
      <c r="C22" s="11" t="s">
        <v>113</v>
      </c>
      <c r="D22" s="52"/>
      <c r="E22" s="53" t="s">
        <v>384</v>
      </c>
      <c r="F22" s="12" t="s">
        <v>114</v>
      </c>
      <c r="G22" s="12">
        <v>4</v>
      </c>
      <c r="H22" s="35">
        <v>20</v>
      </c>
      <c r="I22" s="7">
        <v>110000</v>
      </c>
      <c r="J22" s="14">
        <v>64028</v>
      </c>
      <c r="K22" s="15">
        <f>L22+33068+77956+67572+72180+74076+62904+70044</f>
        <v>521828</v>
      </c>
      <c r="L22" s="15">
        <f>7190*4+8817*4</f>
        <v>64028</v>
      </c>
      <c r="M22" s="15">
        <f t="shared" si="0"/>
        <v>64028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0.29347826086956524</v>
      </c>
      <c r="AF22" s="84">
        <f t="shared" si="8"/>
        <v>16</v>
      </c>
    </row>
    <row r="23" spans="1:32" ht="27" customHeight="1">
      <c r="A23" s="96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0.29347826086956524</v>
      </c>
      <c r="AF23" s="84">
        <f t="shared" si="8"/>
        <v>31</v>
      </c>
    </row>
    <row r="24" spans="1:32" ht="27" customHeight="1">
      <c r="A24" s="96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0.29347826086956524</v>
      </c>
      <c r="AF24" s="84">
        <f t="shared" si="8"/>
        <v>32</v>
      </c>
    </row>
    <row r="25" spans="1:32" ht="27" customHeight="1">
      <c r="A25" s="96">
        <v>33</v>
      </c>
      <c r="B25" s="11" t="s">
        <v>57</v>
      </c>
      <c r="C25" s="11" t="s">
        <v>116</v>
      </c>
      <c r="D25" s="52" t="s">
        <v>150</v>
      </c>
      <c r="E25" s="53" t="s">
        <v>163</v>
      </c>
      <c r="F25" s="12" t="s">
        <v>145</v>
      </c>
      <c r="G25" s="12">
        <v>1</v>
      </c>
      <c r="H25" s="35">
        <v>20</v>
      </c>
      <c r="I25" s="7">
        <v>140000</v>
      </c>
      <c r="J25" s="14">
        <v>7013</v>
      </c>
      <c r="K25" s="15">
        <f>L25+4387+7770+5806+7905+7479+7369+7360+2397+6904+7208</f>
        <v>71598</v>
      </c>
      <c r="L25" s="15">
        <f>3303+3710</f>
        <v>7013</v>
      </c>
      <c r="M25" s="15">
        <f t="shared" si="0"/>
        <v>7013</v>
      </c>
      <c r="N25" s="15">
        <v>0</v>
      </c>
      <c r="O25" s="58">
        <f t="shared" si="1"/>
        <v>0</v>
      </c>
      <c r="P25" s="39">
        <f t="shared" si="2"/>
        <v>24</v>
      </c>
      <c r="Q25" s="40">
        <f t="shared" si="3"/>
        <v>0</v>
      </c>
      <c r="R25" s="7"/>
      <c r="S25" s="6"/>
      <c r="T25" s="16"/>
      <c r="U25" s="16"/>
      <c r="V25" s="206"/>
      <c r="W25" s="5"/>
      <c r="X25" s="16"/>
      <c r="Y25" s="16"/>
      <c r="Z25" s="16"/>
      <c r="AA25" s="18"/>
      <c r="AB25" s="8">
        <f t="shared" si="4"/>
        <v>1</v>
      </c>
      <c r="AC25" s="9">
        <f t="shared" si="5"/>
        <v>1</v>
      </c>
      <c r="AD25" s="10">
        <f t="shared" si="6"/>
        <v>1</v>
      </c>
      <c r="AE25" s="36">
        <f t="shared" si="7"/>
        <v>0.29347826086956524</v>
      </c>
      <c r="AF25" s="84">
        <f t="shared" si="8"/>
        <v>33</v>
      </c>
    </row>
    <row r="26" spans="1:32" ht="27" customHeight="1">
      <c r="A26" s="96">
        <v>34</v>
      </c>
      <c r="B26" s="11" t="s">
        <v>57</v>
      </c>
      <c r="C26" s="11" t="s">
        <v>116</v>
      </c>
      <c r="D26" s="52" t="s">
        <v>150</v>
      </c>
      <c r="E26" s="53" t="s">
        <v>165</v>
      </c>
      <c r="F26" s="12" t="s">
        <v>135</v>
      </c>
      <c r="G26" s="12">
        <v>4</v>
      </c>
      <c r="H26" s="35">
        <v>20</v>
      </c>
      <c r="I26" s="7">
        <v>240000</v>
      </c>
      <c r="J26" s="14">
        <v>9988</v>
      </c>
      <c r="K26" s="15">
        <f>L26+24768+29084+29040+29804+27780+4064+26996+28972+25428+29132+9988</f>
        <v>265056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206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0.29347826086956524</v>
      </c>
      <c r="AF26" s="84">
        <f t="shared" si="8"/>
        <v>34</v>
      </c>
    </row>
    <row r="27" spans="1:32" ht="27" customHeight="1">
      <c r="A27" s="96">
        <v>35</v>
      </c>
      <c r="B27" s="11" t="s">
        <v>57</v>
      </c>
      <c r="C27" s="11" t="s">
        <v>116</v>
      </c>
      <c r="D27" s="52" t="s">
        <v>123</v>
      </c>
      <c r="E27" s="53" t="s">
        <v>137</v>
      </c>
      <c r="F27" s="12" t="s">
        <v>135</v>
      </c>
      <c r="G27" s="12">
        <v>4</v>
      </c>
      <c r="H27" s="35">
        <v>20</v>
      </c>
      <c r="I27" s="7">
        <v>240000</v>
      </c>
      <c r="J27" s="14">
        <v>11600</v>
      </c>
      <c r="K27" s="15">
        <f>L27+25004+29968+31848+29672+31736+27000+29200+29420+29140+11600</f>
        <v>274588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206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0.29347826086956524</v>
      </c>
      <c r="AF27" s="84">
        <f t="shared" si="8"/>
        <v>35</v>
      </c>
    </row>
    <row r="28" spans="1:32" ht="27" customHeight="1" thickBot="1">
      <c r="A28" s="96">
        <v>36</v>
      </c>
      <c r="B28" s="11" t="s">
        <v>57</v>
      </c>
      <c r="C28" s="11" t="s">
        <v>380</v>
      </c>
      <c r="D28" s="52"/>
      <c r="E28" s="53" t="s">
        <v>381</v>
      </c>
      <c r="F28" s="12" t="s">
        <v>382</v>
      </c>
      <c r="G28" s="12">
        <v>32</v>
      </c>
      <c r="H28" s="35">
        <v>20</v>
      </c>
      <c r="I28" s="7">
        <v>700000</v>
      </c>
      <c r="J28" s="14">
        <v>89792</v>
      </c>
      <c r="K28" s="15">
        <f>L28+326528+448864+89792</f>
        <v>865184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206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6"/>
        <v>0</v>
      </c>
      <c r="AE28" s="36">
        <f t="shared" si="7"/>
        <v>0.29347826086956524</v>
      </c>
      <c r="AF28" s="84">
        <f t="shared" si="8"/>
        <v>36</v>
      </c>
    </row>
    <row r="29" spans="1:32" ht="31.5" customHeight="1" thickBot="1">
      <c r="A29" s="464" t="s">
        <v>34</v>
      </c>
      <c r="B29" s="465"/>
      <c r="C29" s="465"/>
      <c r="D29" s="465"/>
      <c r="E29" s="465"/>
      <c r="F29" s="465"/>
      <c r="G29" s="465"/>
      <c r="H29" s="466"/>
      <c r="I29" s="22">
        <f t="shared" ref="I29:N29" si="17">SUM(I6:I28)</f>
        <v>1998100</v>
      </c>
      <c r="J29" s="19">
        <f t="shared" si="17"/>
        <v>334823</v>
      </c>
      <c r="K29" s="20">
        <f t="shared" si="17"/>
        <v>2614644</v>
      </c>
      <c r="L29" s="21">
        <f t="shared" si="17"/>
        <v>197546</v>
      </c>
      <c r="M29" s="20">
        <f t="shared" si="17"/>
        <v>197546</v>
      </c>
      <c r="N29" s="21">
        <f t="shared" si="17"/>
        <v>0</v>
      </c>
      <c r="O29" s="41">
        <f t="shared" si="1"/>
        <v>0</v>
      </c>
      <c r="P29" s="42">
        <f t="shared" ref="P29:AA29" si="18">SUM(P6:P28)</f>
        <v>162</v>
      </c>
      <c r="Q29" s="43">
        <f t="shared" si="18"/>
        <v>390</v>
      </c>
      <c r="R29" s="23">
        <f t="shared" si="18"/>
        <v>0</v>
      </c>
      <c r="S29" s="24">
        <f t="shared" si="18"/>
        <v>138</v>
      </c>
      <c r="T29" s="24">
        <f t="shared" si="18"/>
        <v>0</v>
      </c>
      <c r="U29" s="24">
        <f t="shared" si="18"/>
        <v>0</v>
      </c>
      <c r="V29" s="25">
        <f t="shared" si="18"/>
        <v>48</v>
      </c>
      <c r="W29" s="26">
        <f t="shared" si="18"/>
        <v>204</v>
      </c>
      <c r="X29" s="27">
        <f t="shared" si="18"/>
        <v>0</v>
      </c>
      <c r="Y29" s="27">
        <f t="shared" si="18"/>
        <v>0</v>
      </c>
      <c r="Z29" s="27">
        <f t="shared" si="18"/>
        <v>0</v>
      </c>
      <c r="AA29" s="27">
        <f t="shared" si="18"/>
        <v>0</v>
      </c>
      <c r="AB29" s="28">
        <f>AVERAGE(AB6:AB28)</f>
        <v>0.61904761904761907</v>
      </c>
      <c r="AC29" s="4">
        <f>AVERAGE(AC6:AC28)</f>
        <v>0.29347826086956524</v>
      </c>
      <c r="AD29" s="4">
        <f>AVERAGE(AD6:AD28)</f>
        <v>0.29347826086956524</v>
      </c>
      <c r="AE29" s="29"/>
    </row>
    <row r="30" spans="1:32">
      <c r="T30" s="50" t="s">
        <v>157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160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5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467" t="s">
        <v>45</v>
      </c>
      <c r="B56" s="467"/>
      <c r="C56" s="467"/>
      <c r="D56" s="467"/>
      <c r="E56" s="467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468" t="s">
        <v>506</v>
      </c>
      <c r="B57" s="469"/>
      <c r="C57" s="469"/>
      <c r="D57" s="469"/>
      <c r="E57" s="469"/>
      <c r="F57" s="469"/>
      <c r="G57" s="469"/>
      <c r="H57" s="469"/>
      <c r="I57" s="469"/>
      <c r="J57" s="469"/>
      <c r="K57" s="469"/>
      <c r="L57" s="469"/>
      <c r="M57" s="470"/>
      <c r="N57" s="471" t="s">
        <v>509</v>
      </c>
      <c r="O57" s="472"/>
      <c r="P57" s="472"/>
      <c r="Q57" s="472"/>
      <c r="R57" s="472"/>
      <c r="S57" s="472"/>
      <c r="T57" s="472"/>
      <c r="U57" s="472"/>
      <c r="V57" s="472"/>
      <c r="W57" s="472"/>
      <c r="X57" s="472"/>
      <c r="Y57" s="472"/>
      <c r="Z57" s="472"/>
      <c r="AA57" s="472"/>
      <c r="AB57" s="472"/>
      <c r="AC57" s="472"/>
      <c r="AD57" s="473"/>
    </row>
    <row r="58" spans="1:32" ht="27" customHeight="1">
      <c r="A58" s="474" t="s">
        <v>2</v>
      </c>
      <c r="B58" s="475"/>
      <c r="C58" s="350" t="s">
        <v>46</v>
      </c>
      <c r="D58" s="350" t="s">
        <v>47</v>
      </c>
      <c r="E58" s="350" t="s">
        <v>107</v>
      </c>
      <c r="F58" s="476" t="s">
        <v>106</v>
      </c>
      <c r="G58" s="477"/>
      <c r="H58" s="477"/>
      <c r="I58" s="477"/>
      <c r="J58" s="477"/>
      <c r="K58" s="477"/>
      <c r="L58" s="477"/>
      <c r="M58" s="478"/>
      <c r="N58" s="67" t="s">
        <v>110</v>
      </c>
      <c r="O58" s="350" t="s">
        <v>46</v>
      </c>
      <c r="P58" s="476" t="s">
        <v>47</v>
      </c>
      <c r="Q58" s="479"/>
      <c r="R58" s="476" t="s">
        <v>38</v>
      </c>
      <c r="S58" s="477"/>
      <c r="T58" s="477"/>
      <c r="U58" s="479"/>
      <c r="V58" s="476" t="s">
        <v>48</v>
      </c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500" t="s">
        <v>116</v>
      </c>
      <c r="B59" s="501"/>
      <c r="C59" s="345" t="s">
        <v>259</v>
      </c>
      <c r="D59" s="345" t="s">
        <v>140</v>
      </c>
      <c r="E59" s="346" t="s">
        <v>471</v>
      </c>
      <c r="F59" s="492" t="s">
        <v>364</v>
      </c>
      <c r="G59" s="493"/>
      <c r="H59" s="493"/>
      <c r="I59" s="493"/>
      <c r="J59" s="493"/>
      <c r="K59" s="493"/>
      <c r="L59" s="493"/>
      <c r="M59" s="494"/>
      <c r="N59" s="349" t="s">
        <v>116</v>
      </c>
      <c r="O59" s="343" t="s">
        <v>259</v>
      </c>
      <c r="P59" s="495" t="s">
        <v>140</v>
      </c>
      <c r="Q59" s="496"/>
      <c r="R59" s="495" t="s">
        <v>471</v>
      </c>
      <c r="S59" s="497"/>
      <c r="T59" s="497"/>
      <c r="U59" s="496"/>
      <c r="V59" s="498" t="s">
        <v>120</v>
      </c>
      <c r="W59" s="498"/>
      <c r="X59" s="498"/>
      <c r="Y59" s="498"/>
      <c r="Z59" s="498"/>
      <c r="AA59" s="498"/>
      <c r="AB59" s="498"/>
      <c r="AC59" s="498"/>
      <c r="AD59" s="499"/>
    </row>
    <row r="60" spans="1:32" ht="27" customHeight="1">
      <c r="A60" s="500" t="s">
        <v>116</v>
      </c>
      <c r="B60" s="501"/>
      <c r="C60" s="345" t="s">
        <v>175</v>
      </c>
      <c r="D60" s="345" t="s">
        <v>115</v>
      </c>
      <c r="E60" s="346" t="s">
        <v>457</v>
      </c>
      <c r="F60" s="492" t="s">
        <v>120</v>
      </c>
      <c r="G60" s="493"/>
      <c r="H60" s="493"/>
      <c r="I60" s="493"/>
      <c r="J60" s="493"/>
      <c r="K60" s="493"/>
      <c r="L60" s="493"/>
      <c r="M60" s="494"/>
      <c r="N60" s="349" t="s">
        <v>112</v>
      </c>
      <c r="O60" s="343" t="s">
        <v>206</v>
      </c>
      <c r="P60" s="495" t="s">
        <v>115</v>
      </c>
      <c r="Q60" s="496"/>
      <c r="R60" s="495" t="s">
        <v>459</v>
      </c>
      <c r="S60" s="497"/>
      <c r="T60" s="497"/>
      <c r="U60" s="496"/>
      <c r="V60" s="498" t="s">
        <v>120</v>
      </c>
      <c r="W60" s="498"/>
      <c r="X60" s="498"/>
      <c r="Y60" s="498"/>
      <c r="Z60" s="498"/>
      <c r="AA60" s="498"/>
      <c r="AB60" s="498"/>
      <c r="AC60" s="498"/>
      <c r="AD60" s="499"/>
    </row>
    <row r="61" spans="1:32" ht="27" customHeight="1">
      <c r="A61" s="500" t="s">
        <v>112</v>
      </c>
      <c r="B61" s="501"/>
      <c r="C61" s="345" t="s">
        <v>206</v>
      </c>
      <c r="D61" s="345" t="s">
        <v>115</v>
      </c>
      <c r="E61" s="346" t="s">
        <v>459</v>
      </c>
      <c r="F61" s="492" t="s">
        <v>364</v>
      </c>
      <c r="G61" s="493"/>
      <c r="H61" s="493"/>
      <c r="I61" s="493"/>
      <c r="J61" s="493"/>
      <c r="K61" s="493"/>
      <c r="L61" s="493"/>
      <c r="M61" s="494"/>
      <c r="N61" s="349" t="s">
        <v>112</v>
      </c>
      <c r="O61" s="343" t="s">
        <v>239</v>
      </c>
      <c r="P61" s="495" t="s">
        <v>115</v>
      </c>
      <c r="Q61" s="496"/>
      <c r="R61" s="495" t="s">
        <v>480</v>
      </c>
      <c r="S61" s="497"/>
      <c r="T61" s="497"/>
      <c r="U61" s="496"/>
      <c r="V61" s="498" t="s">
        <v>120</v>
      </c>
      <c r="W61" s="498"/>
      <c r="X61" s="498"/>
      <c r="Y61" s="498"/>
      <c r="Z61" s="498"/>
      <c r="AA61" s="498"/>
      <c r="AB61" s="498"/>
      <c r="AC61" s="498"/>
      <c r="AD61" s="499"/>
    </row>
    <row r="62" spans="1:32" ht="27" customHeight="1">
      <c r="A62" s="500" t="s">
        <v>116</v>
      </c>
      <c r="B62" s="501"/>
      <c r="C62" s="345" t="s">
        <v>286</v>
      </c>
      <c r="D62" s="345" t="s">
        <v>140</v>
      </c>
      <c r="E62" s="346" t="s">
        <v>323</v>
      </c>
      <c r="F62" s="492" t="s">
        <v>271</v>
      </c>
      <c r="G62" s="493"/>
      <c r="H62" s="493"/>
      <c r="I62" s="493"/>
      <c r="J62" s="493"/>
      <c r="K62" s="493"/>
      <c r="L62" s="493"/>
      <c r="M62" s="494"/>
      <c r="N62" s="349" t="s">
        <v>112</v>
      </c>
      <c r="O62" s="343" t="s">
        <v>129</v>
      </c>
      <c r="P62" s="495" t="s">
        <v>115</v>
      </c>
      <c r="Q62" s="496"/>
      <c r="R62" s="495" t="s">
        <v>487</v>
      </c>
      <c r="S62" s="497"/>
      <c r="T62" s="497"/>
      <c r="U62" s="496"/>
      <c r="V62" s="498" t="s">
        <v>120</v>
      </c>
      <c r="W62" s="498"/>
      <c r="X62" s="498"/>
      <c r="Y62" s="498"/>
      <c r="Z62" s="498"/>
      <c r="AA62" s="498"/>
      <c r="AB62" s="498"/>
      <c r="AC62" s="498"/>
      <c r="AD62" s="499"/>
    </row>
    <row r="63" spans="1:32" ht="27" customHeight="1">
      <c r="A63" s="500" t="s">
        <v>112</v>
      </c>
      <c r="B63" s="501"/>
      <c r="C63" s="345" t="s">
        <v>129</v>
      </c>
      <c r="D63" s="345" t="s">
        <v>115</v>
      </c>
      <c r="E63" s="346" t="s">
        <v>487</v>
      </c>
      <c r="F63" s="492" t="s">
        <v>125</v>
      </c>
      <c r="G63" s="493"/>
      <c r="H63" s="493"/>
      <c r="I63" s="493"/>
      <c r="J63" s="493"/>
      <c r="K63" s="493"/>
      <c r="L63" s="493"/>
      <c r="M63" s="494"/>
      <c r="N63" s="349" t="s">
        <v>112</v>
      </c>
      <c r="O63" s="343" t="s">
        <v>221</v>
      </c>
      <c r="P63" s="495" t="s">
        <v>142</v>
      </c>
      <c r="Q63" s="496"/>
      <c r="R63" s="495" t="s">
        <v>161</v>
      </c>
      <c r="S63" s="497"/>
      <c r="T63" s="497"/>
      <c r="U63" s="496"/>
      <c r="V63" s="498" t="s">
        <v>120</v>
      </c>
      <c r="W63" s="498"/>
      <c r="X63" s="498"/>
      <c r="Y63" s="498"/>
      <c r="Z63" s="498"/>
      <c r="AA63" s="498"/>
      <c r="AB63" s="498"/>
      <c r="AC63" s="498"/>
      <c r="AD63" s="499"/>
    </row>
    <row r="64" spans="1:32" ht="27" customHeight="1">
      <c r="A64" s="500" t="s">
        <v>112</v>
      </c>
      <c r="B64" s="501"/>
      <c r="C64" s="345" t="s">
        <v>286</v>
      </c>
      <c r="D64" s="345" t="s">
        <v>123</v>
      </c>
      <c r="E64" s="346" t="s">
        <v>207</v>
      </c>
      <c r="F64" s="492" t="s">
        <v>125</v>
      </c>
      <c r="G64" s="493"/>
      <c r="H64" s="493"/>
      <c r="I64" s="493"/>
      <c r="J64" s="493"/>
      <c r="K64" s="493"/>
      <c r="L64" s="493"/>
      <c r="M64" s="494"/>
      <c r="N64" s="349" t="s">
        <v>116</v>
      </c>
      <c r="O64" s="343" t="s">
        <v>169</v>
      </c>
      <c r="P64" s="495" t="s">
        <v>115</v>
      </c>
      <c r="Q64" s="496"/>
      <c r="R64" s="495" t="s">
        <v>510</v>
      </c>
      <c r="S64" s="497"/>
      <c r="T64" s="497"/>
      <c r="U64" s="496"/>
      <c r="V64" s="498" t="s">
        <v>468</v>
      </c>
      <c r="W64" s="498"/>
      <c r="X64" s="498"/>
      <c r="Y64" s="498"/>
      <c r="Z64" s="498"/>
      <c r="AA64" s="498"/>
      <c r="AB64" s="498"/>
      <c r="AC64" s="498"/>
      <c r="AD64" s="499"/>
    </row>
    <row r="65" spans="1:32" ht="27" customHeight="1">
      <c r="A65" s="490" t="s">
        <v>112</v>
      </c>
      <c r="B65" s="491"/>
      <c r="C65" s="346" t="s">
        <v>221</v>
      </c>
      <c r="D65" s="346" t="s">
        <v>142</v>
      </c>
      <c r="E65" s="346" t="s">
        <v>161</v>
      </c>
      <c r="F65" s="492" t="s">
        <v>507</v>
      </c>
      <c r="G65" s="493"/>
      <c r="H65" s="493"/>
      <c r="I65" s="493"/>
      <c r="J65" s="493"/>
      <c r="K65" s="493"/>
      <c r="L65" s="493"/>
      <c r="M65" s="494"/>
      <c r="N65" s="349" t="s">
        <v>203</v>
      </c>
      <c r="O65" s="343" t="s">
        <v>193</v>
      </c>
      <c r="P65" s="495" t="s">
        <v>115</v>
      </c>
      <c r="Q65" s="496"/>
      <c r="R65" s="495" t="s">
        <v>511</v>
      </c>
      <c r="S65" s="497"/>
      <c r="T65" s="497"/>
      <c r="U65" s="496"/>
      <c r="V65" s="498" t="s">
        <v>125</v>
      </c>
      <c r="W65" s="498"/>
      <c r="X65" s="498"/>
      <c r="Y65" s="498"/>
      <c r="Z65" s="498"/>
      <c r="AA65" s="498"/>
      <c r="AB65" s="498"/>
      <c r="AC65" s="498"/>
      <c r="AD65" s="499"/>
    </row>
    <row r="66" spans="1:32" ht="27" customHeight="1">
      <c r="A66" s="500" t="s">
        <v>112</v>
      </c>
      <c r="B66" s="501"/>
      <c r="C66" s="345" t="s">
        <v>239</v>
      </c>
      <c r="D66" s="345" t="s">
        <v>508</v>
      </c>
      <c r="E66" s="346" t="s">
        <v>480</v>
      </c>
      <c r="F66" s="492" t="s">
        <v>352</v>
      </c>
      <c r="G66" s="493"/>
      <c r="H66" s="493"/>
      <c r="I66" s="493"/>
      <c r="J66" s="493"/>
      <c r="K66" s="493"/>
      <c r="L66" s="493"/>
      <c r="M66" s="494"/>
      <c r="N66" s="349" t="s">
        <v>116</v>
      </c>
      <c r="O66" s="343" t="s">
        <v>277</v>
      </c>
      <c r="P66" s="495" t="s">
        <v>123</v>
      </c>
      <c r="Q66" s="496"/>
      <c r="R66" s="495" t="s">
        <v>512</v>
      </c>
      <c r="S66" s="497"/>
      <c r="T66" s="497"/>
      <c r="U66" s="496"/>
      <c r="V66" s="498" t="s">
        <v>125</v>
      </c>
      <c r="W66" s="498"/>
      <c r="X66" s="498"/>
      <c r="Y66" s="498"/>
      <c r="Z66" s="498"/>
      <c r="AA66" s="498"/>
      <c r="AB66" s="498"/>
      <c r="AC66" s="498"/>
      <c r="AD66" s="499"/>
    </row>
    <row r="67" spans="1:32" ht="27" customHeight="1">
      <c r="A67" s="500"/>
      <c r="B67" s="501"/>
      <c r="C67" s="345"/>
      <c r="D67" s="345"/>
      <c r="E67" s="346"/>
      <c r="F67" s="492"/>
      <c r="G67" s="493"/>
      <c r="H67" s="493"/>
      <c r="I67" s="493"/>
      <c r="J67" s="493"/>
      <c r="K67" s="493"/>
      <c r="L67" s="493"/>
      <c r="M67" s="494"/>
      <c r="N67" s="349" t="s">
        <v>116</v>
      </c>
      <c r="O67" s="343" t="s">
        <v>198</v>
      </c>
      <c r="P67" s="491" t="s">
        <v>514</v>
      </c>
      <c r="Q67" s="491"/>
      <c r="R67" s="491" t="s">
        <v>513</v>
      </c>
      <c r="S67" s="491"/>
      <c r="T67" s="491"/>
      <c r="U67" s="491"/>
      <c r="V67" s="498" t="s">
        <v>125</v>
      </c>
      <c r="W67" s="498"/>
      <c r="X67" s="498"/>
      <c r="Y67" s="498"/>
      <c r="Z67" s="498"/>
      <c r="AA67" s="498"/>
      <c r="AB67" s="498"/>
      <c r="AC67" s="498"/>
      <c r="AD67" s="499"/>
      <c r="AF67" s="84">
        <f>8*3000</f>
        <v>24000</v>
      </c>
    </row>
    <row r="68" spans="1:32" ht="27" customHeight="1" thickBot="1">
      <c r="A68" s="502"/>
      <c r="B68" s="503"/>
      <c r="C68" s="347"/>
      <c r="D68" s="348"/>
      <c r="E68" s="347"/>
      <c r="F68" s="504"/>
      <c r="G68" s="505"/>
      <c r="H68" s="505"/>
      <c r="I68" s="505"/>
      <c r="J68" s="505"/>
      <c r="K68" s="505"/>
      <c r="L68" s="505"/>
      <c r="M68" s="506"/>
      <c r="N68" s="111"/>
      <c r="O68" s="103"/>
      <c r="P68" s="507"/>
      <c r="Q68" s="507"/>
      <c r="R68" s="507"/>
      <c r="S68" s="507"/>
      <c r="T68" s="507"/>
      <c r="U68" s="507"/>
      <c r="V68" s="508"/>
      <c r="W68" s="508"/>
      <c r="X68" s="508"/>
      <c r="Y68" s="508"/>
      <c r="Z68" s="508"/>
      <c r="AA68" s="508"/>
      <c r="AB68" s="508"/>
      <c r="AC68" s="508"/>
      <c r="AD68" s="509"/>
      <c r="AF68" s="84">
        <f>16*3000</f>
        <v>48000</v>
      </c>
    </row>
    <row r="69" spans="1:32" ht="27.75" thickBot="1">
      <c r="A69" s="510" t="s">
        <v>515</v>
      </c>
      <c r="B69" s="510"/>
      <c r="C69" s="510"/>
      <c r="D69" s="510"/>
      <c r="E69" s="510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4">
        <v>24000</v>
      </c>
    </row>
    <row r="70" spans="1:32" ht="29.25" customHeight="1" thickBot="1">
      <c r="A70" s="511" t="s">
        <v>111</v>
      </c>
      <c r="B70" s="512"/>
      <c r="C70" s="344" t="s">
        <v>2</v>
      </c>
      <c r="D70" s="344" t="s">
        <v>37</v>
      </c>
      <c r="E70" s="344" t="s">
        <v>3</v>
      </c>
      <c r="F70" s="512" t="s">
        <v>109</v>
      </c>
      <c r="G70" s="512"/>
      <c r="H70" s="512"/>
      <c r="I70" s="512"/>
      <c r="J70" s="512"/>
      <c r="K70" s="512" t="s">
        <v>39</v>
      </c>
      <c r="L70" s="512"/>
      <c r="M70" s="344" t="s">
        <v>40</v>
      </c>
      <c r="N70" s="512" t="s">
        <v>41</v>
      </c>
      <c r="O70" s="512"/>
      <c r="P70" s="513" t="s">
        <v>42</v>
      </c>
      <c r="Q70" s="514"/>
      <c r="R70" s="513" t="s">
        <v>43</v>
      </c>
      <c r="S70" s="515"/>
      <c r="T70" s="515"/>
      <c r="U70" s="515"/>
      <c r="V70" s="515"/>
      <c r="W70" s="515"/>
      <c r="X70" s="515"/>
      <c r="Y70" s="515"/>
      <c r="Z70" s="515"/>
      <c r="AA70" s="514"/>
      <c r="AB70" s="512" t="s">
        <v>44</v>
      </c>
      <c r="AC70" s="512"/>
      <c r="AD70" s="516"/>
      <c r="AF70" s="84">
        <f>SUM(AF67:AF69)</f>
        <v>96000</v>
      </c>
    </row>
    <row r="71" spans="1:32" ht="25.5" customHeight="1">
      <c r="A71" s="517">
        <v>1</v>
      </c>
      <c r="B71" s="518"/>
      <c r="C71" s="104" t="s">
        <v>116</v>
      </c>
      <c r="D71" s="339"/>
      <c r="E71" s="342" t="s">
        <v>317</v>
      </c>
      <c r="F71" s="519" t="s">
        <v>414</v>
      </c>
      <c r="G71" s="520"/>
      <c r="H71" s="520"/>
      <c r="I71" s="520"/>
      <c r="J71" s="521"/>
      <c r="K71" s="522" t="s">
        <v>134</v>
      </c>
      <c r="L71" s="522"/>
      <c r="M71" s="51" t="s">
        <v>178</v>
      </c>
      <c r="N71" s="523" t="s">
        <v>277</v>
      </c>
      <c r="O71" s="523"/>
      <c r="P71" s="524">
        <v>100</v>
      </c>
      <c r="Q71" s="524"/>
      <c r="R71" s="498"/>
      <c r="S71" s="498"/>
      <c r="T71" s="498"/>
      <c r="U71" s="498"/>
      <c r="V71" s="498"/>
      <c r="W71" s="498"/>
      <c r="X71" s="498"/>
      <c r="Y71" s="498"/>
      <c r="Z71" s="498"/>
      <c r="AA71" s="498"/>
      <c r="AB71" s="522"/>
      <c r="AC71" s="522"/>
      <c r="AD71" s="525"/>
      <c r="AF71" s="50"/>
    </row>
    <row r="72" spans="1:32" ht="25.5" customHeight="1">
      <c r="A72" s="517">
        <v>2</v>
      </c>
      <c r="B72" s="518"/>
      <c r="C72" s="104" t="s">
        <v>116</v>
      </c>
      <c r="D72" s="339"/>
      <c r="E72" s="342" t="s">
        <v>317</v>
      </c>
      <c r="F72" s="519" t="s">
        <v>516</v>
      </c>
      <c r="G72" s="520"/>
      <c r="H72" s="520"/>
      <c r="I72" s="520"/>
      <c r="J72" s="521"/>
      <c r="K72" s="522" t="s">
        <v>134</v>
      </c>
      <c r="L72" s="522"/>
      <c r="M72" s="51" t="s">
        <v>395</v>
      </c>
      <c r="N72" s="523" t="s">
        <v>277</v>
      </c>
      <c r="O72" s="523"/>
      <c r="P72" s="524">
        <v>100</v>
      </c>
      <c r="Q72" s="524"/>
      <c r="R72" s="498"/>
      <c r="S72" s="498"/>
      <c r="T72" s="498"/>
      <c r="U72" s="498"/>
      <c r="V72" s="498"/>
      <c r="W72" s="498"/>
      <c r="X72" s="498"/>
      <c r="Y72" s="498"/>
      <c r="Z72" s="498"/>
      <c r="AA72" s="498"/>
      <c r="AB72" s="522"/>
      <c r="AC72" s="522"/>
      <c r="AD72" s="525"/>
      <c r="AF72" s="50"/>
    </row>
    <row r="73" spans="1:32" ht="25.5" customHeight="1">
      <c r="A73" s="517">
        <v>3</v>
      </c>
      <c r="B73" s="518"/>
      <c r="C73" s="104" t="s">
        <v>112</v>
      </c>
      <c r="D73" s="339"/>
      <c r="E73" s="342" t="s">
        <v>115</v>
      </c>
      <c r="F73" s="519" t="s">
        <v>294</v>
      </c>
      <c r="G73" s="520"/>
      <c r="H73" s="520"/>
      <c r="I73" s="520"/>
      <c r="J73" s="521"/>
      <c r="K73" s="522" t="s">
        <v>227</v>
      </c>
      <c r="L73" s="522"/>
      <c r="M73" s="51" t="s">
        <v>178</v>
      </c>
      <c r="N73" s="523" t="s">
        <v>193</v>
      </c>
      <c r="O73" s="523"/>
      <c r="P73" s="524">
        <v>50</v>
      </c>
      <c r="Q73" s="524"/>
      <c r="R73" s="498"/>
      <c r="S73" s="498"/>
      <c r="T73" s="498"/>
      <c r="U73" s="498"/>
      <c r="V73" s="498"/>
      <c r="W73" s="498"/>
      <c r="X73" s="498"/>
      <c r="Y73" s="498"/>
      <c r="Z73" s="498"/>
      <c r="AA73" s="498"/>
      <c r="AB73" s="522"/>
      <c r="AC73" s="522"/>
      <c r="AD73" s="525"/>
      <c r="AF73" s="50"/>
    </row>
    <row r="74" spans="1:32" ht="25.5" customHeight="1">
      <c r="A74" s="517">
        <v>4</v>
      </c>
      <c r="B74" s="518"/>
      <c r="C74" s="104" t="s">
        <v>112</v>
      </c>
      <c r="D74" s="339"/>
      <c r="E74" s="342" t="s">
        <v>115</v>
      </c>
      <c r="F74" s="519" t="s">
        <v>295</v>
      </c>
      <c r="G74" s="520"/>
      <c r="H74" s="520"/>
      <c r="I74" s="520"/>
      <c r="J74" s="521"/>
      <c r="K74" s="522" t="s">
        <v>227</v>
      </c>
      <c r="L74" s="522"/>
      <c r="M74" s="51" t="s">
        <v>178</v>
      </c>
      <c r="N74" s="523" t="s">
        <v>193</v>
      </c>
      <c r="O74" s="523"/>
      <c r="P74" s="524">
        <v>50</v>
      </c>
      <c r="Q74" s="524"/>
      <c r="R74" s="498"/>
      <c r="S74" s="498"/>
      <c r="T74" s="498"/>
      <c r="U74" s="498"/>
      <c r="V74" s="498"/>
      <c r="W74" s="498"/>
      <c r="X74" s="498"/>
      <c r="Y74" s="498"/>
      <c r="Z74" s="498"/>
      <c r="AA74" s="498"/>
      <c r="AB74" s="522"/>
      <c r="AC74" s="522"/>
      <c r="AD74" s="525"/>
      <c r="AF74" s="50"/>
    </row>
    <row r="75" spans="1:32" ht="25.5" customHeight="1">
      <c r="A75" s="517">
        <v>5</v>
      </c>
      <c r="B75" s="518"/>
      <c r="C75" s="104" t="s">
        <v>143</v>
      </c>
      <c r="D75" s="339"/>
      <c r="E75" s="342" t="s">
        <v>150</v>
      </c>
      <c r="F75" s="519" t="s">
        <v>372</v>
      </c>
      <c r="G75" s="520"/>
      <c r="H75" s="520"/>
      <c r="I75" s="520"/>
      <c r="J75" s="521"/>
      <c r="K75" s="522" t="s">
        <v>154</v>
      </c>
      <c r="L75" s="522"/>
      <c r="M75" s="51" t="s">
        <v>178</v>
      </c>
      <c r="N75" s="523" t="s">
        <v>256</v>
      </c>
      <c r="O75" s="523"/>
      <c r="P75" s="524">
        <v>100</v>
      </c>
      <c r="Q75" s="524"/>
      <c r="R75" s="498"/>
      <c r="S75" s="498"/>
      <c r="T75" s="498"/>
      <c r="U75" s="498"/>
      <c r="V75" s="498"/>
      <c r="W75" s="498"/>
      <c r="X75" s="498"/>
      <c r="Y75" s="498"/>
      <c r="Z75" s="498"/>
      <c r="AA75" s="498"/>
      <c r="AB75" s="522"/>
      <c r="AC75" s="522"/>
      <c r="AD75" s="525"/>
      <c r="AF75" s="50"/>
    </row>
    <row r="76" spans="1:32" ht="25.5" customHeight="1">
      <c r="A76" s="517">
        <v>6</v>
      </c>
      <c r="B76" s="518"/>
      <c r="C76" s="104"/>
      <c r="D76" s="339"/>
      <c r="E76" s="342"/>
      <c r="F76" s="519"/>
      <c r="G76" s="520"/>
      <c r="H76" s="520"/>
      <c r="I76" s="520"/>
      <c r="J76" s="521"/>
      <c r="K76" s="522"/>
      <c r="L76" s="522"/>
      <c r="M76" s="51"/>
      <c r="N76" s="523"/>
      <c r="O76" s="523"/>
      <c r="P76" s="524"/>
      <c r="Q76" s="524"/>
      <c r="R76" s="498"/>
      <c r="S76" s="498"/>
      <c r="T76" s="498"/>
      <c r="U76" s="498"/>
      <c r="V76" s="498"/>
      <c r="W76" s="498"/>
      <c r="X76" s="498"/>
      <c r="Y76" s="498"/>
      <c r="Z76" s="498"/>
      <c r="AA76" s="498"/>
      <c r="AB76" s="522"/>
      <c r="AC76" s="522"/>
      <c r="AD76" s="525"/>
      <c r="AF76" s="50"/>
    </row>
    <row r="77" spans="1:32" ht="25.5" customHeight="1">
      <c r="A77" s="517">
        <v>7</v>
      </c>
      <c r="B77" s="518"/>
      <c r="C77" s="104"/>
      <c r="D77" s="339"/>
      <c r="E77" s="342"/>
      <c r="F77" s="519"/>
      <c r="G77" s="520"/>
      <c r="H77" s="520"/>
      <c r="I77" s="520"/>
      <c r="J77" s="521"/>
      <c r="K77" s="522"/>
      <c r="L77" s="522"/>
      <c r="M77" s="51"/>
      <c r="N77" s="523"/>
      <c r="O77" s="523"/>
      <c r="P77" s="524"/>
      <c r="Q77" s="524"/>
      <c r="R77" s="498"/>
      <c r="S77" s="498"/>
      <c r="T77" s="498"/>
      <c r="U77" s="498"/>
      <c r="V77" s="498"/>
      <c r="W77" s="498"/>
      <c r="X77" s="498"/>
      <c r="Y77" s="498"/>
      <c r="Z77" s="498"/>
      <c r="AA77" s="498"/>
      <c r="AB77" s="522"/>
      <c r="AC77" s="522"/>
      <c r="AD77" s="525"/>
      <c r="AF77" s="50"/>
    </row>
    <row r="78" spans="1:32" ht="25.5" customHeight="1">
      <c r="A78" s="517">
        <v>8</v>
      </c>
      <c r="B78" s="518"/>
      <c r="C78" s="104"/>
      <c r="D78" s="339"/>
      <c r="E78" s="342"/>
      <c r="F78" s="526"/>
      <c r="G78" s="522"/>
      <c r="H78" s="522"/>
      <c r="I78" s="522"/>
      <c r="J78" s="522"/>
      <c r="K78" s="522"/>
      <c r="L78" s="522"/>
      <c r="M78" s="51"/>
      <c r="N78" s="523"/>
      <c r="O78" s="523"/>
      <c r="P78" s="524"/>
      <c r="Q78" s="524"/>
      <c r="R78" s="498"/>
      <c r="S78" s="498"/>
      <c r="T78" s="498"/>
      <c r="U78" s="498"/>
      <c r="V78" s="498"/>
      <c r="W78" s="498"/>
      <c r="X78" s="498"/>
      <c r="Y78" s="498"/>
      <c r="Z78" s="498"/>
      <c r="AA78" s="498"/>
      <c r="AB78" s="522"/>
      <c r="AC78" s="522"/>
      <c r="AD78" s="525"/>
      <c r="AF78" s="50"/>
    </row>
    <row r="79" spans="1:32" ht="25.5" customHeight="1">
      <c r="A79" s="517">
        <v>9</v>
      </c>
      <c r="B79" s="518"/>
      <c r="C79" s="104"/>
      <c r="D79" s="339"/>
      <c r="E79" s="342"/>
      <c r="F79" s="526"/>
      <c r="G79" s="522"/>
      <c r="H79" s="522"/>
      <c r="I79" s="522"/>
      <c r="J79" s="522"/>
      <c r="K79" s="522"/>
      <c r="L79" s="522"/>
      <c r="M79" s="51"/>
      <c r="N79" s="523"/>
      <c r="O79" s="523"/>
      <c r="P79" s="524"/>
      <c r="Q79" s="524"/>
      <c r="R79" s="498"/>
      <c r="S79" s="498"/>
      <c r="T79" s="498"/>
      <c r="U79" s="498"/>
      <c r="V79" s="498"/>
      <c r="W79" s="498"/>
      <c r="X79" s="498"/>
      <c r="Y79" s="498"/>
      <c r="Z79" s="498"/>
      <c r="AA79" s="498"/>
      <c r="AB79" s="522"/>
      <c r="AC79" s="522"/>
      <c r="AD79" s="525"/>
      <c r="AF79" s="50"/>
    </row>
    <row r="80" spans="1:32" ht="25.5" customHeight="1">
      <c r="A80" s="517">
        <v>10</v>
      </c>
      <c r="B80" s="518"/>
      <c r="C80" s="104"/>
      <c r="D80" s="339"/>
      <c r="E80" s="342"/>
      <c r="F80" s="526"/>
      <c r="G80" s="522"/>
      <c r="H80" s="522"/>
      <c r="I80" s="522"/>
      <c r="J80" s="522"/>
      <c r="K80" s="522"/>
      <c r="L80" s="522"/>
      <c r="M80" s="51"/>
      <c r="N80" s="523"/>
      <c r="O80" s="523"/>
      <c r="P80" s="524"/>
      <c r="Q80" s="524"/>
      <c r="R80" s="498"/>
      <c r="S80" s="498"/>
      <c r="T80" s="498"/>
      <c r="U80" s="498"/>
      <c r="V80" s="498"/>
      <c r="W80" s="498"/>
      <c r="X80" s="498"/>
      <c r="Y80" s="498"/>
      <c r="Z80" s="498"/>
      <c r="AA80" s="498"/>
      <c r="AB80" s="522"/>
      <c r="AC80" s="522"/>
      <c r="AD80" s="525"/>
      <c r="AF80" s="50"/>
    </row>
    <row r="81" spans="1:32" ht="26.25" customHeight="1" thickBot="1">
      <c r="A81" s="527" t="s">
        <v>517</v>
      </c>
      <c r="B81" s="527"/>
      <c r="C81" s="527"/>
      <c r="D81" s="527"/>
      <c r="E81" s="527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528" t="s">
        <v>111</v>
      </c>
      <c r="B82" s="529"/>
      <c r="C82" s="341" t="s">
        <v>2</v>
      </c>
      <c r="D82" s="341" t="s">
        <v>37</v>
      </c>
      <c r="E82" s="341" t="s">
        <v>121</v>
      </c>
      <c r="F82" s="530" t="s">
        <v>38</v>
      </c>
      <c r="G82" s="530"/>
      <c r="H82" s="530"/>
      <c r="I82" s="530"/>
      <c r="J82" s="530"/>
      <c r="K82" s="531" t="s">
        <v>58</v>
      </c>
      <c r="L82" s="532"/>
      <c r="M82" s="532"/>
      <c r="N82" s="532"/>
      <c r="O82" s="532"/>
      <c r="P82" s="532"/>
      <c r="Q82" s="532"/>
      <c r="R82" s="532"/>
      <c r="S82" s="533"/>
      <c r="T82" s="530" t="s">
        <v>49</v>
      </c>
      <c r="U82" s="530"/>
      <c r="V82" s="531" t="s">
        <v>50</v>
      </c>
      <c r="W82" s="533"/>
      <c r="X82" s="532" t="s">
        <v>51</v>
      </c>
      <c r="Y82" s="532"/>
      <c r="Z82" s="532"/>
      <c r="AA82" s="532"/>
      <c r="AB82" s="532"/>
      <c r="AC82" s="532"/>
      <c r="AD82" s="534"/>
      <c r="AF82" s="50"/>
    </row>
    <row r="83" spans="1:32" ht="33.75" customHeight="1">
      <c r="A83" s="543">
        <v>1</v>
      </c>
      <c r="B83" s="544"/>
      <c r="C83" s="340"/>
      <c r="D83" s="340"/>
      <c r="E83" s="65"/>
      <c r="F83" s="545"/>
      <c r="G83" s="546"/>
      <c r="H83" s="546"/>
      <c r="I83" s="546"/>
      <c r="J83" s="547"/>
      <c r="K83" s="548"/>
      <c r="L83" s="549"/>
      <c r="M83" s="549"/>
      <c r="N83" s="549"/>
      <c r="O83" s="549"/>
      <c r="P83" s="549"/>
      <c r="Q83" s="549"/>
      <c r="R83" s="549"/>
      <c r="S83" s="550"/>
      <c r="T83" s="551"/>
      <c r="U83" s="552"/>
      <c r="V83" s="553"/>
      <c r="W83" s="553"/>
      <c r="X83" s="554"/>
      <c r="Y83" s="554"/>
      <c r="Z83" s="554"/>
      <c r="AA83" s="554"/>
      <c r="AB83" s="554"/>
      <c r="AC83" s="554"/>
      <c r="AD83" s="555"/>
      <c r="AF83" s="50"/>
    </row>
    <row r="84" spans="1:32" ht="30" customHeight="1">
      <c r="A84" s="535">
        <f>A83+1</f>
        <v>2</v>
      </c>
      <c r="B84" s="536"/>
      <c r="C84" s="339"/>
      <c r="D84" s="339"/>
      <c r="E84" s="32"/>
      <c r="F84" s="536"/>
      <c r="G84" s="536"/>
      <c r="H84" s="536"/>
      <c r="I84" s="536"/>
      <c r="J84" s="536"/>
      <c r="K84" s="537"/>
      <c r="L84" s="538"/>
      <c r="M84" s="538"/>
      <c r="N84" s="538"/>
      <c r="O84" s="538"/>
      <c r="P84" s="538"/>
      <c r="Q84" s="538"/>
      <c r="R84" s="538"/>
      <c r="S84" s="539"/>
      <c r="T84" s="540"/>
      <c r="U84" s="540"/>
      <c r="V84" s="540"/>
      <c r="W84" s="540"/>
      <c r="X84" s="541"/>
      <c r="Y84" s="541"/>
      <c r="Z84" s="541"/>
      <c r="AA84" s="541"/>
      <c r="AB84" s="541"/>
      <c r="AC84" s="541"/>
      <c r="AD84" s="542"/>
      <c r="AF84" s="50"/>
    </row>
    <row r="85" spans="1:32" ht="30" customHeight="1">
      <c r="A85" s="535">
        <f t="shared" ref="A85:A89" si="19">A84+1</f>
        <v>3</v>
      </c>
      <c r="B85" s="536"/>
      <c r="C85" s="339"/>
      <c r="D85" s="339"/>
      <c r="E85" s="32"/>
      <c r="F85" s="536"/>
      <c r="G85" s="536"/>
      <c r="H85" s="536"/>
      <c r="I85" s="536"/>
      <c r="J85" s="536"/>
      <c r="K85" s="537"/>
      <c r="L85" s="538"/>
      <c r="M85" s="538"/>
      <c r="N85" s="538"/>
      <c r="O85" s="538"/>
      <c r="P85" s="538"/>
      <c r="Q85" s="538"/>
      <c r="R85" s="538"/>
      <c r="S85" s="539"/>
      <c r="T85" s="540"/>
      <c r="U85" s="540"/>
      <c r="V85" s="540"/>
      <c r="W85" s="540"/>
      <c r="X85" s="541"/>
      <c r="Y85" s="541"/>
      <c r="Z85" s="541"/>
      <c r="AA85" s="541"/>
      <c r="AB85" s="541"/>
      <c r="AC85" s="541"/>
      <c r="AD85" s="542"/>
      <c r="AF85" s="50"/>
    </row>
    <row r="86" spans="1:32" ht="30" customHeight="1">
      <c r="A86" s="535">
        <f t="shared" si="19"/>
        <v>4</v>
      </c>
      <c r="B86" s="536"/>
      <c r="C86" s="339"/>
      <c r="D86" s="339"/>
      <c r="E86" s="32"/>
      <c r="F86" s="536"/>
      <c r="G86" s="536"/>
      <c r="H86" s="536"/>
      <c r="I86" s="536"/>
      <c r="J86" s="536"/>
      <c r="K86" s="537"/>
      <c r="L86" s="538"/>
      <c r="M86" s="538"/>
      <c r="N86" s="538"/>
      <c r="O86" s="538"/>
      <c r="P86" s="538"/>
      <c r="Q86" s="538"/>
      <c r="R86" s="538"/>
      <c r="S86" s="539"/>
      <c r="T86" s="540"/>
      <c r="U86" s="540"/>
      <c r="V86" s="540"/>
      <c r="W86" s="540"/>
      <c r="X86" s="541"/>
      <c r="Y86" s="541"/>
      <c r="Z86" s="541"/>
      <c r="AA86" s="541"/>
      <c r="AB86" s="541"/>
      <c r="AC86" s="541"/>
      <c r="AD86" s="542"/>
      <c r="AF86" s="50"/>
    </row>
    <row r="87" spans="1:32" ht="30" customHeight="1">
      <c r="A87" s="535">
        <f t="shared" si="19"/>
        <v>5</v>
      </c>
      <c r="B87" s="536"/>
      <c r="C87" s="339"/>
      <c r="D87" s="339"/>
      <c r="E87" s="32"/>
      <c r="F87" s="536"/>
      <c r="G87" s="536"/>
      <c r="H87" s="536"/>
      <c r="I87" s="536"/>
      <c r="J87" s="536"/>
      <c r="K87" s="537"/>
      <c r="L87" s="538"/>
      <c r="M87" s="538"/>
      <c r="N87" s="538"/>
      <c r="O87" s="538"/>
      <c r="P87" s="538"/>
      <c r="Q87" s="538"/>
      <c r="R87" s="538"/>
      <c r="S87" s="539"/>
      <c r="T87" s="540"/>
      <c r="U87" s="540"/>
      <c r="V87" s="540"/>
      <c r="W87" s="540"/>
      <c r="X87" s="541"/>
      <c r="Y87" s="541"/>
      <c r="Z87" s="541"/>
      <c r="AA87" s="541"/>
      <c r="AB87" s="541"/>
      <c r="AC87" s="541"/>
      <c r="AD87" s="542"/>
      <c r="AF87" s="50"/>
    </row>
    <row r="88" spans="1:32" ht="30" customHeight="1">
      <c r="A88" s="535">
        <f t="shared" si="19"/>
        <v>6</v>
      </c>
      <c r="B88" s="536"/>
      <c r="C88" s="339"/>
      <c r="D88" s="339"/>
      <c r="E88" s="32"/>
      <c r="F88" s="536"/>
      <c r="G88" s="536"/>
      <c r="H88" s="536"/>
      <c r="I88" s="536"/>
      <c r="J88" s="536"/>
      <c r="K88" s="537"/>
      <c r="L88" s="538"/>
      <c r="M88" s="538"/>
      <c r="N88" s="538"/>
      <c r="O88" s="538"/>
      <c r="P88" s="538"/>
      <c r="Q88" s="538"/>
      <c r="R88" s="538"/>
      <c r="S88" s="539"/>
      <c r="T88" s="540"/>
      <c r="U88" s="540"/>
      <c r="V88" s="540"/>
      <c r="W88" s="540"/>
      <c r="X88" s="541"/>
      <c r="Y88" s="541"/>
      <c r="Z88" s="541"/>
      <c r="AA88" s="541"/>
      <c r="AB88" s="541"/>
      <c r="AC88" s="541"/>
      <c r="AD88" s="542"/>
      <c r="AF88" s="50"/>
    </row>
    <row r="89" spans="1:32" ht="30" customHeight="1">
      <c r="A89" s="535">
        <f t="shared" si="19"/>
        <v>7</v>
      </c>
      <c r="B89" s="536"/>
      <c r="C89" s="339"/>
      <c r="D89" s="339"/>
      <c r="E89" s="32"/>
      <c r="F89" s="536"/>
      <c r="G89" s="536"/>
      <c r="H89" s="536"/>
      <c r="I89" s="536"/>
      <c r="J89" s="536"/>
      <c r="K89" s="537"/>
      <c r="L89" s="538"/>
      <c r="M89" s="538"/>
      <c r="N89" s="538"/>
      <c r="O89" s="538"/>
      <c r="P89" s="538"/>
      <c r="Q89" s="538"/>
      <c r="R89" s="538"/>
      <c r="S89" s="539"/>
      <c r="T89" s="540"/>
      <c r="U89" s="540"/>
      <c r="V89" s="540"/>
      <c r="W89" s="540"/>
      <c r="X89" s="541"/>
      <c r="Y89" s="541"/>
      <c r="Z89" s="541"/>
      <c r="AA89" s="541"/>
      <c r="AB89" s="541"/>
      <c r="AC89" s="541"/>
      <c r="AD89" s="542"/>
      <c r="AF89" s="50"/>
    </row>
    <row r="90" spans="1:32" ht="36" thickBot="1">
      <c r="A90" s="527" t="s">
        <v>518</v>
      </c>
      <c r="B90" s="527"/>
      <c r="C90" s="527"/>
      <c r="D90" s="527"/>
      <c r="E90" s="527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556" t="s">
        <v>111</v>
      </c>
      <c r="B91" s="530"/>
      <c r="C91" s="557" t="s">
        <v>52</v>
      </c>
      <c r="D91" s="557"/>
      <c r="E91" s="557" t="s">
        <v>53</v>
      </c>
      <c r="F91" s="557"/>
      <c r="G91" s="557"/>
      <c r="H91" s="557"/>
      <c r="I91" s="557"/>
      <c r="J91" s="557"/>
      <c r="K91" s="557" t="s">
        <v>54</v>
      </c>
      <c r="L91" s="557"/>
      <c r="M91" s="557"/>
      <c r="N91" s="557"/>
      <c r="O91" s="557"/>
      <c r="P91" s="557"/>
      <c r="Q91" s="557"/>
      <c r="R91" s="557"/>
      <c r="S91" s="557"/>
      <c r="T91" s="557" t="s">
        <v>55</v>
      </c>
      <c r="U91" s="557"/>
      <c r="V91" s="557" t="s">
        <v>56</v>
      </c>
      <c r="W91" s="557"/>
      <c r="X91" s="557"/>
      <c r="Y91" s="557" t="s">
        <v>51</v>
      </c>
      <c r="Z91" s="557"/>
      <c r="AA91" s="557"/>
      <c r="AB91" s="557"/>
      <c r="AC91" s="557"/>
      <c r="AD91" s="558"/>
      <c r="AF91" s="50"/>
    </row>
    <row r="92" spans="1:32" ht="30.75" customHeight="1">
      <c r="A92" s="543">
        <v>1</v>
      </c>
      <c r="B92" s="544"/>
      <c r="C92" s="559">
        <v>9</v>
      </c>
      <c r="D92" s="559"/>
      <c r="E92" s="559" t="s">
        <v>127</v>
      </c>
      <c r="F92" s="559"/>
      <c r="G92" s="559"/>
      <c r="H92" s="559"/>
      <c r="I92" s="559"/>
      <c r="J92" s="559"/>
      <c r="K92" s="559" t="s">
        <v>136</v>
      </c>
      <c r="L92" s="559"/>
      <c r="M92" s="559"/>
      <c r="N92" s="559"/>
      <c r="O92" s="559"/>
      <c r="P92" s="559"/>
      <c r="Q92" s="559"/>
      <c r="R92" s="559"/>
      <c r="S92" s="559"/>
      <c r="T92" s="559" t="s">
        <v>128</v>
      </c>
      <c r="U92" s="559"/>
      <c r="V92" s="560" t="s">
        <v>133</v>
      </c>
      <c r="W92" s="560"/>
      <c r="X92" s="560"/>
      <c r="Y92" s="561"/>
      <c r="Z92" s="561"/>
      <c r="AA92" s="561"/>
      <c r="AB92" s="561"/>
      <c r="AC92" s="561"/>
      <c r="AD92" s="562"/>
      <c r="AF92" s="50"/>
    </row>
    <row r="93" spans="1:32" ht="30.75" customHeight="1">
      <c r="A93" s="535">
        <v>2</v>
      </c>
      <c r="B93" s="536"/>
      <c r="C93" s="570"/>
      <c r="D93" s="570"/>
      <c r="E93" s="570"/>
      <c r="F93" s="570"/>
      <c r="G93" s="570"/>
      <c r="H93" s="570"/>
      <c r="I93" s="570"/>
      <c r="J93" s="570"/>
      <c r="K93" s="570"/>
      <c r="L93" s="570"/>
      <c r="M93" s="570"/>
      <c r="N93" s="570"/>
      <c r="O93" s="570"/>
      <c r="P93" s="570"/>
      <c r="Q93" s="570"/>
      <c r="R93" s="570"/>
      <c r="S93" s="570"/>
      <c r="T93" s="571"/>
      <c r="U93" s="571"/>
      <c r="V93" s="572"/>
      <c r="W93" s="572"/>
      <c r="X93" s="572"/>
      <c r="Y93" s="563"/>
      <c r="Z93" s="563"/>
      <c r="AA93" s="563"/>
      <c r="AB93" s="563"/>
      <c r="AC93" s="563"/>
      <c r="AD93" s="564"/>
      <c r="AF93" s="50"/>
    </row>
    <row r="94" spans="1:32" ht="30.75" customHeight="1" thickBot="1">
      <c r="A94" s="565">
        <v>3</v>
      </c>
      <c r="B94" s="566"/>
      <c r="C94" s="567"/>
      <c r="D94" s="567"/>
      <c r="E94" s="567"/>
      <c r="F94" s="567"/>
      <c r="G94" s="567"/>
      <c r="H94" s="567"/>
      <c r="I94" s="567"/>
      <c r="J94" s="567"/>
      <c r="K94" s="567"/>
      <c r="L94" s="567"/>
      <c r="M94" s="567"/>
      <c r="N94" s="567"/>
      <c r="O94" s="567"/>
      <c r="P94" s="567"/>
      <c r="Q94" s="567"/>
      <c r="R94" s="567"/>
      <c r="S94" s="567"/>
      <c r="T94" s="567"/>
      <c r="U94" s="567"/>
      <c r="V94" s="573"/>
      <c r="W94" s="573"/>
      <c r="X94" s="573"/>
      <c r="Y94" s="568"/>
      <c r="Z94" s="568"/>
      <c r="AA94" s="568"/>
      <c r="AB94" s="568"/>
      <c r="AC94" s="568"/>
      <c r="AD94" s="569"/>
      <c r="AF94" s="50"/>
    </row>
  </sheetData>
  <mergeCells count="232"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4" max="29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6059-649D-45A1-9FF3-12B57B92AF43}">
  <dimension ref="A1:AF93"/>
  <sheetViews>
    <sheetView view="pageBreakPreview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50" t="s">
        <v>519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1"/>
      <c r="B3" s="451"/>
      <c r="C3" s="451"/>
      <c r="D3" s="451"/>
      <c r="E3" s="451"/>
      <c r="F3" s="451"/>
      <c r="G3" s="45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52" t="s">
        <v>0</v>
      </c>
      <c r="B4" s="454" t="s">
        <v>1</v>
      </c>
      <c r="C4" s="454" t="s">
        <v>2</v>
      </c>
      <c r="D4" s="457" t="s">
        <v>3</v>
      </c>
      <c r="E4" s="459" t="s">
        <v>4</v>
      </c>
      <c r="F4" s="457" t="s">
        <v>5</v>
      </c>
      <c r="G4" s="454" t="s">
        <v>6</v>
      </c>
      <c r="H4" s="460" t="s">
        <v>7</v>
      </c>
      <c r="I4" s="480" t="s">
        <v>8</v>
      </c>
      <c r="J4" s="481"/>
      <c r="K4" s="481"/>
      <c r="L4" s="481"/>
      <c r="M4" s="481"/>
      <c r="N4" s="481"/>
      <c r="O4" s="482"/>
      <c r="P4" s="483" t="s">
        <v>9</v>
      </c>
      <c r="Q4" s="484"/>
      <c r="R4" s="486" t="s">
        <v>10</v>
      </c>
      <c r="S4" s="485"/>
      <c r="T4" s="485"/>
      <c r="U4" s="485"/>
      <c r="V4" s="487"/>
      <c r="W4" s="485" t="s">
        <v>11</v>
      </c>
      <c r="X4" s="485"/>
      <c r="Y4" s="485"/>
      <c r="Z4" s="485"/>
      <c r="AA4" s="487"/>
      <c r="AB4" s="488" t="s">
        <v>12</v>
      </c>
      <c r="AC4" s="462" t="s">
        <v>13</v>
      </c>
      <c r="AD4" s="462" t="s">
        <v>14</v>
      </c>
      <c r="AE4" s="54"/>
    </row>
    <row r="5" spans="1:32" ht="51" customHeight="1" thickBot="1">
      <c r="A5" s="453"/>
      <c r="B5" s="455"/>
      <c r="C5" s="456"/>
      <c r="D5" s="458"/>
      <c r="E5" s="458"/>
      <c r="F5" s="458"/>
      <c r="G5" s="455"/>
      <c r="H5" s="461"/>
      <c r="I5" s="55" t="s">
        <v>15</v>
      </c>
      <c r="J5" s="56" t="s">
        <v>16</v>
      </c>
      <c r="K5" s="352" t="s">
        <v>17</v>
      </c>
      <c r="L5" s="352" t="s">
        <v>18</v>
      </c>
      <c r="M5" s="352" t="s">
        <v>19</v>
      </c>
      <c r="N5" s="35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89"/>
      <c r="AC5" s="463"/>
      <c r="AD5" s="463"/>
      <c r="AE5" s="54"/>
    </row>
    <row r="6" spans="1:32" ht="27" customHeight="1">
      <c r="A6" s="112">
        <v>1</v>
      </c>
      <c r="B6" s="11" t="s">
        <v>57</v>
      </c>
      <c r="C6" s="34" t="s">
        <v>116</v>
      </c>
      <c r="D6" s="52" t="s">
        <v>130</v>
      </c>
      <c r="E6" s="53" t="s">
        <v>158</v>
      </c>
      <c r="F6" s="30" t="s">
        <v>146</v>
      </c>
      <c r="G6" s="12">
        <v>2</v>
      </c>
      <c r="H6" s="13">
        <v>24</v>
      </c>
      <c r="I6" s="31">
        <v>174000</v>
      </c>
      <c r="J6" s="14">
        <v>12526</v>
      </c>
      <c r="K6" s="15">
        <f>L6+2384+8412+9776+8821+8774+10138+6972+8852+4388+11916+2738+3190+6210+12800+10648+13436+12794+13128+13256</f>
        <v>181159</v>
      </c>
      <c r="L6" s="15">
        <f>2950*2+3313*2</f>
        <v>12526</v>
      </c>
      <c r="M6" s="15">
        <f t="shared" ref="M6:M27" si="0">L6-N6</f>
        <v>12526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24</v>
      </c>
      <c r="Q6" s="40">
        <f t="shared" ref="Q6:Q27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1</v>
      </c>
      <c r="AD6" s="10">
        <f t="shared" ref="AD6:AD27" si="6">AC6*AB6*(1-O6)</f>
        <v>1</v>
      </c>
      <c r="AE6" s="36">
        <f t="shared" ref="AE6:AE27" si="7">$AD$28</f>
        <v>0.45619957956867979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116</v>
      </c>
      <c r="D7" s="52" t="s">
        <v>115</v>
      </c>
      <c r="E7" s="53" t="s">
        <v>510</v>
      </c>
      <c r="F7" s="30" t="s">
        <v>135</v>
      </c>
      <c r="G7" s="12">
        <v>4</v>
      </c>
      <c r="H7" s="13">
        <v>24</v>
      </c>
      <c r="I7" s="31">
        <v>16500</v>
      </c>
      <c r="J7" s="14">
        <v>17064</v>
      </c>
      <c r="K7" s="15">
        <f>L7</f>
        <v>17064</v>
      </c>
      <c r="L7" s="15">
        <f>1805*4+2461*4</f>
        <v>17064</v>
      </c>
      <c r="M7" s="15">
        <f t="shared" si="0"/>
        <v>17064</v>
      </c>
      <c r="N7" s="15">
        <v>0</v>
      </c>
      <c r="O7" s="58">
        <f t="shared" si="1"/>
        <v>0</v>
      </c>
      <c r="P7" s="39">
        <f t="shared" si="2"/>
        <v>22</v>
      </c>
      <c r="Q7" s="40">
        <f t="shared" si="3"/>
        <v>2</v>
      </c>
      <c r="R7" s="7"/>
      <c r="S7" s="6"/>
      <c r="T7" s="16">
        <v>2</v>
      </c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0.91666666666666663</v>
      </c>
      <c r="AD7" s="10">
        <f t="shared" si="6"/>
        <v>0.91666666666666663</v>
      </c>
      <c r="AE7" s="36">
        <f t="shared" si="7"/>
        <v>0.45619957956867979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116</v>
      </c>
      <c r="D8" s="52" t="s">
        <v>124</v>
      </c>
      <c r="E8" s="53" t="s">
        <v>323</v>
      </c>
      <c r="F8" s="30" t="s">
        <v>134</v>
      </c>
      <c r="G8" s="12">
        <v>1</v>
      </c>
      <c r="H8" s="13">
        <v>24</v>
      </c>
      <c r="I8" s="7">
        <v>50000</v>
      </c>
      <c r="J8" s="14">
        <v>1761</v>
      </c>
      <c r="K8" s="15">
        <f>L8</f>
        <v>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0.45619957956867979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116</v>
      </c>
      <c r="D9" s="52" t="s">
        <v>115</v>
      </c>
      <c r="E9" s="53" t="s">
        <v>457</v>
      </c>
      <c r="F9" s="30" t="s">
        <v>350</v>
      </c>
      <c r="G9" s="12">
        <v>1</v>
      </c>
      <c r="H9" s="13">
        <v>24</v>
      </c>
      <c r="I9" s="7">
        <v>14000</v>
      </c>
      <c r="J9" s="14">
        <v>4146</v>
      </c>
      <c r="K9" s="15">
        <f>L9+4214+4693+1903</f>
        <v>14956</v>
      </c>
      <c r="L9" s="15">
        <f>2349+1797</f>
        <v>4146</v>
      </c>
      <c r="M9" s="15">
        <f t="shared" si="0"/>
        <v>4146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0.45619957956867979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116</v>
      </c>
      <c r="D10" s="52" t="s">
        <v>123</v>
      </c>
      <c r="E10" s="53" t="s">
        <v>512</v>
      </c>
      <c r="F10" s="30" t="s">
        <v>520</v>
      </c>
      <c r="G10" s="33">
        <v>4</v>
      </c>
      <c r="H10" s="35">
        <v>24</v>
      </c>
      <c r="I10" s="7">
        <v>16500</v>
      </c>
      <c r="J10" s="14">
        <v>6600</v>
      </c>
      <c r="K10" s="15">
        <f>L10+6600</f>
        <v>6600</v>
      </c>
      <c r="L10" s="15">
        <v>0</v>
      </c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0.45619957956867979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116</v>
      </c>
      <c r="D11" s="52" t="s">
        <v>514</v>
      </c>
      <c r="E11" s="53" t="s">
        <v>513</v>
      </c>
      <c r="F11" s="30" t="s">
        <v>134</v>
      </c>
      <c r="G11" s="33">
        <v>8</v>
      </c>
      <c r="H11" s="35">
        <v>24</v>
      </c>
      <c r="I11" s="7">
        <v>31000</v>
      </c>
      <c r="J11" s="14">
        <v>36512</v>
      </c>
      <c r="K11" s="15">
        <f>L11</f>
        <v>36512</v>
      </c>
      <c r="L11" s="15">
        <f>2529*8+2035*8</f>
        <v>36512</v>
      </c>
      <c r="M11" s="15">
        <f t="shared" si="0"/>
        <v>36512</v>
      </c>
      <c r="N11" s="15">
        <v>0</v>
      </c>
      <c r="O11" s="58">
        <f t="shared" si="1"/>
        <v>0</v>
      </c>
      <c r="P11" s="39">
        <f t="shared" si="2"/>
        <v>23</v>
      </c>
      <c r="Q11" s="40">
        <f t="shared" si="3"/>
        <v>1</v>
      </c>
      <c r="R11" s="7"/>
      <c r="S11" s="6"/>
      <c r="T11" s="16">
        <v>1</v>
      </c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0.95833333333333337</v>
      </c>
      <c r="AD11" s="10">
        <f t="shared" si="6"/>
        <v>0.95833333333333337</v>
      </c>
      <c r="AE11" s="36">
        <f t="shared" si="7"/>
        <v>0.45619957956867979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403</v>
      </c>
      <c r="F12" s="30" t="s">
        <v>167</v>
      </c>
      <c r="G12" s="12">
        <v>1</v>
      </c>
      <c r="H12" s="13">
        <v>22</v>
      </c>
      <c r="I12" s="31">
        <v>70000</v>
      </c>
      <c r="J12" s="5">
        <v>5482</v>
      </c>
      <c r="K12" s="15">
        <f>L12+3050+5463+5497+6377+5244+5460+5580</f>
        <v>42153</v>
      </c>
      <c r="L12" s="15">
        <f>2760+2722</f>
        <v>5482</v>
      </c>
      <c r="M12" s="15">
        <f t="shared" si="0"/>
        <v>5482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0.45619957956867979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116</v>
      </c>
      <c r="D13" s="52" t="s">
        <v>124</v>
      </c>
      <c r="E13" s="53" t="s">
        <v>471</v>
      </c>
      <c r="F13" s="30" t="s">
        <v>131</v>
      </c>
      <c r="G13" s="33">
        <v>1</v>
      </c>
      <c r="H13" s="35">
        <v>24</v>
      </c>
      <c r="I13" s="7">
        <v>14000</v>
      </c>
      <c r="J13" s="14">
        <v>2704</v>
      </c>
      <c r="K13" s="15">
        <f>L13+4237+737</f>
        <v>7678</v>
      </c>
      <c r="L13" s="15">
        <f>288+2416</f>
        <v>2704</v>
      </c>
      <c r="M13" s="15">
        <f t="shared" si="0"/>
        <v>2704</v>
      </c>
      <c r="N13" s="15">
        <v>0</v>
      </c>
      <c r="O13" s="58">
        <f t="shared" si="1"/>
        <v>0</v>
      </c>
      <c r="P13" s="39">
        <f t="shared" si="2"/>
        <v>14</v>
      </c>
      <c r="Q13" s="40">
        <f t="shared" si="3"/>
        <v>10</v>
      </c>
      <c r="R13" s="7"/>
      <c r="S13" s="6">
        <v>10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0.58333333333333337</v>
      </c>
      <c r="AD13" s="10">
        <f t="shared" si="6"/>
        <v>0.58333333333333337</v>
      </c>
      <c r="AE13" s="36">
        <f t="shared" si="7"/>
        <v>0.45619957956867979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459</v>
      </c>
      <c r="F14" s="30" t="s">
        <v>350</v>
      </c>
      <c r="G14" s="33">
        <v>1</v>
      </c>
      <c r="H14" s="35">
        <v>50</v>
      </c>
      <c r="I14" s="7">
        <v>500</v>
      </c>
      <c r="J14" s="5">
        <v>49</v>
      </c>
      <c r="K14" s="15">
        <f>L14+303+116+49</f>
        <v>468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0.45619957956867979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123</v>
      </c>
      <c r="E15" s="53" t="s">
        <v>141</v>
      </c>
      <c r="F15" s="30" t="s">
        <v>135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0.45619957956867979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143</v>
      </c>
      <c r="D16" s="52" t="s">
        <v>123</v>
      </c>
      <c r="E16" s="53" t="s">
        <v>248</v>
      </c>
      <c r="F16" s="30" t="s">
        <v>145</v>
      </c>
      <c r="G16" s="12">
        <v>3</v>
      </c>
      <c r="H16" s="13">
        <v>24</v>
      </c>
      <c r="I16" s="7">
        <v>470000</v>
      </c>
      <c r="J16" s="14">
        <v>9738</v>
      </c>
      <c r="K16" s="15">
        <f>L16</f>
        <v>9738</v>
      </c>
      <c r="L16" s="15">
        <f>3246*3</f>
        <v>9738</v>
      </c>
      <c r="M16" s="15">
        <f t="shared" si="0"/>
        <v>9738</v>
      </c>
      <c r="N16" s="15">
        <v>0</v>
      </c>
      <c r="O16" s="58">
        <f t="shared" si="1"/>
        <v>0</v>
      </c>
      <c r="P16" s="39">
        <f t="shared" si="2"/>
        <v>15</v>
      </c>
      <c r="Q16" s="40">
        <f t="shared" si="3"/>
        <v>9</v>
      </c>
      <c r="R16" s="7"/>
      <c r="S16" s="6">
        <v>9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0.625</v>
      </c>
      <c r="AD16" s="10">
        <f t="shared" si="6"/>
        <v>0.625</v>
      </c>
      <c r="AE16" s="36">
        <f t="shared" si="7"/>
        <v>0.45619957956867979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143</v>
      </c>
      <c r="D17" s="52" t="s">
        <v>150</v>
      </c>
      <c r="E17" s="53" t="s">
        <v>445</v>
      </c>
      <c r="F17" s="30" t="s">
        <v>154</v>
      </c>
      <c r="G17" s="12">
        <v>4</v>
      </c>
      <c r="H17" s="13">
        <v>24</v>
      </c>
      <c r="I17" s="7">
        <v>1500</v>
      </c>
      <c r="J17" s="14">
        <v>2164</v>
      </c>
      <c r="K17" s="15">
        <f>L17+2164</f>
        <v>2164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0.45619957956867979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480</v>
      </c>
      <c r="F18" s="30" t="s">
        <v>350</v>
      </c>
      <c r="G18" s="33">
        <v>1</v>
      </c>
      <c r="H18" s="35">
        <v>24</v>
      </c>
      <c r="I18" s="7">
        <v>18000</v>
      </c>
      <c r="J18" s="14">
        <v>3408</v>
      </c>
      <c r="K18" s="15">
        <f>L18</f>
        <v>3408</v>
      </c>
      <c r="L18" s="15">
        <f>829+2579</f>
        <v>3408</v>
      </c>
      <c r="M18" s="15">
        <f t="shared" si="0"/>
        <v>3408</v>
      </c>
      <c r="N18" s="15">
        <v>0</v>
      </c>
      <c r="O18" s="58">
        <f t="shared" si="1"/>
        <v>0</v>
      </c>
      <c r="P18" s="39">
        <f t="shared" si="2"/>
        <v>17</v>
      </c>
      <c r="Q18" s="40">
        <f t="shared" si="3"/>
        <v>7</v>
      </c>
      <c r="R18" s="7"/>
      <c r="S18" s="6">
        <v>7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0.70833333333333337</v>
      </c>
      <c r="AD18" s="10">
        <f t="shared" si="6"/>
        <v>0.70833333333333337</v>
      </c>
      <c r="AE18" s="36">
        <f t="shared" si="7"/>
        <v>0.45619957956867979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142</v>
      </c>
      <c r="E19" s="53" t="s">
        <v>161</v>
      </c>
      <c r="F19" s="30" t="s">
        <v>134</v>
      </c>
      <c r="G19" s="33">
        <v>1</v>
      </c>
      <c r="H19" s="35">
        <v>24</v>
      </c>
      <c r="I19" s="7">
        <v>54000</v>
      </c>
      <c r="J19" s="14">
        <v>2119</v>
      </c>
      <c r="K19" s="15">
        <f>L19+5079+5307+3503+1179+3568+5398+5390+5307+4716+2400+323</f>
        <v>44289</v>
      </c>
      <c r="L19" s="15">
        <f>1569+550</f>
        <v>2119</v>
      </c>
      <c r="M19" s="15">
        <f t="shared" si="0"/>
        <v>2119</v>
      </c>
      <c r="N19" s="15">
        <v>0</v>
      </c>
      <c r="O19" s="58">
        <f t="shared" si="1"/>
        <v>0</v>
      </c>
      <c r="P19" s="39">
        <f t="shared" si="2"/>
        <v>11</v>
      </c>
      <c r="Q19" s="40">
        <f t="shared" si="3"/>
        <v>13</v>
      </c>
      <c r="R19" s="7"/>
      <c r="S19" s="6">
        <v>13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0.45833333333333331</v>
      </c>
      <c r="AD19" s="10">
        <f t="shared" si="6"/>
        <v>0.45833333333333331</v>
      </c>
      <c r="AE19" s="36">
        <f t="shared" si="7"/>
        <v>0.45619957956867979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521</v>
      </c>
      <c r="F20" s="30" t="s">
        <v>131</v>
      </c>
      <c r="G20" s="12">
        <v>2</v>
      </c>
      <c r="H20" s="13">
        <v>24</v>
      </c>
      <c r="I20" s="7">
        <v>230000</v>
      </c>
      <c r="J20" s="14">
        <v>7008</v>
      </c>
      <c r="K20" s="15">
        <f>L20</f>
        <v>7008</v>
      </c>
      <c r="L20" s="15">
        <f>717*2+2787*2</f>
        <v>7008</v>
      </c>
      <c r="M20" s="15">
        <f t="shared" si="0"/>
        <v>7008</v>
      </c>
      <c r="N20" s="15">
        <v>0</v>
      </c>
      <c r="O20" s="58">
        <f t="shared" si="1"/>
        <v>0</v>
      </c>
      <c r="P20" s="39">
        <f t="shared" si="2"/>
        <v>19</v>
      </c>
      <c r="Q20" s="40">
        <f t="shared" si="3"/>
        <v>5</v>
      </c>
      <c r="R20" s="7"/>
      <c r="S20" s="6">
        <v>5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0.79166666666666663</v>
      </c>
      <c r="AD20" s="10">
        <f t="shared" si="6"/>
        <v>0.79166666666666663</v>
      </c>
      <c r="AE20" s="36">
        <f t="shared" si="7"/>
        <v>0.45619957956867979</v>
      </c>
      <c r="AF20" s="84">
        <f t="shared" si="8"/>
        <v>15</v>
      </c>
    </row>
    <row r="21" spans="1:32" ht="27" customHeight="1">
      <c r="A21" s="96">
        <v>16</v>
      </c>
      <c r="B21" s="11" t="s">
        <v>57</v>
      </c>
      <c r="C21" s="11" t="s">
        <v>113</v>
      </c>
      <c r="D21" s="52"/>
      <c r="E21" s="53" t="s">
        <v>522</v>
      </c>
      <c r="F21" s="12" t="s">
        <v>114</v>
      </c>
      <c r="G21" s="12">
        <v>4</v>
      </c>
      <c r="H21" s="35">
        <v>20</v>
      </c>
      <c r="I21" s="7">
        <v>100000</v>
      </c>
      <c r="J21" s="14">
        <v>66784</v>
      </c>
      <c r="K21" s="15">
        <f>L21</f>
        <v>66784</v>
      </c>
      <c r="L21" s="15">
        <f>7940*4+8756*4</f>
        <v>66784</v>
      </c>
      <c r="M21" s="15">
        <f t="shared" si="0"/>
        <v>66784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0.45619957956867979</v>
      </c>
      <c r="AF21" s="84">
        <f t="shared" si="8"/>
        <v>16</v>
      </c>
    </row>
    <row r="22" spans="1:32" ht="27" customHeight="1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0.45619957956867979</v>
      </c>
      <c r="AF22" s="84">
        <f t="shared" si="8"/>
        <v>31</v>
      </c>
    </row>
    <row r="23" spans="1:32" ht="27" customHeight="1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0.45619957956867979</v>
      </c>
      <c r="AF23" s="84">
        <f t="shared" si="8"/>
        <v>32</v>
      </c>
    </row>
    <row r="24" spans="1:32" ht="27" customHeight="1">
      <c r="A24" s="96">
        <v>33</v>
      </c>
      <c r="B24" s="11" t="s">
        <v>57</v>
      </c>
      <c r="C24" s="11" t="s">
        <v>116</v>
      </c>
      <c r="D24" s="52" t="s">
        <v>150</v>
      </c>
      <c r="E24" s="53" t="s">
        <v>163</v>
      </c>
      <c r="F24" s="12" t="s">
        <v>145</v>
      </c>
      <c r="G24" s="12">
        <v>1</v>
      </c>
      <c r="H24" s="35">
        <v>20</v>
      </c>
      <c r="I24" s="7">
        <v>140000</v>
      </c>
      <c r="J24" s="14">
        <v>7013</v>
      </c>
      <c r="K24" s="15">
        <f>L24+4387+7770+5806+7905+7479+7369+7360+2397+6904+7208+7013</f>
        <v>78574</v>
      </c>
      <c r="L24" s="15">
        <f>4036+2940</f>
        <v>6976</v>
      </c>
      <c r="M24" s="15">
        <f t="shared" si="0"/>
        <v>6976</v>
      </c>
      <c r="N24" s="15">
        <v>0</v>
      </c>
      <c r="O24" s="58">
        <f t="shared" si="1"/>
        <v>0</v>
      </c>
      <c r="P24" s="39">
        <f t="shared" si="2"/>
        <v>24</v>
      </c>
      <c r="Q24" s="40">
        <f t="shared" si="3"/>
        <v>0</v>
      </c>
      <c r="R24" s="7"/>
      <c r="S24" s="6"/>
      <c r="T24" s="16"/>
      <c r="U24" s="16"/>
      <c r="V24" s="206"/>
      <c r="W24" s="5"/>
      <c r="X24" s="16"/>
      <c r="Y24" s="16"/>
      <c r="Z24" s="16"/>
      <c r="AA24" s="18"/>
      <c r="AB24" s="8">
        <f t="shared" si="4"/>
        <v>0.99472408384428923</v>
      </c>
      <c r="AC24" s="9">
        <f t="shared" si="5"/>
        <v>1</v>
      </c>
      <c r="AD24" s="10">
        <f t="shared" si="6"/>
        <v>0.99472408384428923</v>
      </c>
      <c r="AE24" s="36">
        <f t="shared" si="7"/>
        <v>0.45619957956867979</v>
      </c>
      <c r="AF24" s="84">
        <f t="shared" si="8"/>
        <v>33</v>
      </c>
    </row>
    <row r="25" spans="1:32" ht="27" customHeight="1">
      <c r="A25" s="96">
        <v>34</v>
      </c>
      <c r="B25" s="11" t="s">
        <v>57</v>
      </c>
      <c r="C25" s="11" t="s">
        <v>116</v>
      </c>
      <c r="D25" s="52" t="s">
        <v>150</v>
      </c>
      <c r="E25" s="53" t="s">
        <v>165</v>
      </c>
      <c r="F25" s="12" t="s">
        <v>135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206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0.45619957956867979</v>
      </c>
      <c r="AF25" s="84">
        <f t="shared" si="8"/>
        <v>34</v>
      </c>
    </row>
    <row r="26" spans="1:32" ht="27" customHeight="1">
      <c r="A26" s="96">
        <v>35</v>
      </c>
      <c r="B26" s="11" t="s">
        <v>57</v>
      </c>
      <c r="C26" s="11" t="s">
        <v>116</v>
      </c>
      <c r="D26" s="52" t="s">
        <v>123</v>
      </c>
      <c r="E26" s="53" t="s">
        <v>137</v>
      </c>
      <c r="F26" s="12" t="s">
        <v>135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206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0.45619957956867979</v>
      </c>
      <c r="AF26" s="84">
        <f t="shared" si="8"/>
        <v>35</v>
      </c>
    </row>
    <row r="27" spans="1:32" ht="27" customHeight="1" thickBot="1">
      <c r="A27" s="96">
        <v>36</v>
      </c>
      <c r="B27" s="11" t="s">
        <v>57</v>
      </c>
      <c r="C27" s="11" t="s">
        <v>380</v>
      </c>
      <c r="D27" s="52"/>
      <c r="E27" s="53" t="s">
        <v>381</v>
      </c>
      <c r="F27" s="12" t="s">
        <v>382</v>
      </c>
      <c r="G27" s="12">
        <v>32</v>
      </c>
      <c r="H27" s="35">
        <v>20</v>
      </c>
      <c r="I27" s="7">
        <v>700000</v>
      </c>
      <c r="J27" s="14">
        <v>89792</v>
      </c>
      <c r="K27" s="15">
        <f>L27+326528+448864+89792</f>
        <v>865184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206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0.45619957956867979</v>
      </c>
      <c r="AF27" s="84">
        <f t="shared" si="8"/>
        <v>36</v>
      </c>
    </row>
    <row r="28" spans="1:32" ht="31.5" customHeight="1" thickBot="1">
      <c r="A28" s="464" t="s">
        <v>34</v>
      </c>
      <c r="B28" s="465"/>
      <c r="C28" s="465"/>
      <c r="D28" s="465"/>
      <c r="E28" s="465"/>
      <c r="F28" s="465"/>
      <c r="G28" s="465"/>
      <c r="H28" s="466"/>
      <c r="I28" s="22">
        <f t="shared" ref="I28:N28" si="9">SUM(I6:I27)</f>
        <v>2592000</v>
      </c>
      <c r="J28" s="19">
        <f t="shared" si="9"/>
        <v>308814</v>
      </c>
      <c r="K28" s="20">
        <f t="shared" si="9"/>
        <v>1935739</v>
      </c>
      <c r="L28" s="21">
        <f t="shared" si="9"/>
        <v>174467</v>
      </c>
      <c r="M28" s="20">
        <f t="shared" si="9"/>
        <v>174467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241</v>
      </c>
      <c r="Q28" s="43">
        <f t="shared" si="10"/>
        <v>287</v>
      </c>
      <c r="R28" s="23">
        <f t="shared" si="10"/>
        <v>0</v>
      </c>
      <c r="S28" s="24">
        <f t="shared" si="10"/>
        <v>116</v>
      </c>
      <c r="T28" s="24">
        <f t="shared" si="10"/>
        <v>3</v>
      </c>
      <c r="U28" s="24">
        <f t="shared" si="10"/>
        <v>0</v>
      </c>
      <c r="V28" s="25">
        <f t="shared" si="10"/>
        <v>48</v>
      </c>
      <c r="W28" s="26">
        <f t="shared" si="10"/>
        <v>120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0</v>
      </c>
      <c r="AB28" s="28">
        <f>AVERAGE(AB6:AB27)</f>
        <v>0.59973620419221452</v>
      </c>
      <c r="AC28" s="4">
        <f>AVERAGE(AC6:AC27)</f>
        <v>0.45643939393939392</v>
      </c>
      <c r="AD28" s="4">
        <f>AVERAGE(AD6:AD27)</f>
        <v>0.45619957956867979</v>
      </c>
      <c r="AE28" s="29"/>
    </row>
    <row r="29" spans="1:32">
      <c r="T29" s="50" t="s">
        <v>157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160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67" t="s">
        <v>45</v>
      </c>
      <c r="B55" s="467"/>
      <c r="C55" s="467"/>
      <c r="D55" s="467"/>
      <c r="E55" s="467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68" t="s">
        <v>523</v>
      </c>
      <c r="B56" s="469"/>
      <c r="C56" s="469"/>
      <c r="D56" s="469"/>
      <c r="E56" s="469"/>
      <c r="F56" s="469"/>
      <c r="G56" s="469"/>
      <c r="H56" s="469"/>
      <c r="I56" s="469"/>
      <c r="J56" s="469"/>
      <c r="K56" s="469"/>
      <c r="L56" s="469"/>
      <c r="M56" s="470"/>
      <c r="N56" s="471" t="s">
        <v>528</v>
      </c>
      <c r="O56" s="472"/>
      <c r="P56" s="472"/>
      <c r="Q56" s="472"/>
      <c r="R56" s="472"/>
      <c r="S56" s="472"/>
      <c r="T56" s="472"/>
      <c r="U56" s="472"/>
      <c r="V56" s="472"/>
      <c r="W56" s="472"/>
      <c r="X56" s="472"/>
      <c r="Y56" s="472"/>
      <c r="Z56" s="472"/>
      <c r="AA56" s="472"/>
      <c r="AB56" s="472"/>
      <c r="AC56" s="472"/>
      <c r="AD56" s="473"/>
    </row>
    <row r="57" spans="1:32" ht="27" customHeight="1">
      <c r="A57" s="474" t="s">
        <v>2</v>
      </c>
      <c r="B57" s="475"/>
      <c r="C57" s="353" t="s">
        <v>46</v>
      </c>
      <c r="D57" s="353" t="s">
        <v>47</v>
      </c>
      <c r="E57" s="353" t="s">
        <v>107</v>
      </c>
      <c r="F57" s="476" t="s">
        <v>106</v>
      </c>
      <c r="G57" s="477"/>
      <c r="H57" s="477"/>
      <c r="I57" s="477"/>
      <c r="J57" s="477"/>
      <c r="K57" s="477"/>
      <c r="L57" s="477"/>
      <c r="M57" s="478"/>
      <c r="N57" s="67" t="s">
        <v>110</v>
      </c>
      <c r="O57" s="353" t="s">
        <v>46</v>
      </c>
      <c r="P57" s="476" t="s">
        <v>47</v>
      </c>
      <c r="Q57" s="479"/>
      <c r="R57" s="476" t="s">
        <v>38</v>
      </c>
      <c r="S57" s="477"/>
      <c r="T57" s="477"/>
      <c r="U57" s="479"/>
      <c r="V57" s="476" t="s">
        <v>48</v>
      </c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500" t="s">
        <v>116</v>
      </c>
      <c r="B58" s="501"/>
      <c r="C58" s="356" t="s">
        <v>259</v>
      </c>
      <c r="D58" s="356" t="s">
        <v>140</v>
      </c>
      <c r="E58" s="355" t="s">
        <v>471</v>
      </c>
      <c r="F58" s="492" t="s">
        <v>524</v>
      </c>
      <c r="G58" s="493"/>
      <c r="H58" s="493"/>
      <c r="I58" s="493"/>
      <c r="J58" s="493"/>
      <c r="K58" s="493"/>
      <c r="L58" s="493"/>
      <c r="M58" s="494"/>
      <c r="N58" s="354" t="s">
        <v>112</v>
      </c>
      <c r="O58" s="361" t="s">
        <v>221</v>
      </c>
      <c r="P58" s="495" t="s">
        <v>142</v>
      </c>
      <c r="Q58" s="496"/>
      <c r="R58" s="495" t="s">
        <v>161</v>
      </c>
      <c r="S58" s="497"/>
      <c r="T58" s="497"/>
      <c r="U58" s="496"/>
      <c r="V58" s="498" t="s">
        <v>120</v>
      </c>
      <c r="W58" s="498"/>
      <c r="X58" s="498"/>
      <c r="Y58" s="498"/>
      <c r="Z58" s="498"/>
      <c r="AA58" s="498"/>
      <c r="AB58" s="498"/>
      <c r="AC58" s="498"/>
      <c r="AD58" s="499"/>
    </row>
    <row r="59" spans="1:32" ht="27" customHeight="1">
      <c r="A59" s="500" t="s">
        <v>116</v>
      </c>
      <c r="B59" s="501"/>
      <c r="C59" s="356" t="s">
        <v>193</v>
      </c>
      <c r="D59" s="356" t="s">
        <v>140</v>
      </c>
      <c r="E59" s="355" t="s">
        <v>323</v>
      </c>
      <c r="F59" s="492" t="s">
        <v>271</v>
      </c>
      <c r="G59" s="493"/>
      <c r="H59" s="493"/>
      <c r="I59" s="493"/>
      <c r="J59" s="493"/>
      <c r="K59" s="493"/>
      <c r="L59" s="493"/>
      <c r="M59" s="494"/>
      <c r="N59" s="354" t="s">
        <v>116</v>
      </c>
      <c r="O59" s="361" t="s">
        <v>277</v>
      </c>
      <c r="P59" s="495" t="s">
        <v>123</v>
      </c>
      <c r="Q59" s="496"/>
      <c r="R59" s="495" t="s">
        <v>512</v>
      </c>
      <c r="S59" s="497"/>
      <c r="T59" s="497"/>
      <c r="U59" s="496"/>
      <c r="V59" s="498" t="s">
        <v>120</v>
      </c>
      <c r="W59" s="498"/>
      <c r="X59" s="498"/>
      <c r="Y59" s="498"/>
      <c r="Z59" s="498"/>
      <c r="AA59" s="498"/>
      <c r="AB59" s="498"/>
      <c r="AC59" s="498"/>
      <c r="AD59" s="499"/>
    </row>
    <row r="60" spans="1:32" ht="27" customHeight="1">
      <c r="A60" s="500" t="s">
        <v>112</v>
      </c>
      <c r="B60" s="501"/>
      <c r="C60" s="356" t="s">
        <v>129</v>
      </c>
      <c r="D60" s="356" t="s">
        <v>115</v>
      </c>
      <c r="E60" s="355" t="s">
        <v>521</v>
      </c>
      <c r="F60" s="492" t="s">
        <v>525</v>
      </c>
      <c r="G60" s="493"/>
      <c r="H60" s="493"/>
      <c r="I60" s="493"/>
      <c r="J60" s="493"/>
      <c r="K60" s="493"/>
      <c r="L60" s="493"/>
      <c r="M60" s="494"/>
      <c r="N60" s="354" t="s">
        <v>116</v>
      </c>
      <c r="O60" s="361" t="s">
        <v>169</v>
      </c>
      <c r="P60" s="495" t="s">
        <v>150</v>
      </c>
      <c r="Q60" s="496"/>
      <c r="R60" s="495" t="s">
        <v>529</v>
      </c>
      <c r="S60" s="497"/>
      <c r="T60" s="497"/>
      <c r="U60" s="496"/>
      <c r="V60" s="498" t="s">
        <v>468</v>
      </c>
      <c r="W60" s="498"/>
      <c r="X60" s="498"/>
      <c r="Y60" s="498"/>
      <c r="Z60" s="498"/>
      <c r="AA60" s="498"/>
      <c r="AB60" s="498"/>
      <c r="AC60" s="498"/>
      <c r="AD60" s="499"/>
    </row>
    <row r="61" spans="1:32" ht="27" customHeight="1">
      <c r="A61" s="500" t="s">
        <v>112</v>
      </c>
      <c r="B61" s="501"/>
      <c r="C61" s="356" t="s">
        <v>239</v>
      </c>
      <c r="D61" s="356" t="s">
        <v>508</v>
      </c>
      <c r="E61" s="355" t="s">
        <v>480</v>
      </c>
      <c r="F61" s="492" t="s">
        <v>526</v>
      </c>
      <c r="G61" s="493"/>
      <c r="H61" s="493"/>
      <c r="I61" s="493"/>
      <c r="J61" s="493"/>
      <c r="K61" s="493"/>
      <c r="L61" s="493"/>
      <c r="M61" s="494"/>
      <c r="N61" s="354" t="s">
        <v>241</v>
      </c>
      <c r="O61" s="361" t="s">
        <v>175</v>
      </c>
      <c r="P61" s="495"/>
      <c r="Q61" s="496"/>
      <c r="R61" s="495" t="s">
        <v>383</v>
      </c>
      <c r="S61" s="497"/>
      <c r="T61" s="497"/>
      <c r="U61" s="496"/>
      <c r="V61" s="498" t="s">
        <v>125</v>
      </c>
      <c r="W61" s="498"/>
      <c r="X61" s="498"/>
      <c r="Y61" s="498"/>
      <c r="Z61" s="498"/>
      <c r="AA61" s="498"/>
      <c r="AB61" s="498"/>
      <c r="AC61" s="498"/>
      <c r="AD61" s="499"/>
    </row>
    <row r="62" spans="1:32" ht="27" customHeight="1">
      <c r="A62" s="490" t="s">
        <v>112</v>
      </c>
      <c r="B62" s="491"/>
      <c r="C62" s="355" t="s">
        <v>221</v>
      </c>
      <c r="D62" s="355" t="s">
        <v>142</v>
      </c>
      <c r="E62" s="355" t="s">
        <v>161</v>
      </c>
      <c r="F62" s="492" t="s">
        <v>236</v>
      </c>
      <c r="G62" s="493"/>
      <c r="H62" s="493"/>
      <c r="I62" s="493"/>
      <c r="J62" s="493"/>
      <c r="K62" s="493"/>
      <c r="L62" s="493"/>
      <c r="M62" s="494"/>
      <c r="N62" s="354" t="s">
        <v>112</v>
      </c>
      <c r="O62" s="361" t="s">
        <v>198</v>
      </c>
      <c r="P62" s="495" t="s">
        <v>140</v>
      </c>
      <c r="Q62" s="496"/>
      <c r="R62" s="495" t="s">
        <v>530</v>
      </c>
      <c r="S62" s="497"/>
      <c r="T62" s="497"/>
      <c r="U62" s="496"/>
      <c r="V62" s="498" t="s">
        <v>468</v>
      </c>
      <c r="W62" s="498"/>
      <c r="X62" s="498"/>
      <c r="Y62" s="498"/>
      <c r="Z62" s="498"/>
      <c r="AA62" s="498"/>
      <c r="AB62" s="498"/>
      <c r="AC62" s="498"/>
      <c r="AD62" s="499"/>
    </row>
    <row r="63" spans="1:32" ht="27" customHeight="1">
      <c r="A63" s="500" t="s">
        <v>143</v>
      </c>
      <c r="B63" s="501"/>
      <c r="C63" s="356" t="s">
        <v>239</v>
      </c>
      <c r="D63" s="356" t="s">
        <v>123</v>
      </c>
      <c r="E63" s="355" t="s">
        <v>248</v>
      </c>
      <c r="F63" s="492" t="s">
        <v>527</v>
      </c>
      <c r="G63" s="493"/>
      <c r="H63" s="493"/>
      <c r="I63" s="493"/>
      <c r="J63" s="493"/>
      <c r="K63" s="493"/>
      <c r="L63" s="493"/>
      <c r="M63" s="494"/>
      <c r="N63" s="354"/>
      <c r="O63" s="361"/>
      <c r="P63" s="495"/>
      <c r="Q63" s="496"/>
      <c r="R63" s="495"/>
      <c r="S63" s="497"/>
      <c r="T63" s="497"/>
      <c r="U63" s="496"/>
      <c r="V63" s="498"/>
      <c r="W63" s="498"/>
      <c r="X63" s="498"/>
      <c r="Y63" s="498"/>
      <c r="Z63" s="498"/>
      <c r="AA63" s="498"/>
      <c r="AB63" s="498"/>
      <c r="AC63" s="498"/>
      <c r="AD63" s="499"/>
    </row>
    <row r="64" spans="1:32" ht="27" customHeight="1">
      <c r="A64" s="490" t="s">
        <v>116</v>
      </c>
      <c r="B64" s="491"/>
      <c r="C64" s="355" t="s">
        <v>169</v>
      </c>
      <c r="D64" s="355" t="s">
        <v>150</v>
      </c>
      <c r="E64" s="355" t="s">
        <v>510</v>
      </c>
      <c r="F64" s="492" t="s">
        <v>125</v>
      </c>
      <c r="G64" s="493"/>
      <c r="H64" s="493"/>
      <c r="I64" s="493"/>
      <c r="J64" s="493"/>
      <c r="K64" s="493"/>
      <c r="L64" s="493"/>
      <c r="M64" s="494"/>
      <c r="N64" s="354"/>
      <c r="O64" s="361"/>
      <c r="P64" s="495"/>
      <c r="Q64" s="496"/>
      <c r="R64" s="495"/>
      <c r="S64" s="497"/>
      <c r="T64" s="497"/>
      <c r="U64" s="496"/>
      <c r="V64" s="498"/>
      <c r="W64" s="498"/>
      <c r="X64" s="498"/>
      <c r="Y64" s="498"/>
      <c r="Z64" s="498"/>
      <c r="AA64" s="498"/>
      <c r="AB64" s="498"/>
      <c r="AC64" s="498"/>
      <c r="AD64" s="499"/>
    </row>
    <row r="65" spans="1:32" ht="27" customHeight="1">
      <c r="A65" s="500" t="s">
        <v>203</v>
      </c>
      <c r="B65" s="501"/>
      <c r="C65" s="356" t="s">
        <v>193</v>
      </c>
      <c r="D65" s="356" t="s">
        <v>115</v>
      </c>
      <c r="E65" s="355" t="s">
        <v>511</v>
      </c>
      <c r="F65" s="492" t="s">
        <v>330</v>
      </c>
      <c r="G65" s="493"/>
      <c r="H65" s="493"/>
      <c r="I65" s="493"/>
      <c r="J65" s="493"/>
      <c r="K65" s="493"/>
      <c r="L65" s="493"/>
      <c r="M65" s="494"/>
      <c r="N65" s="354"/>
      <c r="O65" s="361"/>
      <c r="P65" s="495"/>
      <c r="Q65" s="496"/>
      <c r="R65" s="495"/>
      <c r="S65" s="497"/>
      <c r="T65" s="497"/>
      <c r="U65" s="496"/>
      <c r="V65" s="498"/>
      <c r="W65" s="498"/>
      <c r="X65" s="498"/>
      <c r="Y65" s="498"/>
      <c r="Z65" s="498"/>
      <c r="AA65" s="498"/>
      <c r="AB65" s="498"/>
      <c r="AC65" s="498"/>
      <c r="AD65" s="499"/>
    </row>
    <row r="66" spans="1:32" ht="27" customHeight="1">
      <c r="A66" s="500"/>
      <c r="B66" s="501"/>
      <c r="C66" s="356"/>
      <c r="D66" s="356"/>
      <c r="E66" s="355"/>
      <c r="F66" s="492"/>
      <c r="G66" s="493"/>
      <c r="H66" s="493"/>
      <c r="I66" s="493"/>
      <c r="J66" s="493"/>
      <c r="K66" s="493"/>
      <c r="L66" s="493"/>
      <c r="M66" s="494"/>
      <c r="N66" s="354"/>
      <c r="O66" s="361"/>
      <c r="P66" s="491"/>
      <c r="Q66" s="491"/>
      <c r="R66" s="491"/>
      <c r="S66" s="491"/>
      <c r="T66" s="491"/>
      <c r="U66" s="491"/>
      <c r="V66" s="498"/>
      <c r="W66" s="498"/>
      <c r="X66" s="498"/>
      <c r="Y66" s="498"/>
      <c r="Z66" s="498"/>
      <c r="AA66" s="498"/>
      <c r="AB66" s="498"/>
      <c r="AC66" s="498"/>
      <c r="AD66" s="499"/>
      <c r="AF66" s="84">
        <f>8*3000</f>
        <v>24000</v>
      </c>
    </row>
    <row r="67" spans="1:32" ht="27" customHeight="1" thickBot="1">
      <c r="A67" s="502"/>
      <c r="B67" s="503"/>
      <c r="C67" s="357"/>
      <c r="D67" s="358"/>
      <c r="E67" s="357"/>
      <c r="F67" s="504"/>
      <c r="G67" s="505"/>
      <c r="H67" s="505"/>
      <c r="I67" s="505"/>
      <c r="J67" s="505"/>
      <c r="K67" s="505"/>
      <c r="L67" s="505"/>
      <c r="M67" s="506"/>
      <c r="N67" s="111"/>
      <c r="O67" s="103"/>
      <c r="P67" s="507"/>
      <c r="Q67" s="507"/>
      <c r="R67" s="507"/>
      <c r="S67" s="507"/>
      <c r="T67" s="507"/>
      <c r="U67" s="507"/>
      <c r="V67" s="508"/>
      <c r="W67" s="508"/>
      <c r="X67" s="508"/>
      <c r="Y67" s="508"/>
      <c r="Z67" s="508"/>
      <c r="AA67" s="508"/>
      <c r="AB67" s="508"/>
      <c r="AC67" s="508"/>
      <c r="AD67" s="509"/>
      <c r="AF67" s="84">
        <f>16*3000</f>
        <v>48000</v>
      </c>
    </row>
    <row r="68" spans="1:32" ht="27.75" thickBot="1">
      <c r="A68" s="510" t="s">
        <v>531</v>
      </c>
      <c r="B68" s="510"/>
      <c r="C68" s="510"/>
      <c r="D68" s="510"/>
      <c r="E68" s="51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11" t="s">
        <v>111</v>
      </c>
      <c r="B69" s="512"/>
      <c r="C69" s="359" t="s">
        <v>2</v>
      </c>
      <c r="D69" s="359" t="s">
        <v>37</v>
      </c>
      <c r="E69" s="359" t="s">
        <v>3</v>
      </c>
      <c r="F69" s="512" t="s">
        <v>109</v>
      </c>
      <c r="G69" s="512"/>
      <c r="H69" s="512"/>
      <c r="I69" s="512"/>
      <c r="J69" s="512"/>
      <c r="K69" s="512" t="s">
        <v>39</v>
      </c>
      <c r="L69" s="512"/>
      <c r="M69" s="359" t="s">
        <v>40</v>
      </c>
      <c r="N69" s="512" t="s">
        <v>41</v>
      </c>
      <c r="O69" s="512"/>
      <c r="P69" s="513" t="s">
        <v>42</v>
      </c>
      <c r="Q69" s="514"/>
      <c r="R69" s="513" t="s">
        <v>43</v>
      </c>
      <c r="S69" s="515"/>
      <c r="T69" s="515"/>
      <c r="U69" s="515"/>
      <c r="V69" s="515"/>
      <c r="W69" s="515"/>
      <c r="X69" s="515"/>
      <c r="Y69" s="515"/>
      <c r="Z69" s="515"/>
      <c r="AA69" s="514"/>
      <c r="AB69" s="512" t="s">
        <v>44</v>
      </c>
      <c r="AC69" s="512"/>
      <c r="AD69" s="516"/>
      <c r="AF69" s="84">
        <f>SUM(AF66:AF68)</f>
        <v>96000</v>
      </c>
    </row>
    <row r="70" spans="1:32" ht="25.5" customHeight="1">
      <c r="A70" s="517">
        <v>1</v>
      </c>
      <c r="B70" s="518"/>
      <c r="C70" s="104" t="s">
        <v>116</v>
      </c>
      <c r="D70" s="363"/>
      <c r="E70" s="360" t="s">
        <v>115</v>
      </c>
      <c r="F70" s="519" t="s">
        <v>510</v>
      </c>
      <c r="G70" s="520"/>
      <c r="H70" s="520"/>
      <c r="I70" s="520"/>
      <c r="J70" s="521"/>
      <c r="K70" s="522" t="s">
        <v>135</v>
      </c>
      <c r="L70" s="522"/>
      <c r="M70" s="51" t="s">
        <v>178</v>
      </c>
      <c r="N70" s="523" t="s">
        <v>169</v>
      </c>
      <c r="O70" s="523"/>
      <c r="P70" s="524">
        <v>200</v>
      </c>
      <c r="Q70" s="524"/>
      <c r="R70" s="498"/>
      <c r="S70" s="498"/>
      <c r="T70" s="498"/>
      <c r="U70" s="498"/>
      <c r="V70" s="498"/>
      <c r="W70" s="498"/>
      <c r="X70" s="498"/>
      <c r="Y70" s="498"/>
      <c r="Z70" s="498"/>
      <c r="AA70" s="498"/>
      <c r="AB70" s="522"/>
      <c r="AC70" s="522"/>
      <c r="AD70" s="525"/>
      <c r="AF70" s="50"/>
    </row>
    <row r="71" spans="1:32" ht="25.5" customHeight="1">
      <c r="A71" s="517">
        <v>2</v>
      </c>
      <c r="B71" s="518"/>
      <c r="C71" s="104" t="s">
        <v>143</v>
      </c>
      <c r="D71" s="363"/>
      <c r="E71" s="360" t="s">
        <v>123</v>
      </c>
      <c r="F71" s="519" t="s">
        <v>248</v>
      </c>
      <c r="G71" s="520"/>
      <c r="H71" s="520"/>
      <c r="I71" s="520"/>
      <c r="J71" s="521"/>
      <c r="K71" s="522" t="s">
        <v>145</v>
      </c>
      <c r="L71" s="522"/>
      <c r="M71" s="51" t="s">
        <v>178</v>
      </c>
      <c r="N71" s="523" t="s">
        <v>239</v>
      </c>
      <c r="O71" s="523"/>
      <c r="P71" s="524">
        <v>200</v>
      </c>
      <c r="Q71" s="524"/>
      <c r="R71" s="498"/>
      <c r="S71" s="498"/>
      <c r="T71" s="498"/>
      <c r="U71" s="498"/>
      <c r="V71" s="498"/>
      <c r="W71" s="498"/>
      <c r="X71" s="498"/>
      <c r="Y71" s="498"/>
      <c r="Z71" s="498"/>
      <c r="AA71" s="498"/>
      <c r="AB71" s="522"/>
      <c r="AC71" s="522"/>
      <c r="AD71" s="525"/>
      <c r="AF71" s="50"/>
    </row>
    <row r="72" spans="1:32" ht="25.5" customHeight="1">
      <c r="A72" s="517">
        <v>3</v>
      </c>
      <c r="B72" s="518"/>
      <c r="C72" s="104" t="s">
        <v>112</v>
      </c>
      <c r="D72" s="363"/>
      <c r="E72" s="360" t="s">
        <v>115</v>
      </c>
      <c r="F72" s="519" t="s">
        <v>532</v>
      </c>
      <c r="G72" s="520"/>
      <c r="H72" s="520"/>
      <c r="I72" s="520"/>
      <c r="J72" s="521"/>
      <c r="K72" s="522" t="s">
        <v>122</v>
      </c>
      <c r="L72" s="522"/>
      <c r="M72" s="51" t="s">
        <v>178</v>
      </c>
      <c r="N72" s="523" t="s">
        <v>129</v>
      </c>
      <c r="O72" s="523"/>
      <c r="P72" s="524">
        <v>100</v>
      </c>
      <c r="Q72" s="524"/>
      <c r="R72" s="498"/>
      <c r="S72" s="498"/>
      <c r="T72" s="498"/>
      <c r="U72" s="498"/>
      <c r="V72" s="498"/>
      <c r="W72" s="498"/>
      <c r="X72" s="498"/>
      <c r="Y72" s="498"/>
      <c r="Z72" s="498"/>
      <c r="AA72" s="498"/>
      <c r="AB72" s="522"/>
      <c r="AC72" s="522"/>
      <c r="AD72" s="525"/>
      <c r="AF72" s="50"/>
    </row>
    <row r="73" spans="1:32" ht="25.5" customHeight="1">
      <c r="A73" s="517">
        <v>4</v>
      </c>
      <c r="B73" s="518"/>
      <c r="C73" s="104"/>
      <c r="D73" s="363"/>
      <c r="E73" s="360"/>
      <c r="F73" s="519"/>
      <c r="G73" s="520"/>
      <c r="H73" s="520"/>
      <c r="I73" s="520"/>
      <c r="J73" s="521"/>
      <c r="K73" s="522"/>
      <c r="L73" s="522"/>
      <c r="M73" s="51"/>
      <c r="N73" s="523"/>
      <c r="O73" s="523"/>
      <c r="P73" s="524"/>
      <c r="Q73" s="524"/>
      <c r="R73" s="498"/>
      <c r="S73" s="498"/>
      <c r="T73" s="498"/>
      <c r="U73" s="498"/>
      <c r="V73" s="498"/>
      <c r="W73" s="498"/>
      <c r="X73" s="498"/>
      <c r="Y73" s="498"/>
      <c r="Z73" s="498"/>
      <c r="AA73" s="498"/>
      <c r="AB73" s="522"/>
      <c r="AC73" s="522"/>
      <c r="AD73" s="525"/>
      <c r="AF73" s="50"/>
    </row>
    <row r="74" spans="1:32" ht="25.5" customHeight="1">
      <c r="A74" s="517">
        <v>5</v>
      </c>
      <c r="B74" s="518"/>
      <c r="C74" s="104"/>
      <c r="D74" s="363"/>
      <c r="E74" s="360"/>
      <c r="F74" s="519"/>
      <c r="G74" s="520"/>
      <c r="H74" s="520"/>
      <c r="I74" s="520"/>
      <c r="J74" s="521"/>
      <c r="K74" s="522"/>
      <c r="L74" s="522"/>
      <c r="M74" s="51"/>
      <c r="N74" s="523"/>
      <c r="O74" s="523"/>
      <c r="P74" s="524"/>
      <c r="Q74" s="524"/>
      <c r="R74" s="498"/>
      <c r="S74" s="498"/>
      <c r="T74" s="498"/>
      <c r="U74" s="498"/>
      <c r="V74" s="498"/>
      <c r="W74" s="498"/>
      <c r="X74" s="498"/>
      <c r="Y74" s="498"/>
      <c r="Z74" s="498"/>
      <c r="AA74" s="498"/>
      <c r="AB74" s="522"/>
      <c r="AC74" s="522"/>
      <c r="AD74" s="525"/>
      <c r="AF74" s="50"/>
    </row>
    <row r="75" spans="1:32" ht="25.5" customHeight="1">
      <c r="A75" s="517">
        <v>6</v>
      </c>
      <c r="B75" s="518"/>
      <c r="C75" s="104"/>
      <c r="D75" s="363"/>
      <c r="E75" s="360"/>
      <c r="F75" s="519"/>
      <c r="G75" s="520"/>
      <c r="H75" s="520"/>
      <c r="I75" s="520"/>
      <c r="J75" s="521"/>
      <c r="K75" s="522"/>
      <c r="L75" s="522"/>
      <c r="M75" s="51"/>
      <c r="N75" s="523"/>
      <c r="O75" s="523"/>
      <c r="P75" s="524"/>
      <c r="Q75" s="524"/>
      <c r="R75" s="498"/>
      <c r="S75" s="498"/>
      <c r="T75" s="498"/>
      <c r="U75" s="498"/>
      <c r="V75" s="498"/>
      <c r="W75" s="498"/>
      <c r="X75" s="498"/>
      <c r="Y75" s="498"/>
      <c r="Z75" s="498"/>
      <c r="AA75" s="498"/>
      <c r="AB75" s="522"/>
      <c r="AC75" s="522"/>
      <c r="AD75" s="525"/>
      <c r="AF75" s="50"/>
    </row>
    <row r="76" spans="1:32" ht="25.5" customHeight="1">
      <c r="A76" s="517">
        <v>7</v>
      </c>
      <c r="B76" s="518"/>
      <c r="C76" s="104"/>
      <c r="D76" s="363"/>
      <c r="E76" s="360"/>
      <c r="F76" s="519"/>
      <c r="G76" s="520"/>
      <c r="H76" s="520"/>
      <c r="I76" s="520"/>
      <c r="J76" s="521"/>
      <c r="K76" s="522"/>
      <c r="L76" s="522"/>
      <c r="M76" s="51"/>
      <c r="N76" s="523"/>
      <c r="O76" s="523"/>
      <c r="P76" s="524"/>
      <c r="Q76" s="524"/>
      <c r="R76" s="498"/>
      <c r="S76" s="498"/>
      <c r="T76" s="498"/>
      <c r="U76" s="498"/>
      <c r="V76" s="498"/>
      <c r="W76" s="498"/>
      <c r="X76" s="498"/>
      <c r="Y76" s="498"/>
      <c r="Z76" s="498"/>
      <c r="AA76" s="498"/>
      <c r="AB76" s="522"/>
      <c r="AC76" s="522"/>
      <c r="AD76" s="525"/>
      <c r="AF76" s="50"/>
    </row>
    <row r="77" spans="1:32" ht="25.5" customHeight="1">
      <c r="A77" s="517">
        <v>8</v>
      </c>
      <c r="B77" s="518"/>
      <c r="C77" s="104"/>
      <c r="D77" s="363"/>
      <c r="E77" s="360"/>
      <c r="F77" s="526"/>
      <c r="G77" s="522"/>
      <c r="H77" s="522"/>
      <c r="I77" s="522"/>
      <c r="J77" s="522"/>
      <c r="K77" s="522"/>
      <c r="L77" s="522"/>
      <c r="M77" s="51"/>
      <c r="N77" s="523"/>
      <c r="O77" s="523"/>
      <c r="P77" s="524"/>
      <c r="Q77" s="524"/>
      <c r="R77" s="498"/>
      <c r="S77" s="498"/>
      <c r="T77" s="498"/>
      <c r="U77" s="498"/>
      <c r="V77" s="498"/>
      <c r="W77" s="498"/>
      <c r="X77" s="498"/>
      <c r="Y77" s="498"/>
      <c r="Z77" s="498"/>
      <c r="AA77" s="498"/>
      <c r="AB77" s="522"/>
      <c r="AC77" s="522"/>
      <c r="AD77" s="525"/>
      <c r="AF77" s="50"/>
    </row>
    <row r="78" spans="1:32" ht="25.5" customHeight="1">
      <c r="A78" s="517">
        <v>9</v>
      </c>
      <c r="B78" s="518"/>
      <c r="C78" s="104"/>
      <c r="D78" s="363"/>
      <c r="E78" s="360"/>
      <c r="F78" s="526"/>
      <c r="G78" s="522"/>
      <c r="H78" s="522"/>
      <c r="I78" s="522"/>
      <c r="J78" s="522"/>
      <c r="K78" s="522"/>
      <c r="L78" s="522"/>
      <c r="M78" s="51"/>
      <c r="N78" s="523"/>
      <c r="O78" s="523"/>
      <c r="P78" s="524"/>
      <c r="Q78" s="524"/>
      <c r="R78" s="498"/>
      <c r="S78" s="498"/>
      <c r="T78" s="498"/>
      <c r="U78" s="498"/>
      <c r="V78" s="498"/>
      <c r="W78" s="498"/>
      <c r="X78" s="498"/>
      <c r="Y78" s="498"/>
      <c r="Z78" s="498"/>
      <c r="AA78" s="498"/>
      <c r="AB78" s="522"/>
      <c r="AC78" s="522"/>
      <c r="AD78" s="525"/>
      <c r="AF78" s="50"/>
    </row>
    <row r="79" spans="1:32" ht="25.5" customHeight="1">
      <c r="A79" s="517">
        <v>10</v>
      </c>
      <c r="B79" s="518"/>
      <c r="C79" s="104"/>
      <c r="D79" s="363"/>
      <c r="E79" s="360"/>
      <c r="F79" s="526"/>
      <c r="G79" s="522"/>
      <c r="H79" s="522"/>
      <c r="I79" s="522"/>
      <c r="J79" s="522"/>
      <c r="K79" s="522"/>
      <c r="L79" s="522"/>
      <c r="M79" s="51"/>
      <c r="N79" s="523"/>
      <c r="O79" s="523"/>
      <c r="P79" s="524"/>
      <c r="Q79" s="524"/>
      <c r="R79" s="498"/>
      <c r="S79" s="498"/>
      <c r="T79" s="498"/>
      <c r="U79" s="498"/>
      <c r="V79" s="498"/>
      <c r="W79" s="498"/>
      <c r="X79" s="498"/>
      <c r="Y79" s="498"/>
      <c r="Z79" s="498"/>
      <c r="AA79" s="498"/>
      <c r="AB79" s="522"/>
      <c r="AC79" s="522"/>
      <c r="AD79" s="525"/>
      <c r="AF79" s="50"/>
    </row>
    <row r="80" spans="1:32" ht="26.25" customHeight="1" thickBot="1">
      <c r="A80" s="527" t="s">
        <v>533</v>
      </c>
      <c r="B80" s="527"/>
      <c r="C80" s="527"/>
      <c r="D80" s="527"/>
      <c r="E80" s="527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528" t="s">
        <v>111</v>
      </c>
      <c r="B81" s="529"/>
      <c r="C81" s="362" t="s">
        <v>2</v>
      </c>
      <c r="D81" s="362" t="s">
        <v>37</v>
      </c>
      <c r="E81" s="362" t="s">
        <v>121</v>
      </c>
      <c r="F81" s="530" t="s">
        <v>38</v>
      </c>
      <c r="G81" s="530"/>
      <c r="H81" s="530"/>
      <c r="I81" s="530"/>
      <c r="J81" s="530"/>
      <c r="K81" s="531" t="s">
        <v>58</v>
      </c>
      <c r="L81" s="532"/>
      <c r="M81" s="532"/>
      <c r="N81" s="532"/>
      <c r="O81" s="532"/>
      <c r="P81" s="532"/>
      <c r="Q81" s="532"/>
      <c r="R81" s="532"/>
      <c r="S81" s="533"/>
      <c r="T81" s="530" t="s">
        <v>49</v>
      </c>
      <c r="U81" s="530"/>
      <c r="V81" s="531" t="s">
        <v>50</v>
      </c>
      <c r="W81" s="533"/>
      <c r="X81" s="532" t="s">
        <v>51</v>
      </c>
      <c r="Y81" s="532"/>
      <c r="Z81" s="532"/>
      <c r="AA81" s="532"/>
      <c r="AB81" s="532"/>
      <c r="AC81" s="532"/>
      <c r="AD81" s="534"/>
      <c r="AF81" s="50"/>
    </row>
    <row r="82" spans="1:32" ht="33.75" customHeight="1">
      <c r="A82" s="543">
        <v>1</v>
      </c>
      <c r="B82" s="544"/>
      <c r="C82" s="364"/>
      <c r="D82" s="364"/>
      <c r="E82" s="65"/>
      <c r="F82" s="545"/>
      <c r="G82" s="546"/>
      <c r="H82" s="546"/>
      <c r="I82" s="546"/>
      <c r="J82" s="547"/>
      <c r="K82" s="548"/>
      <c r="L82" s="549"/>
      <c r="M82" s="549"/>
      <c r="N82" s="549"/>
      <c r="O82" s="549"/>
      <c r="P82" s="549"/>
      <c r="Q82" s="549"/>
      <c r="R82" s="549"/>
      <c r="S82" s="550"/>
      <c r="T82" s="551"/>
      <c r="U82" s="552"/>
      <c r="V82" s="553"/>
      <c r="W82" s="553"/>
      <c r="X82" s="554"/>
      <c r="Y82" s="554"/>
      <c r="Z82" s="554"/>
      <c r="AA82" s="554"/>
      <c r="AB82" s="554"/>
      <c r="AC82" s="554"/>
      <c r="AD82" s="555"/>
      <c r="AF82" s="50"/>
    </row>
    <row r="83" spans="1:32" ht="30" customHeight="1">
      <c r="A83" s="535">
        <f>A82+1</f>
        <v>2</v>
      </c>
      <c r="B83" s="536"/>
      <c r="C83" s="363"/>
      <c r="D83" s="363"/>
      <c r="E83" s="32"/>
      <c r="F83" s="536"/>
      <c r="G83" s="536"/>
      <c r="H83" s="536"/>
      <c r="I83" s="536"/>
      <c r="J83" s="536"/>
      <c r="K83" s="537"/>
      <c r="L83" s="538"/>
      <c r="M83" s="538"/>
      <c r="N83" s="538"/>
      <c r="O83" s="538"/>
      <c r="P83" s="538"/>
      <c r="Q83" s="538"/>
      <c r="R83" s="538"/>
      <c r="S83" s="539"/>
      <c r="T83" s="540"/>
      <c r="U83" s="540"/>
      <c r="V83" s="540"/>
      <c r="W83" s="540"/>
      <c r="X83" s="541"/>
      <c r="Y83" s="541"/>
      <c r="Z83" s="541"/>
      <c r="AA83" s="541"/>
      <c r="AB83" s="541"/>
      <c r="AC83" s="541"/>
      <c r="AD83" s="542"/>
      <c r="AF83" s="50"/>
    </row>
    <row r="84" spans="1:32" ht="30" customHeight="1">
      <c r="A84" s="535">
        <f t="shared" ref="A84:A88" si="11">A83+1</f>
        <v>3</v>
      </c>
      <c r="B84" s="536"/>
      <c r="C84" s="363"/>
      <c r="D84" s="363"/>
      <c r="E84" s="32"/>
      <c r="F84" s="536"/>
      <c r="G84" s="536"/>
      <c r="H84" s="536"/>
      <c r="I84" s="536"/>
      <c r="J84" s="536"/>
      <c r="K84" s="537"/>
      <c r="L84" s="538"/>
      <c r="M84" s="538"/>
      <c r="N84" s="538"/>
      <c r="O84" s="538"/>
      <c r="P84" s="538"/>
      <c r="Q84" s="538"/>
      <c r="R84" s="538"/>
      <c r="S84" s="539"/>
      <c r="T84" s="540"/>
      <c r="U84" s="540"/>
      <c r="V84" s="540"/>
      <c r="W84" s="540"/>
      <c r="X84" s="541"/>
      <c r="Y84" s="541"/>
      <c r="Z84" s="541"/>
      <c r="AA84" s="541"/>
      <c r="AB84" s="541"/>
      <c r="AC84" s="541"/>
      <c r="AD84" s="542"/>
      <c r="AF84" s="50"/>
    </row>
    <row r="85" spans="1:32" ht="30" customHeight="1">
      <c r="A85" s="535">
        <f t="shared" si="11"/>
        <v>4</v>
      </c>
      <c r="B85" s="536"/>
      <c r="C85" s="363"/>
      <c r="D85" s="363"/>
      <c r="E85" s="32"/>
      <c r="F85" s="536"/>
      <c r="G85" s="536"/>
      <c r="H85" s="536"/>
      <c r="I85" s="536"/>
      <c r="J85" s="536"/>
      <c r="K85" s="537"/>
      <c r="L85" s="538"/>
      <c r="M85" s="538"/>
      <c r="N85" s="538"/>
      <c r="O85" s="538"/>
      <c r="P85" s="538"/>
      <c r="Q85" s="538"/>
      <c r="R85" s="538"/>
      <c r="S85" s="539"/>
      <c r="T85" s="540"/>
      <c r="U85" s="540"/>
      <c r="V85" s="540"/>
      <c r="W85" s="540"/>
      <c r="X85" s="541"/>
      <c r="Y85" s="541"/>
      <c r="Z85" s="541"/>
      <c r="AA85" s="541"/>
      <c r="AB85" s="541"/>
      <c r="AC85" s="541"/>
      <c r="AD85" s="542"/>
      <c r="AF85" s="50"/>
    </row>
    <row r="86" spans="1:32" ht="30" customHeight="1">
      <c r="A86" s="535">
        <f t="shared" si="11"/>
        <v>5</v>
      </c>
      <c r="B86" s="536"/>
      <c r="C86" s="363"/>
      <c r="D86" s="363"/>
      <c r="E86" s="32"/>
      <c r="F86" s="536"/>
      <c r="G86" s="536"/>
      <c r="H86" s="536"/>
      <c r="I86" s="536"/>
      <c r="J86" s="536"/>
      <c r="K86" s="537"/>
      <c r="L86" s="538"/>
      <c r="M86" s="538"/>
      <c r="N86" s="538"/>
      <c r="O86" s="538"/>
      <c r="P86" s="538"/>
      <c r="Q86" s="538"/>
      <c r="R86" s="538"/>
      <c r="S86" s="539"/>
      <c r="T86" s="540"/>
      <c r="U86" s="540"/>
      <c r="V86" s="540"/>
      <c r="W86" s="540"/>
      <c r="X86" s="541"/>
      <c r="Y86" s="541"/>
      <c r="Z86" s="541"/>
      <c r="AA86" s="541"/>
      <c r="AB86" s="541"/>
      <c r="AC86" s="541"/>
      <c r="AD86" s="542"/>
      <c r="AF86" s="50"/>
    </row>
    <row r="87" spans="1:32" ht="30" customHeight="1">
      <c r="A87" s="535">
        <f t="shared" si="11"/>
        <v>6</v>
      </c>
      <c r="B87" s="536"/>
      <c r="C87" s="363"/>
      <c r="D87" s="363"/>
      <c r="E87" s="32"/>
      <c r="F87" s="536"/>
      <c r="G87" s="536"/>
      <c r="H87" s="536"/>
      <c r="I87" s="536"/>
      <c r="J87" s="536"/>
      <c r="K87" s="537"/>
      <c r="L87" s="538"/>
      <c r="M87" s="538"/>
      <c r="N87" s="538"/>
      <c r="O87" s="538"/>
      <c r="P87" s="538"/>
      <c r="Q87" s="538"/>
      <c r="R87" s="538"/>
      <c r="S87" s="539"/>
      <c r="T87" s="540"/>
      <c r="U87" s="540"/>
      <c r="V87" s="540"/>
      <c r="W87" s="540"/>
      <c r="X87" s="541"/>
      <c r="Y87" s="541"/>
      <c r="Z87" s="541"/>
      <c r="AA87" s="541"/>
      <c r="AB87" s="541"/>
      <c r="AC87" s="541"/>
      <c r="AD87" s="542"/>
      <c r="AF87" s="50"/>
    </row>
    <row r="88" spans="1:32" ht="30" customHeight="1">
      <c r="A88" s="535">
        <f t="shared" si="11"/>
        <v>7</v>
      </c>
      <c r="B88" s="536"/>
      <c r="C88" s="363"/>
      <c r="D88" s="363"/>
      <c r="E88" s="32"/>
      <c r="F88" s="536"/>
      <c r="G88" s="536"/>
      <c r="H88" s="536"/>
      <c r="I88" s="536"/>
      <c r="J88" s="536"/>
      <c r="K88" s="537"/>
      <c r="L88" s="538"/>
      <c r="M88" s="538"/>
      <c r="N88" s="538"/>
      <c r="O88" s="538"/>
      <c r="P88" s="538"/>
      <c r="Q88" s="538"/>
      <c r="R88" s="538"/>
      <c r="S88" s="539"/>
      <c r="T88" s="540"/>
      <c r="U88" s="540"/>
      <c r="V88" s="540"/>
      <c r="W88" s="540"/>
      <c r="X88" s="541"/>
      <c r="Y88" s="541"/>
      <c r="Z88" s="541"/>
      <c r="AA88" s="541"/>
      <c r="AB88" s="541"/>
      <c r="AC88" s="541"/>
      <c r="AD88" s="542"/>
      <c r="AF88" s="50"/>
    </row>
    <row r="89" spans="1:32" ht="36" thickBot="1">
      <c r="A89" s="527" t="s">
        <v>534</v>
      </c>
      <c r="B89" s="527"/>
      <c r="C89" s="527"/>
      <c r="D89" s="527"/>
      <c r="E89" s="527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56" t="s">
        <v>111</v>
      </c>
      <c r="B90" s="530"/>
      <c r="C90" s="557" t="s">
        <v>52</v>
      </c>
      <c r="D90" s="557"/>
      <c r="E90" s="557" t="s">
        <v>53</v>
      </c>
      <c r="F90" s="557"/>
      <c r="G90" s="557"/>
      <c r="H90" s="557"/>
      <c r="I90" s="557"/>
      <c r="J90" s="557"/>
      <c r="K90" s="557" t="s">
        <v>54</v>
      </c>
      <c r="L90" s="557"/>
      <c r="M90" s="557"/>
      <c r="N90" s="557"/>
      <c r="O90" s="557"/>
      <c r="P90" s="557"/>
      <c r="Q90" s="557"/>
      <c r="R90" s="557"/>
      <c r="S90" s="557"/>
      <c r="T90" s="557" t="s">
        <v>55</v>
      </c>
      <c r="U90" s="557"/>
      <c r="V90" s="557" t="s">
        <v>56</v>
      </c>
      <c r="W90" s="557"/>
      <c r="X90" s="557"/>
      <c r="Y90" s="557" t="s">
        <v>51</v>
      </c>
      <c r="Z90" s="557"/>
      <c r="AA90" s="557"/>
      <c r="AB90" s="557"/>
      <c r="AC90" s="557"/>
      <c r="AD90" s="558"/>
      <c r="AF90" s="50"/>
    </row>
    <row r="91" spans="1:32" ht="30.75" customHeight="1">
      <c r="A91" s="543">
        <v>1</v>
      </c>
      <c r="B91" s="544"/>
      <c r="C91" s="559">
        <v>9</v>
      </c>
      <c r="D91" s="559"/>
      <c r="E91" s="559" t="s">
        <v>127</v>
      </c>
      <c r="F91" s="559"/>
      <c r="G91" s="559"/>
      <c r="H91" s="559"/>
      <c r="I91" s="559"/>
      <c r="J91" s="559"/>
      <c r="K91" s="559" t="s">
        <v>136</v>
      </c>
      <c r="L91" s="559"/>
      <c r="M91" s="559"/>
      <c r="N91" s="559"/>
      <c r="O91" s="559"/>
      <c r="P91" s="559"/>
      <c r="Q91" s="559"/>
      <c r="R91" s="559"/>
      <c r="S91" s="559"/>
      <c r="T91" s="559" t="s">
        <v>128</v>
      </c>
      <c r="U91" s="559"/>
      <c r="V91" s="560" t="s">
        <v>133</v>
      </c>
      <c r="W91" s="560"/>
      <c r="X91" s="560"/>
      <c r="Y91" s="561"/>
      <c r="Z91" s="561"/>
      <c r="AA91" s="561"/>
      <c r="AB91" s="561"/>
      <c r="AC91" s="561"/>
      <c r="AD91" s="562"/>
      <c r="AF91" s="50"/>
    </row>
    <row r="92" spans="1:32" ht="30.75" customHeight="1">
      <c r="A92" s="535">
        <v>2</v>
      </c>
      <c r="B92" s="536"/>
      <c r="C92" s="570"/>
      <c r="D92" s="570"/>
      <c r="E92" s="570"/>
      <c r="F92" s="570"/>
      <c r="G92" s="570"/>
      <c r="H92" s="570"/>
      <c r="I92" s="570"/>
      <c r="J92" s="570"/>
      <c r="K92" s="570"/>
      <c r="L92" s="570"/>
      <c r="M92" s="570"/>
      <c r="N92" s="570"/>
      <c r="O92" s="570"/>
      <c r="P92" s="570"/>
      <c r="Q92" s="570"/>
      <c r="R92" s="570"/>
      <c r="S92" s="570"/>
      <c r="T92" s="571"/>
      <c r="U92" s="571"/>
      <c r="V92" s="572"/>
      <c r="W92" s="572"/>
      <c r="X92" s="572"/>
      <c r="Y92" s="563"/>
      <c r="Z92" s="563"/>
      <c r="AA92" s="563"/>
      <c r="AB92" s="563"/>
      <c r="AC92" s="563"/>
      <c r="AD92" s="564"/>
      <c r="AF92" s="50"/>
    </row>
    <row r="93" spans="1:32" ht="30.75" customHeight="1" thickBot="1">
      <c r="A93" s="565">
        <v>3</v>
      </c>
      <c r="B93" s="566"/>
      <c r="C93" s="567"/>
      <c r="D93" s="567"/>
      <c r="E93" s="567"/>
      <c r="F93" s="567"/>
      <c r="G93" s="567"/>
      <c r="H93" s="567"/>
      <c r="I93" s="567"/>
      <c r="J93" s="567"/>
      <c r="K93" s="567"/>
      <c r="L93" s="567"/>
      <c r="M93" s="567"/>
      <c r="N93" s="567"/>
      <c r="O93" s="567"/>
      <c r="P93" s="567"/>
      <c r="Q93" s="567"/>
      <c r="R93" s="567"/>
      <c r="S93" s="567"/>
      <c r="T93" s="567"/>
      <c r="U93" s="567"/>
      <c r="V93" s="573"/>
      <c r="W93" s="573"/>
      <c r="X93" s="573"/>
      <c r="Y93" s="568"/>
      <c r="Z93" s="568"/>
      <c r="AA93" s="568"/>
      <c r="AB93" s="568"/>
      <c r="AC93" s="568"/>
      <c r="AD93" s="569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3" max="29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6F79-7241-4033-9AE6-C91B3CF0A82B}">
  <dimension ref="A1:AF93"/>
  <sheetViews>
    <sheetView view="pageBreakPreview" zoomScale="70" zoomScaleNormal="72" zoomScaleSheetLayoutView="70" workbookViewId="0">
      <selection activeCell="K11" sqref="K1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50" t="s">
        <v>535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1"/>
      <c r="B3" s="451"/>
      <c r="C3" s="451"/>
      <c r="D3" s="451"/>
      <c r="E3" s="451"/>
      <c r="F3" s="451"/>
      <c r="G3" s="45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52" t="s">
        <v>0</v>
      </c>
      <c r="B4" s="454" t="s">
        <v>1</v>
      </c>
      <c r="C4" s="454" t="s">
        <v>2</v>
      </c>
      <c r="D4" s="457" t="s">
        <v>3</v>
      </c>
      <c r="E4" s="459" t="s">
        <v>4</v>
      </c>
      <c r="F4" s="457" t="s">
        <v>5</v>
      </c>
      <c r="G4" s="454" t="s">
        <v>6</v>
      </c>
      <c r="H4" s="460" t="s">
        <v>7</v>
      </c>
      <c r="I4" s="480" t="s">
        <v>8</v>
      </c>
      <c r="J4" s="481"/>
      <c r="K4" s="481"/>
      <c r="L4" s="481"/>
      <c r="M4" s="481"/>
      <c r="N4" s="481"/>
      <c r="O4" s="482"/>
      <c r="P4" s="483" t="s">
        <v>9</v>
      </c>
      <c r="Q4" s="484"/>
      <c r="R4" s="486" t="s">
        <v>10</v>
      </c>
      <c r="S4" s="485"/>
      <c r="T4" s="485"/>
      <c r="U4" s="485"/>
      <c r="V4" s="487"/>
      <c r="W4" s="485" t="s">
        <v>11</v>
      </c>
      <c r="X4" s="485"/>
      <c r="Y4" s="485"/>
      <c r="Z4" s="485"/>
      <c r="AA4" s="487"/>
      <c r="AB4" s="488" t="s">
        <v>12</v>
      </c>
      <c r="AC4" s="462" t="s">
        <v>13</v>
      </c>
      <c r="AD4" s="462" t="s">
        <v>14</v>
      </c>
      <c r="AE4" s="54"/>
    </row>
    <row r="5" spans="1:32" ht="51" customHeight="1" thickBot="1">
      <c r="A5" s="453"/>
      <c r="B5" s="455"/>
      <c r="C5" s="456"/>
      <c r="D5" s="458"/>
      <c r="E5" s="458"/>
      <c r="F5" s="458"/>
      <c r="G5" s="455"/>
      <c r="H5" s="461"/>
      <c r="I5" s="55" t="s">
        <v>15</v>
      </c>
      <c r="J5" s="56" t="s">
        <v>16</v>
      </c>
      <c r="K5" s="352" t="s">
        <v>17</v>
      </c>
      <c r="L5" s="352" t="s">
        <v>18</v>
      </c>
      <c r="M5" s="352" t="s">
        <v>19</v>
      </c>
      <c r="N5" s="35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89"/>
      <c r="AC5" s="463"/>
      <c r="AD5" s="463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130</v>
      </c>
      <c r="E6" s="53" t="s">
        <v>536</v>
      </c>
      <c r="F6" s="30" t="s">
        <v>537</v>
      </c>
      <c r="G6" s="12">
        <v>1</v>
      </c>
      <c r="H6" s="13">
        <v>24</v>
      </c>
      <c r="I6" s="31">
        <v>1000</v>
      </c>
      <c r="J6" s="14">
        <v>3017</v>
      </c>
      <c r="K6" s="15">
        <f t="shared" ref="K6:K11" si="0">L6</f>
        <v>3017</v>
      </c>
      <c r="L6" s="15">
        <f>284+2733</f>
        <v>3017</v>
      </c>
      <c r="M6" s="15">
        <f t="shared" ref="M6:M27" si="1">L6-N6</f>
        <v>3017</v>
      </c>
      <c r="N6" s="15">
        <v>0</v>
      </c>
      <c r="O6" s="58">
        <f t="shared" ref="O6:O28" si="2">IF(L6=0,"0",N6/L6)</f>
        <v>0</v>
      </c>
      <c r="P6" s="39">
        <f t="shared" ref="P6:P27" si="3">IF(L6=0,"0",(24-Q6))</f>
        <v>16</v>
      </c>
      <c r="Q6" s="40">
        <f t="shared" ref="Q6:Q27" si="4">SUM(R6:AA6)</f>
        <v>8</v>
      </c>
      <c r="R6" s="7"/>
      <c r="S6" s="6"/>
      <c r="T6" s="16">
        <v>8</v>
      </c>
      <c r="U6" s="16"/>
      <c r="V6" s="17"/>
      <c r="W6" s="5"/>
      <c r="X6" s="16"/>
      <c r="Y6" s="16"/>
      <c r="Z6" s="16"/>
      <c r="AA6" s="18"/>
      <c r="AB6" s="8">
        <f t="shared" ref="AB6:AB27" si="5">IF(J6=0,"0",(L6/J6))</f>
        <v>1</v>
      </c>
      <c r="AC6" s="9">
        <f t="shared" ref="AC6:AC27" si="6">IF(P6=0,"0",(P6/24))</f>
        <v>0.66666666666666663</v>
      </c>
      <c r="AD6" s="10">
        <f t="shared" ref="AD6:AD27" si="7">AC6*AB6*(1-O6)</f>
        <v>0.66666666666666663</v>
      </c>
      <c r="AE6" s="36">
        <f t="shared" ref="AE6:AE27" si="8">$AD$28</f>
        <v>0.56060606060606066</v>
      </c>
      <c r="AF6" s="84">
        <f t="shared" ref="AF6:AF27" si="9">A6</f>
        <v>1</v>
      </c>
    </row>
    <row r="7" spans="1:32" ht="27" customHeight="1">
      <c r="A7" s="112">
        <v>2</v>
      </c>
      <c r="B7" s="11" t="s">
        <v>57</v>
      </c>
      <c r="C7" s="34" t="s">
        <v>116</v>
      </c>
      <c r="D7" s="52" t="s">
        <v>150</v>
      </c>
      <c r="E7" s="53" t="s">
        <v>529</v>
      </c>
      <c r="F7" s="30" t="s">
        <v>135</v>
      </c>
      <c r="G7" s="12">
        <v>4</v>
      </c>
      <c r="H7" s="13">
        <v>24</v>
      </c>
      <c r="I7" s="31">
        <v>17000</v>
      </c>
      <c r="J7" s="14">
        <v>18072</v>
      </c>
      <c r="K7" s="15">
        <f t="shared" si="0"/>
        <v>18072</v>
      </c>
      <c r="L7" s="15">
        <f>1000*4+3518*4</f>
        <v>18072</v>
      </c>
      <c r="M7" s="15">
        <f t="shared" si="1"/>
        <v>18072</v>
      </c>
      <c r="N7" s="15">
        <v>0</v>
      </c>
      <c r="O7" s="58">
        <f t="shared" si="2"/>
        <v>0</v>
      </c>
      <c r="P7" s="39">
        <f t="shared" si="3"/>
        <v>19</v>
      </c>
      <c r="Q7" s="40">
        <f t="shared" si="4"/>
        <v>5</v>
      </c>
      <c r="R7" s="7"/>
      <c r="S7" s="6">
        <v>5</v>
      </c>
      <c r="T7" s="16"/>
      <c r="U7" s="16"/>
      <c r="V7" s="17"/>
      <c r="W7" s="5"/>
      <c r="X7" s="16"/>
      <c r="Y7" s="16"/>
      <c r="Z7" s="16"/>
      <c r="AA7" s="18"/>
      <c r="AB7" s="8">
        <f t="shared" si="5"/>
        <v>1</v>
      </c>
      <c r="AC7" s="9">
        <f t="shared" si="6"/>
        <v>0.79166666666666663</v>
      </c>
      <c r="AD7" s="10">
        <f t="shared" si="7"/>
        <v>0.79166666666666663</v>
      </c>
      <c r="AE7" s="36">
        <f t="shared" si="8"/>
        <v>0.56060606060606066</v>
      </c>
      <c r="AF7" s="84">
        <f t="shared" si="9"/>
        <v>2</v>
      </c>
    </row>
    <row r="8" spans="1:32" ht="27" customHeight="1">
      <c r="A8" s="96">
        <v>3</v>
      </c>
      <c r="B8" s="11" t="s">
        <v>57</v>
      </c>
      <c r="C8" s="34" t="s">
        <v>116</v>
      </c>
      <c r="D8" s="52" t="s">
        <v>124</v>
      </c>
      <c r="E8" s="53" t="s">
        <v>323</v>
      </c>
      <c r="F8" s="30" t="s">
        <v>134</v>
      </c>
      <c r="G8" s="12">
        <v>1</v>
      </c>
      <c r="H8" s="13">
        <v>24</v>
      </c>
      <c r="I8" s="7">
        <v>50000</v>
      </c>
      <c r="J8" s="14">
        <v>2610</v>
      </c>
      <c r="K8" s="15">
        <f t="shared" si="0"/>
        <v>2610</v>
      </c>
      <c r="L8" s="15">
        <f>2610</f>
        <v>2610</v>
      </c>
      <c r="M8" s="15">
        <f t="shared" si="1"/>
        <v>2610</v>
      </c>
      <c r="N8" s="15">
        <v>0</v>
      </c>
      <c r="O8" s="58">
        <f t="shared" si="2"/>
        <v>0</v>
      </c>
      <c r="P8" s="39">
        <f t="shared" si="3"/>
        <v>10</v>
      </c>
      <c r="Q8" s="40">
        <f t="shared" si="4"/>
        <v>14</v>
      </c>
      <c r="R8" s="7"/>
      <c r="S8" s="6">
        <v>14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0.41666666666666669</v>
      </c>
      <c r="AD8" s="10">
        <f t="shared" si="7"/>
        <v>0.41666666666666669</v>
      </c>
      <c r="AE8" s="36">
        <f t="shared" si="8"/>
        <v>0.56060606060606066</v>
      </c>
      <c r="AF8" s="84">
        <f t="shared" si="9"/>
        <v>3</v>
      </c>
    </row>
    <row r="9" spans="1:32" ht="27" customHeight="1">
      <c r="A9" s="96">
        <v>4</v>
      </c>
      <c r="B9" s="11" t="s">
        <v>57</v>
      </c>
      <c r="C9" s="34" t="s">
        <v>241</v>
      </c>
      <c r="D9" s="52"/>
      <c r="E9" s="53" t="s">
        <v>538</v>
      </c>
      <c r="F9" s="30" t="s">
        <v>268</v>
      </c>
      <c r="G9" s="12">
        <v>2</v>
      </c>
      <c r="H9" s="13">
        <v>24</v>
      </c>
      <c r="I9" s="7">
        <v>38500</v>
      </c>
      <c r="J9" s="14">
        <v>10102</v>
      </c>
      <c r="K9" s="15">
        <f t="shared" si="0"/>
        <v>10102</v>
      </c>
      <c r="L9" s="15">
        <f>2182*2+2869*2</f>
        <v>10102</v>
      </c>
      <c r="M9" s="15">
        <f t="shared" si="1"/>
        <v>10102</v>
      </c>
      <c r="N9" s="15">
        <v>0</v>
      </c>
      <c r="O9" s="58">
        <f t="shared" si="2"/>
        <v>0</v>
      </c>
      <c r="P9" s="39">
        <f t="shared" si="3"/>
        <v>21</v>
      </c>
      <c r="Q9" s="40">
        <f t="shared" si="4"/>
        <v>3</v>
      </c>
      <c r="R9" s="7"/>
      <c r="S9" s="6"/>
      <c r="T9" s="16"/>
      <c r="U9" s="16"/>
      <c r="V9" s="17"/>
      <c r="W9" s="5"/>
      <c r="X9" s="16"/>
      <c r="Y9" s="16"/>
      <c r="Z9" s="16"/>
      <c r="AA9" s="18">
        <v>3</v>
      </c>
      <c r="AB9" s="8">
        <f t="shared" si="5"/>
        <v>1</v>
      </c>
      <c r="AC9" s="9">
        <f t="shared" si="6"/>
        <v>0.875</v>
      </c>
      <c r="AD9" s="10">
        <f t="shared" si="7"/>
        <v>0.875</v>
      </c>
      <c r="AE9" s="36">
        <f t="shared" si="8"/>
        <v>0.56060606060606066</v>
      </c>
      <c r="AF9" s="84">
        <f t="shared" si="9"/>
        <v>4</v>
      </c>
    </row>
    <row r="10" spans="1:32" ht="27" customHeight="1">
      <c r="A10" s="96">
        <v>5</v>
      </c>
      <c r="B10" s="11" t="s">
        <v>57</v>
      </c>
      <c r="C10" s="11" t="s">
        <v>116</v>
      </c>
      <c r="D10" s="52" t="s">
        <v>123</v>
      </c>
      <c r="E10" s="53" t="s">
        <v>512</v>
      </c>
      <c r="F10" s="30" t="s">
        <v>520</v>
      </c>
      <c r="G10" s="33">
        <v>4</v>
      </c>
      <c r="H10" s="35">
        <v>24</v>
      </c>
      <c r="I10" s="7">
        <v>16500</v>
      </c>
      <c r="J10" s="14">
        <v>12462</v>
      </c>
      <c r="K10" s="15">
        <f t="shared" si="0"/>
        <v>12462</v>
      </c>
      <c r="L10" s="15">
        <f>2968*3+1186*3</f>
        <v>12462</v>
      </c>
      <c r="M10" s="15">
        <f t="shared" si="1"/>
        <v>12462</v>
      </c>
      <c r="N10" s="15">
        <v>0</v>
      </c>
      <c r="O10" s="58">
        <f t="shared" si="2"/>
        <v>0</v>
      </c>
      <c r="P10" s="39">
        <f t="shared" si="3"/>
        <v>20</v>
      </c>
      <c r="Q10" s="40">
        <f t="shared" si="4"/>
        <v>4</v>
      </c>
      <c r="R10" s="7"/>
      <c r="S10" s="6">
        <v>4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0.83333333333333337</v>
      </c>
      <c r="AD10" s="10">
        <f t="shared" si="7"/>
        <v>0.83333333333333337</v>
      </c>
      <c r="AE10" s="36">
        <f t="shared" si="8"/>
        <v>0.56060606060606066</v>
      </c>
      <c r="AF10" s="84">
        <f t="shared" si="9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124</v>
      </c>
      <c r="E11" s="53" t="s">
        <v>530</v>
      </c>
      <c r="F11" s="30" t="s">
        <v>131</v>
      </c>
      <c r="G11" s="33">
        <v>2</v>
      </c>
      <c r="H11" s="35">
        <v>24</v>
      </c>
      <c r="I11" s="7">
        <v>230000</v>
      </c>
      <c r="J11" s="14">
        <v>10954</v>
      </c>
      <c r="K11" s="15">
        <f t="shared" si="0"/>
        <v>10954</v>
      </c>
      <c r="L11" s="15">
        <f>2500*2+2977*2</f>
        <v>10954</v>
      </c>
      <c r="M11" s="15">
        <f t="shared" si="1"/>
        <v>10954</v>
      </c>
      <c r="N11" s="15">
        <v>0</v>
      </c>
      <c r="O11" s="58">
        <f t="shared" si="2"/>
        <v>0</v>
      </c>
      <c r="P11" s="39">
        <f t="shared" si="3"/>
        <v>22</v>
      </c>
      <c r="Q11" s="40">
        <f t="shared" si="4"/>
        <v>2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</v>
      </c>
      <c r="AB11" s="8">
        <f t="shared" si="5"/>
        <v>1</v>
      </c>
      <c r="AC11" s="9">
        <f t="shared" si="6"/>
        <v>0.91666666666666663</v>
      </c>
      <c r="AD11" s="10">
        <f t="shared" si="7"/>
        <v>0.91666666666666663</v>
      </c>
      <c r="AE11" s="36">
        <f t="shared" si="8"/>
        <v>0.56060606060606066</v>
      </c>
      <c r="AF11" s="84">
        <f t="shared" si="9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403</v>
      </c>
      <c r="F12" s="30" t="s">
        <v>167</v>
      </c>
      <c r="G12" s="12">
        <v>1</v>
      </c>
      <c r="H12" s="13">
        <v>22</v>
      </c>
      <c r="I12" s="31">
        <v>70000</v>
      </c>
      <c r="J12" s="5">
        <v>5489</v>
      </c>
      <c r="K12" s="15">
        <f>L12+3050+5463+5497+6377+5244+5460+5580+5482</f>
        <v>47642</v>
      </c>
      <c r="L12" s="15">
        <f>2766+2723</f>
        <v>5489</v>
      </c>
      <c r="M12" s="15">
        <f t="shared" si="1"/>
        <v>5489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si="7"/>
        <v>1</v>
      </c>
      <c r="AE12" s="36">
        <f t="shared" si="8"/>
        <v>0.56060606060606066</v>
      </c>
      <c r="AF12" s="84">
        <f t="shared" si="9"/>
        <v>7</v>
      </c>
    </row>
    <row r="13" spans="1:32" ht="27" customHeight="1">
      <c r="A13" s="96">
        <v>8</v>
      </c>
      <c r="B13" s="11" t="s">
        <v>57</v>
      </c>
      <c r="C13" s="11" t="s">
        <v>116</v>
      </c>
      <c r="D13" s="52" t="s">
        <v>124</v>
      </c>
      <c r="E13" s="53" t="s">
        <v>471</v>
      </c>
      <c r="F13" s="30" t="s">
        <v>131</v>
      </c>
      <c r="G13" s="33">
        <v>1</v>
      </c>
      <c r="H13" s="35">
        <v>24</v>
      </c>
      <c r="I13" s="7">
        <v>14000</v>
      </c>
      <c r="J13" s="14">
        <v>4976</v>
      </c>
      <c r="K13" s="15">
        <f>L13+4237+737+2704</f>
        <v>12654</v>
      </c>
      <c r="L13" s="15">
        <f>3005+1971</f>
        <v>4976</v>
      </c>
      <c r="M13" s="15">
        <f t="shared" si="1"/>
        <v>4976</v>
      </c>
      <c r="N13" s="15">
        <v>0</v>
      </c>
      <c r="O13" s="58">
        <f t="shared" si="2"/>
        <v>0</v>
      </c>
      <c r="P13" s="39">
        <f t="shared" si="3"/>
        <v>22</v>
      </c>
      <c r="Q13" s="40">
        <f t="shared" si="4"/>
        <v>2</v>
      </c>
      <c r="R13" s="7"/>
      <c r="S13" s="6">
        <v>2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0.91666666666666663</v>
      </c>
      <c r="AD13" s="10">
        <f t="shared" si="7"/>
        <v>0.91666666666666663</v>
      </c>
      <c r="AE13" s="36">
        <f t="shared" si="8"/>
        <v>0.56060606060606066</v>
      </c>
      <c r="AF13" s="84">
        <f t="shared" si="9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459</v>
      </c>
      <c r="F14" s="30" t="s">
        <v>350</v>
      </c>
      <c r="G14" s="33">
        <v>1</v>
      </c>
      <c r="H14" s="35">
        <v>50</v>
      </c>
      <c r="I14" s="7">
        <v>500</v>
      </c>
      <c r="J14" s="5">
        <v>49</v>
      </c>
      <c r="K14" s="15">
        <f>L14+303+116+49</f>
        <v>468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0.56060606060606066</v>
      </c>
      <c r="AF14" s="84">
        <f t="shared" si="9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123</v>
      </c>
      <c r="E15" s="53" t="s">
        <v>141</v>
      </c>
      <c r="F15" s="30" t="s">
        <v>135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0.56060606060606066</v>
      </c>
      <c r="AF15" s="84">
        <f t="shared" si="9"/>
        <v>10</v>
      </c>
    </row>
    <row r="16" spans="1:32" ht="30" customHeight="1">
      <c r="A16" s="112">
        <v>11</v>
      </c>
      <c r="B16" s="11" t="s">
        <v>57</v>
      </c>
      <c r="C16" s="34" t="s">
        <v>143</v>
      </c>
      <c r="D16" s="52" t="s">
        <v>123</v>
      </c>
      <c r="E16" s="53" t="s">
        <v>248</v>
      </c>
      <c r="F16" s="30" t="s">
        <v>145</v>
      </c>
      <c r="G16" s="12">
        <v>3</v>
      </c>
      <c r="H16" s="13">
        <v>24</v>
      </c>
      <c r="I16" s="7">
        <v>470000</v>
      </c>
      <c r="J16" s="14">
        <v>18225</v>
      </c>
      <c r="K16" s="15">
        <f>L16+9738</f>
        <v>27963</v>
      </c>
      <c r="L16" s="15">
        <f>3084*3+2991*3</f>
        <v>18225</v>
      </c>
      <c r="M16" s="15">
        <f t="shared" si="1"/>
        <v>18225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0.56060606060606066</v>
      </c>
      <c r="AF16" s="84">
        <f t="shared" si="9"/>
        <v>11</v>
      </c>
    </row>
    <row r="17" spans="1:32" ht="30" customHeight="1">
      <c r="A17" s="95">
        <v>12</v>
      </c>
      <c r="B17" s="11" t="s">
        <v>57</v>
      </c>
      <c r="C17" s="34" t="s">
        <v>143</v>
      </c>
      <c r="D17" s="52" t="s">
        <v>150</v>
      </c>
      <c r="E17" s="53" t="s">
        <v>445</v>
      </c>
      <c r="F17" s="30" t="s">
        <v>154</v>
      </c>
      <c r="G17" s="12">
        <v>4</v>
      </c>
      <c r="H17" s="13">
        <v>24</v>
      </c>
      <c r="I17" s="7">
        <v>1500</v>
      </c>
      <c r="J17" s="14">
        <v>2164</v>
      </c>
      <c r="K17" s="15">
        <f>L17+2164</f>
        <v>2164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0.56060606060606066</v>
      </c>
      <c r="AF17" s="84">
        <f t="shared" si="9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480</v>
      </c>
      <c r="F18" s="30" t="s">
        <v>350</v>
      </c>
      <c r="G18" s="33">
        <v>1</v>
      </c>
      <c r="H18" s="35">
        <v>24</v>
      </c>
      <c r="I18" s="7">
        <v>18000</v>
      </c>
      <c r="J18" s="14">
        <v>5170</v>
      </c>
      <c r="K18" s="15">
        <f>L18+3408</f>
        <v>8578</v>
      </c>
      <c r="L18" s="15">
        <f>2619+2551</f>
        <v>5170</v>
      </c>
      <c r="M18" s="15">
        <f t="shared" si="1"/>
        <v>5170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 t="shared" si="7"/>
        <v>1</v>
      </c>
      <c r="AE18" s="36">
        <f t="shared" si="8"/>
        <v>0.56060606060606066</v>
      </c>
      <c r="AF18" s="84">
        <f t="shared" si="9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142</v>
      </c>
      <c r="E19" s="53" t="s">
        <v>161</v>
      </c>
      <c r="F19" s="30" t="s">
        <v>134</v>
      </c>
      <c r="G19" s="33">
        <v>1</v>
      </c>
      <c r="H19" s="35">
        <v>24</v>
      </c>
      <c r="I19" s="7">
        <v>54000</v>
      </c>
      <c r="J19" s="14">
        <v>4726</v>
      </c>
      <c r="K19" s="15">
        <f>L19+5079+5307+3503+1179+3568+5398+5390+5307+4716+2400+323+2119</f>
        <v>49015</v>
      </c>
      <c r="L19" s="15">
        <f>2760+1966</f>
        <v>4726</v>
      </c>
      <c r="M19" s="15">
        <f t="shared" si="1"/>
        <v>4726</v>
      </c>
      <c r="N19" s="15">
        <v>0</v>
      </c>
      <c r="O19" s="58">
        <f t="shared" si="2"/>
        <v>0</v>
      </c>
      <c r="P19" s="39">
        <f t="shared" si="3"/>
        <v>22</v>
      </c>
      <c r="Q19" s="40">
        <f t="shared" si="4"/>
        <v>2</v>
      </c>
      <c r="R19" s="7"/>
      <c r="S19" s="6">
        <v>2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0.91666666666666663</v>
      </c>
      <c r="AD19" s="10">
        <f t="shared" si="7"/>
        <v>0.91666666666666663</v>
      </c>
      <c r="AE19" s="36">
        <f t="shared" si="8"/>
        <v>0.56060606060606066</v>
      </c>
      <c r="AF19" s="84">
        <f t="shared" si="9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521</v>
      </c>
      <c r="F20" s="30" t="s">
        <v>131</v>
      </c>
      <c r="G20" s="12">
        <v>2</v>
      </c>
      <c r="H20" s="13">
        <v>24</v>
      </c>
      <c r="I20" s="7">
        <v>230000</v>
      </c>
      <c r="J20" s="14">
        <v>11154</v>
      </c>
      <c r="K20" s="15">
        <f>L20+7008</f>
        <v>18162</v>
      </c>
      <c r="L20" s="15">
        <f>2821*2+2756*2</f>
        <v>11154</v>
      </c>
      <c r="M20" s="15">
        <f t="shared" si="1"/>
        <v>11154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 t="shared" si="7"/>
        <v>1</v>
      </c>
      <c r="AE20" s="36">
        <f t="shared" si="8"/>
        <v>0.56060606060606066</v>
      </c>
      <c r="AF20" s="84">
        <f t="shared" si="9"/>
        <v>15</v>
      </c>
    </row>
    <row r="21" spans="1:32" ht="27" customHeight="1">
      <c r="A21" s="96">
        <v>16</v>
      </c>
      <c r="B21" s="11" t="s">
        <v>57</v>
      </c>
      <c r="C21" s="11" t="s">
        <v>113</v>
      </c>
      <c r="D21" s="52"/>
      <c r="E21" s="53" t="s">
        <v>522</v>
      </c>
      <c r="F21" s="12" t="s">
        <v>114</v>
      </c>
      <c r="G21" s="12">
        <v>4</v>
      </c>
      <c r="H21" s="35">
        <v>20</v>
      </c>
      <c r="I21" s="7">
        <v>100000</v>
      </c>
      <c r="J21" s="14">
        <v>70476</v>
      </c>
      <c r="K21" s="15">
        <f>L21+66784</f>
        <v>137260</v>
      </c>
      <c r="L21" s="15">
        <f>8899*4+8720*4</f>
        <v>70476</v>
      </c>
      <c r="M21" s="15">
        <f t="shared" si="1"/>
        <v>70476</v>
      </c>
      <c r="N21" s="15">
        <v>0</v>
      </c>
      <c r="O21" s="58">
        <f t="shared" si="2"/>
        <v>0</v>
      </c>
      <c r="P21" s="39">
        <f t="shared" si="3"/>
        <v>24</v>
      </c>
      <c r="Q21" s="40">
        <f t="shared" si="4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1</v>
      </c>
      <c r="AD21" s="10">
        <f t="shared" si="7"/>
        <v>1</v>
      </c>
      <c r="AE21" s="36">
        <f t="shared" si="8"/>
        <v>0.56060606060606066</v>
      </c>
      <c r="AF21" s="84">
        <f t="shared" si="9"/>
        <v>16</v>
      </c>
    </row>
    <row r="22" spans="1:32" ht="27" customHeight="1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1"/>
        <v>0</v>
      </c>
      <c r="N22" s="15">
        <v>0</v>
      </c>
      <c r="O22" s="58" t="str">
        <f t="shared" si="2"/>
        <v>0</v>
      </c>
      <c r="P22" s="39" t="str">
        <f t="shared" si="3"/>
        <v>0</v>
      </c>
      <c r="Q22" s="40">
        <f t="shared" si="4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 t="str">
        <f t="shared" si="5"/>
        <v>0</v>
      </c>
      <c r="AC22" s="9">
        <f t="shared" si="6"/>
        <v>0</v>
      </c>
      <c r="AD22" s="10">
        <f t="shared" si="7"/>
        <v>0</v>
      </c>
      <c r="AE22" s="36">
        <f t="shared" si="8"/>
        <v>0.56060606060606066</v>
      </c>
      <c r="AF22" s="84">
        <f t="shared" si="9"/>
        <v>31</v>
      </c>
    </row>
    <row r="23" spans="1:32" ht="27" customHeight="1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1"/>
        <v>0</v>
      </c>
      <c r="N23" s="15">
        <v>0</v>
      </c>
      <c r="O23" s="58" t="str">
        <f t="shared" si="2"/>
        <v>0</v>
      </c>
      <c r="P23" s="39" t="str">
        <f t="shared" si="3"/>
        <v>0</v>
      </c>
      <c r="Q23" s="40">
        <f t="shared" si="4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 t="str">
        <f t="shared" si="5"/>
        <v>0</v>
      </c>
      <c r="AC23" s="9">
        <f t="shared" si="6"/>
        <v>0</v>
      </c>
      <c r="AD23" s="10">
        <f t="shared" si="7"/>
        <v>0</v>
      </c>
      <c r="AE23" s="36">
        <f t="shared" si="8"/>
        <v>0.56060606060606066</v>
      </c>
      <c r="AF23" s="84">
        <f t="shared" si="9"/>
        <v>32</v>
      </c>
    </row>
    <row r="24" spans="1:32" ht="27" customHeight="1">
      <c r="A24" s="96">
        <v>33</v>
      </c>
      <c r="B24" s="11" t="s">
        <v>57</v>
      </c>
      <c r="C24" s="11" t="s">
        <v>116</v>
      </c>
      <c r="D24" s="52" t="s">
        <v>150</v>
      </c>
      <c r="E24" s="53" t="s">
        <v>163</v>
      </c>
      <c r="F24" s="12" t="s">
        <v>145</v>
      </c>
      <c r="G24" s="12">
        <v>1</v>
      </c>
      <c r="H24" s="35">
        <v>20</v>
      </c>
      <c r="I24" s="7">
        <v>140000</v>
      </c>
      <c r="J24" s="14">
        <v>6992</v>
      </c>
      <c r="K24" s="15">
        <f>L24+4387+7770+5806+7905+7479+7369+7360+2397+6904+7208+7013+6976</f>
        <v>85566</v>
      </c>
      <c r="L24" s="15">
        <f>3790+3202</f>
        <v>6992</v>
      </c>
      <c r="M24" s="15">
        <f t="shared" si="1"/>
        <v>6992</v>
      </c>
      <c r="N24" s="15">
        <v>0</v>
      </c>
      <c r="O24" s="58">
        <f t="shared" si="2"/>
        <v>0</v>
      </c>
      <c r="P24" s="39">
        <f t="shared" si="3"/>
        <v>24</v>
      </c>
      <c r="Q24" s="40">
        <f t="shared" si="4"/>
        <v>0</v>
      </c>
      <c r="R24" s="7"/>
      <c r="S24" s="6"/>
      <c r="T24" s="16"/>
      <c r="U24" s="16"/>
      <c r="V24" s="206"/>
      <c r="W24" s="5"/>
      <c r="X24" s="16"/>
      <c r="Y24" s="16"/>
      <c r="Z24" s="16"/>
      <c r="AA24" s="18"/>
      <c r="AB24" s="8">
        <f t="shared" si="5"/>
        <v>1</v>
      </c>
      <c r="AC24" s="9">
        <f t="shared" si="6"/>
        <v>1</v>
      </c>
      <c r="AD24" s="10">
        <f t="shared" si="7"/>
        <v>1</v>
      </c>
      <c r="AE24" s="36">
        <f t="shared" si="8"/>
        <v>0.56060606060606066</v>
      </c>
      <c r="AF24" s="84">
        <f t="shared" si="9"/>
        <v>33</v>
      </c>
    </row>
    <row r="25" spans="1:32" ht="27" customHeight="1">
      <c r="A25" s="96">
        <v>34</v>
      </c>
      <c r="B25" s="11" t="s">
        <v>57</v>
      </c>
      <c r="C25" s="11" t="s">
        <v>116</v>
      </c>
      <c r="D25" s="52" t="s">
        <v>150</v>
      </c>
      <c r="E25" s="53" t="s">
        <v>165</v>
      </c>
      <c r="F25" s="12" t="s">
        <v>135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1"/>
        <v>0</v>
      </c>
      <c r="N25" s="15">
        <v>0</v>
      </c>
      <c r="O25" s="58" t="str">
        <f t="shared" si="2"/>
        <v>0</v>
      </c>
      <c r="P25" s="39" t="str">
        <f t="shared" si="3"/>
        <v>0</v>
      </c>
      <c r="Q25" s="40">
        <f t="shared" si="4"/>
        <v>24</v>
      </c>
      <c r="R25" s="7"/>
      <c r="S25" s="6"/>
      <c r="T25" s="16"/>
      <c r="U25" s="16"/>
      <c r="V25" s="206"/>
      <c r="W25" s="5">
        <v>24</v>
      </c>
      <c r="X25" s="16"/>
      <c r="Y25" s="16"/>
      <c r="Z25" s="16"/>
      <c r="AA25" s="18"/>
      <c r="AB25" s="8">
        <f t="shared" si="5"/>
        <v>0</v>
      </c>
      <c r="AC25" s="9">
        <f t="shared" si="6"/>
        <v>0</v>
      </c>
      <c r="AD25" s="10">
        <f t="shared" si="7"/>
        <v>0</v>
      </c>
      <c r="AE25" s="36">
        <f t="shared" si="8"/>
        <v>0.56060606060606066</v>
      </c>
      <c r="AF25" s="84">
        <f t="shared" si="9"/>
        <v>34</v>
      </c>
    </row>
    <row r="26" spans="1:32" ht="27" customHeight="1">
      <c r="A26" s="96">
        <v>35</v>
      </c>
      <c r="B26" s="11" t="s">
        <v>57</v>
      </c>
      <c r="C26" s="11" t="s">
        <v>116</v>
      </c>
      <c r="D26" s="52" t="s">
        <v>123</v>
      </c>
      <c r="E26" s="53" t="s">
        <v>137</v>
      </c>
      <c r="F26" s="12" t="s">
        <v>135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1"/>
        <v>0</v>
      </c>
      <c r="N26" s="15">
        <v>0</v>
      </c>
      <c r="O26" s="58" t="str">
        <f t="shared" si="2"/>
        <v>0</v>
      </c>
      <c r="P26" s="39" t="str">
        <f t="shared" si="3"/>
        <v>0</v>
      </c>
      <c r="Q26" s="40">
        <f t="shared" si="4"/>
        <v>24</v>
      </c>
      <c r="R26" s="7"/>
      <c r="S26" s="6"/>
      <c r="T26" s="16"/>
      <c r="U26" s="16"/>
      <c r="V26" s="206"/>
      <c r="W26" s="5">
        <v>24</v>
      </c>
      <c r="X26" s="16"/>
      <c r="Y26" s="16"/>
      <c r="Z26" s="16"/>
      <c r="AA26" s="18"/>
      <c r="AB26" s="8">
        <f t="shared" si="5"/>
        <v>0</v>
      </c>
      <c r="AC26" s="9">
        <f t="shared" si="6"/>
        <v>0</v>
      </c>
      <c r="AD26" s="10">
        <f t="shared" si="7"/>
        <v>0</v>
      </c>
      <c r="AE26" s="36">
        <f t="shared" si="8"/>
        <v>0.56060606060606066</v>
      </c>
      <c r="AF26" s="84">
        <f t="shared" si="9"/>
        <v>35</v>
      </c>
    </row>
    <row r="27" spans="1:32" ht="27" customHeight="1" thickBot="1">
      <c r="A27" s="96">
        <v>36</v>
      </c>
      <c r="B27" s="11" t="s">
        <v>57</v>
      </c>
      <c r="C27" s="11" t="s">
        <v>380</v>
      </c>
      <c r="D27" s="52"/>
      <c r="E27" s="53" t="s">
        <v>381</v>
      </c>
      <c r="F27" s="12" t="s">
        <v>382</v>
      </c>
      <c r="G27" s="12">
        <v>32</v>
      </c>
      <c r="H27" s="35">
        <v>20</v>
      </c>
      <c r="I27" s="7">
        <v>700000</v>
      </c>
      <c r="J27" s="14">
        <v>89792</v>
      </c>
      <c r="K27" s="15">
        <f>L27+326528+448864+89792</f>
        <v>865184</v>
      </c>
      <c r="L27" s="15"/>
      <c r="M27" s="15">
        <f t="shared" si="1"/>
        <v>0</v>
      </c>
      <c r="N27" s="15">
        <v>0</v>
      </c>
      <c r="O27" s="58" t="str">
        <f t="shared" si="2"/>
        <v>0</v>
      </c>
      <c r="P27" s="39" t="str">
        <f t="shared" si="3"/>
        <v>0</v>
      </c>
      <c r="Q27" s="40">
        <f t="shared" si="4"/>
        <v>24</v>
      </c>
      <c r="R27" s="7"/>
      <c r="S27" s="6"/>
      <c r="T27" s="16"/>
      <c r="U27" s="16"/>
      <c r="V27" s="206"/>
      <c r="W27" s="5">
        <v>24</v>
      </c>
      <c r="X27" s="16"/>
      <c r="Y27" s="16"/>
      <c r="Z27" s="16"/>
      <c r="AA27" s="18"/>
      <c r="AB27" s="8">
        <f t="shared" si="5"/>
        <v>0</v>
      </c>
      <c r="AC27" s="9">
        <f t="shared" si="6"/>
        <v>0</v>
      </c>
      <c r="AD27" s="10">
        <f t="shared" si="7"/>
        <v>0</v>
      </c>
      <c r="AE27" s="36">
        <f t="shared" si="8"/>
        <v>0.56060606060606066</v>
      </c>
      <c r="AF27" s="84">
        <f t="shared" si="9"/>
        <v>36</v>
      </c>
    </row>
    <row r="28" spans="1:32" ht="31.5" customHeight="1" thickBot="1">
      <c r="A28" s="464" t="s">
        <v>34</v>
      </c>
      <c r="B28" s="465"/>
      <c r="C28" s="465"/>
      <c r="D28" s="465"/>
      <c r="E28" s="465"/>
      <c r="F28" s="465"/>
      <c r="G28" s="465"/>
      <c r="H28" s="466"/>
      <c r="I28" s="22">
        <f t="shared" ref="I28:N28" si="10">SUM(I6:I27)</f>
        <v>2643000</v>
      </c>
      <c r="J28" s="19">
        <f t="shared" si="10"/>
        <v>310374</v>
      </c>
      <c r="K28" s="20">
        <f t="shared" si="10"/>
        <v>1863873</v>
      </c>
      <c r="L28" s="21">
        <f t="shared" si="10"/>
        <v>184425</v>
      </c>
      <c r="M28" s="20">
        <f t="shared" si="10"/>
        <v>184425</v>
      </c>
      <c r="N28" s="21">
        <f t="shared" si="10"/>
        <v>0</v>
      </c>
      <c r="O28" s="41">
        <f t="shared" si="2"/>
        <v>0</v>
      </c>
      <c r="P28" s="42">
        <f t="shared" ref="P28:AA28" si="11">SUM(P6:P27)</f>
        <v>296</v>
      </c>
      <c r="Q28" s="43">
        <f t="shared" si="11"/>
        <v>232</v>
      </c>
      <c r="R28" s="23">
        <f t="shared" si="11"/>
        <v>0</v>
      </c>
      <c r="S28" s="24">
        <f t="shared" si="11"/>
        <v>51</v>
      </c>
      <c r="T28" s="24">
        <f t="shared" si="11"/>
        <v>8</v>
      </c>
      <c r="U28" s="24">
        <f t="shared" si="11"/>
        <v>0</v>
      </c>
      <c r="V28" s="25">
        <f t="shared" si="11"/>
        <v>48</v>
      </c>
      <c r="W28" s="26">
        <f t="shared" si="11"/>
        <v>120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5</v>
      </c>
      <c r="AB28" s="28">
        <f>AVERAGE(AB6:AB27)</f>
        <v>0.7</v>
      </c>
      <c r="AC28" s="4">
        <f>AVERAGE(AC6:AC27)</f>
        <v>0.56060606060606066</v>
      </c>
      <c r="AD28" s="4">
        <f>AVERAGE(AD6:AD27)</f>
        <v>0.56060606060606066</v>
      </c>
      <c r="AE28" s="29"/>
    </row>
    <row r="29" spans="1:32">
      <c r="T29" s="50" t="s">
        <v>157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160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67" t="s">
        <v>45</v>
      </c>
      <c r="B55" s="467"/>
      <c r="C55" s="467"/>
      <c r="D55" s="467"/>
      <c r="E55" s="467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68" t="s">
        <v>539</v>
      </c>
      <c r="B56" s="469"/>
      <c r="C56" s="469"/>
      <c r="D56" s="469"/>
      <c r="E56" s="469"/>
      <c r="F56" s="469"/>
      <c r="G56" s="469"/>
      <c r="H56" s="469"/>
      <c r="I56" s="469"/>
      <c r="J56" s="469"/>
      <c r="K56" s="469"/>
      <c r="L56" s="469"/>
      <c r="M56" s="470"/>
      <c r="N56" s="471" t="s">
        <v>545</v>
      </c>
      <c r="O56" s="472"/>
      <c r="P56" s="472"/>
      <c r="Q56" s="472"/>
      <c r="R56" s="472"/>
      <c r="S56" s="472"/>
      <c r="T56" s="472"/>
      <c r="U56" s="472"/>
      <c r="V56" s="472"/>
      <c r="W56" s="472"/>
      <c r="X56" s="472"/>
      <c r="Y56" s="472"/>
      <c r="Z56" s="472"/>
      <c r="AA56" s="472"/>
      <c r="AB56" s="472"/>
      <c r="AC56" s="472"/>
      <c r="AD56" s="473"/>
    </row>
    <row r="57" spans="1:32" ht="27" customHeight="1">
      <c r="A57" s="474" t="s">
        <v>2</v>
      </c>
      <c r="B57" s="475"/>
      <c r="C57" s="353" t="s">
        <v>46</v>
      </c>
      <c r="D57" s="353" t="s">
        <v>47</v>
      </c>
      <c r="E57" s="353" t="s">
        <v>107</v>
      </c>
      <c r="F57" s="476" t="s">
        <v>106</v>
      </c>
      <c r="G57" s="477"/>
      <c r="H57" s="477"/>
      <c r="I57" s="477"/>
      <c r="J57" s="477"/>
      <c r="K57" s="477"/>
      <c r="L57" s="477"/>
      <c r="M57" s="478"/>
      <c r="N57" s="67" t="s">
        <v>110</v>
      </c>
      <c r="O57" s="353" t="s">
        <v>46</v>
      </c>
      <c r="P57" s="476" t="s">
        <v>47</v>
      </c>
      <c r="Q57" s="479"/>
      <c r="R57" s="476" t="s">
        <v>38</v>
      </c>
      <c r="S57" s="477"/>
      <c r="T57" s="477"/>
      <c r="U57" s="479"/>
      <c r="V57" s="476" t="s">
        <v>48</v>
      </c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500" t="s">
        <v>116</v>
      </c>
      <c r="B58" s="501"/>
      <c r="C58" s="356" t="s">
        <v>259</v>
      </c>
      <c r="D58" s="356" t="s">
        <v>140</v>
      </c>
      <c r="E58" s="355" t="s">
        <v>471</v>
      </c>
      <c r="F58" s="492" t="s">
        <v>353</v>
      </c>
      <c r="G58" s="493"/>
      <c r="H58" s="493"/>
      <c r="I58" s="493"/>
      <c r="J58" s="493"/>
      <c r="K58" s="493"/>
      <c r="L58" s="493"/>
      <c r="M58" s="494"/>
      <c r="N58" s="367" t="s">
        <v>241</v>
      </c>
      <c r="O58" s="365" t="s">
        <v>277</v>
      </c>
      <c r="P58" s="495"/>
      <c r="Q58" s="496"/>
      <c r="R58" s="495" t="s">
        <v>408</v>
      </c>
      <c r="S58" s="497"/>
      <c r="T58" s="497"/>
      <c r="U58" s="496"/>
      <c r="V58" s="498" t="s">
        <v>125</v>
      </c>
      <c r="W58" s="498"/>
      <c r="X58" s="498"/>
      <c r="Y58" s="498"/>
      <c r="Z58" s="498"/>
      <c r="AA58" s="498"/>
      <c r="AB58" s="498"/>
      <c r="AC58" s="498"/>
      <c r="AD58" s="499"/>
    </row>
    <row r="59" spans="1:32" ht="27" customHeight="1">
      <c r="A59" s="500" t="s">
        <v>116</v>
      </c>
      <c r="B59" s="501"/>
      <c r="C59" s="356" t="s">
        <v>193</v>
      </c>
      <c r="D59" s="356" t="s">
        <v>140</v>
      </c>
      <c r="E59" s="355" t="s">
        <v>323</v>
      </c>
      <c r="F59" s="492" t="s">
        <v>540</v>
      </c>
      <c r="G59" s="493"/>
      <c r="H59" s="493"/>
      <c r="I59" s="493"/>
      <c r="J59" s="493"/>
      <c r="K59" s="493"/>
      <c r="L59" s="493"/>
      <c r="M59" s="494"/>
      <c r="N59" s="354" t="s">
        <v>548</v>
      </c>
      <c r="O59" s="361" t="s">
        <v>549</v>
      </c>
      <c r="P59" s="495" t="s">
        <v>550</v>
      </c>
      <c r="Q59" s="496"/>
      <c r="R59" s="495" t="s">
        <v>546</v>
      </c>
      <c r="S59" s="497"/>
      <c r="T59" s="497"/>
      <c r="U59" s="496"/>
      <c r="V59" s="498" t="s">
        <v>547</v>
      </c>
      <c r="W59" s="498"/>
      <c r="X59" s="498"/>
      <c r="Y59" s="498"/>
      <c r="Z59" s="498"/>
      <c r="AA59" s="498"/>
      <c r="AB59" s="498"/>
      <c r="AC59" s="498"/>
      <c r="AD59" s="499"/>
    </row>
    <row r="60" spans="1:32" ht="27" customHeight="1">
      <c r="A60" s="500" t="s">
        <v>112</v>
      </c>
      <c r="B60" s="501"/>
      <c r="C60" s="356" t="s">
        <v>132</v>
      </c>
      <c r="D60" s="356" t="s">
        <v>148</v>
      </c>
      <c r="E60" s="355" t="s">
        <v>536</v>
      </c>
      <c r="F60" s="492" t="s">
        <v>306</v>
      </c>
      <c r="G60" s="493"/>
      <c r="H60" s="493"/>
      <c r="I60" s="493"/>
      <c r="J60" s="493"/>
      <c r="K60" s="493"/>
      <c r="L60" s="493"/>
      <c r="M60" s="494"/>
      <c r="N60" s="354"/>
      <c r="O60" s="361"/>
      <c r="P60" s="495"/>
      <c r="Q60" s="496"/>
      <c r="R60" s="495"/>
      <c r="S60" s="497"/>
      <c r="T60" s="497"/>
      <c r="U60" s="496"/>
      <c r="V60" s="498"/>
      <c r="W60" s="498"/>
      <c r="X60" s="498"/>
      <c r="Y60" s="498"/>
      <c r="Z60" s="498"/>
      <c r="AA60" s="498"/>
      <c r="AB60" s="498"/>
      <c r="AC60" s="498"/>
      <c r="AD60" s="499"/>
    </row>
    <row r="61" spans="1:32" ht="27" customHeight="1">
      <c r="A61" s="500" t="s">
        <v>112</v>
      </c>
      <c r="B61" s="501"/>
      <c r="C61" s="356" t="s">
        <v>198</v>
      </c>
      <c r="D61" s="356" t="s">
        <v>140</v>
      </c>
      <c r="E61" s="355" t="s">
        <v>530</v>
      </c>
      <c r="F61" s="492" t="s">
        <v>468</v>
      </c>
      <c r="G61" s="493"/>
      <c r="H61" s="493"/>
      <c r="I61" s="493"/>
      <c r="J61" s="493"/>
      <c r="K61" s="493"/>
      <c r="L61" s="493"/>
      <c r="M61" s="494"/>
      <c r="N61" s="354"/>
      <c r="O61" s="361"/>
      <c r="P61" s="495"/>
      <c r="Q61" s="496"/>
      <c r="R61" s="495"/>
      <c r="S61" s="497"/>
      <c r="T61" s="497"/>
      <c r="U61" s="496"/>
      <c r="V61" s="498"/>
      <c r="W61" s="498"/>
      <c r="X61" s="498"/>
      <c r="Y61" s="498"/>
      <c r="Z61" s="498"/>
      <c r="AA61" s="498"/>
      <c r="AB61" s="498"/>
      <c r="AC61" s="498"/>
      <c r="AD61" s="499"/>
    </row>
    <row r="62" spans="1:32" ht="27" customHeight="1">
      <c r="A62" s="490" t="s">
        <v>112</v>
      </c>
      <c r="B62" s="491"/>
      <c r="C62" s="355" t="s">
        <v>221</v>
      </c>
      <c r="D62" s="355" t="s">
        <v>142</v>
      </c>
      <c r="E62" s="355" t="s">
        <v>161</v>
      </c>
      <c r="F62" s="492" t="s">
        <v>120</v>
      </c>
      <c r="G62" s="493"/>
      <c r="H62" s="493"/>
      <c r="I62" s="493"/>
      <c r="J62" s="493"/>
      <c r="K62" s="493"/>
      <c r="L62" s="493"/>
      <c r="M62" s="494"/>
      <c r="N62" s="354"/>
      <c r="O62" s="361"/>
      <c r="P62" s="495"/>
      <c r="Q62" s="496"/>
      <c r="R62" s="495"/>
      <c r="S62" s="497"/>
      <c r="T62" s="497"/>
      <c r="U62" s="496"/>
      <c r="V62" s="498"/>
      <c r="W62" s="498"/>
      <c r="X62" s="498"/>
      <c r="Y62" s="498"/>
      <c r="Z62" s="498"/>
      <c r="AA62" s="498"/>
      <c r="AB62" s="498"/>
      <c r="AC62" s="498"/>
      <c r="AD62" s="499"/>
    </row>
    <row r="63" spans="1:32" ht="27" customHeight="1">
      <c r="A63" s="490" t="s">
        <v>116</v>
      </c>
      <c r="B63" s="491"/>
      <c r="C63" s="366" t="s">
        <v>169</v>
      </c>
      <c r="D63" s="366" t="s">
        <v>150</v>
      </c>
      <c r="E63" s="366" t="s">
        <v>529</v>
      </c>
      <c r="F63" s="492" t="s">
        <v>541</v>
      </c>
      <c r="G63" s="493"/>
      <c r="H63" s="493"/>
      <c r="I63" s="493"/>
      <c r="J63" s="493"/>
      <c r="K63" s="493"/>
      <c r="L63" s="493"/>
      <c r="M63" s="494"/>
      <c r="N63" s="354"/>
      <c r="O63" s="361"/>
      <c r="P63" s="495"/>
      <c r="Q63" s="496"/>
      <c r="R63" s="495"/>
      <c r="S63" s="497"/>
      <c r="T63" s="497"/>
      <c r="U63" s="496"/>
      <c r="V63" s="498"/>
      <c r="W63" s="498"/>
      <c r="X63" s="498"/>
      <c r="Y63" s="498"/>
      <c r="Z63" s="498"/>
      <c r="AA63" s="498"/>
      <c r="AB63" s="498"/>
      <c r="AC63" s="498"/>
      <c r="AD63" s="499"/>
    </row>
    <row r="64" spans="1:32" ht="27" customHeight="1">
      <c r="A64" s="490" t="s">
        <v>116</v>
      </c>
      <c r="B64" s="491"/>
      <c r="C64" s="355" t="s">
        <v>277</v>
      </c>
      <c r="D64" s="355" t="s">
        <v>123</v>
      </c>
      <c r="E64" s="355" t="s">
        <v>512</v>
      </c>
      <c r="F64" s="492" t="s">
        <v>542</v>
      </c>
      <c r="G64" s="493"/>
      <c r="H64" s="493"/>
      <c r="I64" s="493"/>
      <c r="J64" s="493"/>
      <c r="K64" s="493"/>
      <c r="L64" s="493"/>
      <c r="M64" s="494"/>
      <c r="N64" s="354"/>
      <c r="O64" s="361"/>
      <c r="P64" s="495"/>
      <c r="Q64" s="496"/>
      <c r="R64" s="495"/>
      <c r="S64" s="497"/>
      <c r="T64" s="497"/>
      <c r="U64" s="496"/>
      <c r="V64" s="498"/>
      <c r="W64" s="498"/>
      <c r="X64" s="498"/>
      <c r="Y64" s="498"/>
      <c r="Z64" s="498"/>
      <c r="AA64" s="498"/>
      <c r="AB64" s="498"/>
      <c r="AC64" s="498"/>
      <c r="AD64" s="499"/>
    </row>
    <row r="65" spans="1:32" ht="27" customHeight="1">
      <c r="A65" s="500" t="s">
        <v>543</v>
      </c>
      <c r="B65" s="501"/>
      <c r="C65" s="356" t="s">
        <v>544</v>
      </c>
      <c r="D65" s="356"/>
      <c r="E65" s="355" t="s">
        <v>538</v>
      </c>
      <c r="F65" s="492" t="s">
        <v>125</v>
      </c>
      <c r="G65" s="493"/>
      <c r="H65" s="493"/>
      <c r="I65" s="493"/>
      <c r="J65" s="493"/>
      <c r="K65" s="493"/>
      <c r="L65" s="493"/>
      <c r="M65" s="494"/>
      <c r="N65" s="354"/>
      <c r="O65" s="361"/>
      <c r="P65" s="495"/>
      <c r="Q65" s="496"/>
      <c r="R65" s="495"/>
      <c r="S65" s="497"/>
      <c r="T65" s="497"/>
      <c r="U65" s="496"/>
      <c r="V65" s="498"/>
      <c r="W65" s="498"/>
      <c r="X65" s="498"/>
      <c r="Y65" s="498"/>
      <c r="Z65" s="498"/>
      <c r="AA65" s="498"/>
      <c r="AB65" s="498"/>
      <c r="AC65" s="498"/>
      <c r="AD65" s="499"/>
    </row>
    <row r="66" spans="1:32" ht="27" customHeight="1">
      <c r="A66" s="500"/>
      <c r="B66" s="501"/>
      <c r="C66" s="356"/>
      <c r="D66" s="356"/>
      <c r="E66" s="355"/>
      <c r="F66" s="492"/>
      <c r="G66" s="493"/>
      <c r="H66" s="493"/>
      <c r="I66" s="493"/>
      <c r="J66" s="493"/>
      <c r="K66" s="493"/>
      <c r="L66" s="493"/>
      <c r="M66" s="494"/>
      <c r="N66" s="354"/>
      <c r="O66" s="361"/>
      <c r="P66" s="491"/>
      <c r="Q66" s="491"/>
      <c r="R66" s="491"/>
      <c r="S66" s="491"/>
      <c r="T66" s="491"/>
      <c r="U66" s="491"/>
      <c r="V66" s="498"/>
      <c r="W66" s="498"/>
      <c r="X66" s="498"/>
      <c r="Y66" s="498"/>
      <c r="Z66" s="498"/>
      <c r="AA66" s="498"/>
      <c r="AB66" s="498"/>
      <c r="AC66" s="498"/>
      <c r="AD66" s="499"/>
      <c r="AF66" s="84">
        <f>8*3000</f>
        <v>24000</v>
      </c>
    </row>
    <row r="67" spans="1:32" ht="27" customHeight="1" thickBot="1">
      <c r="A67" s="502"/>
      <c r="B67" s="503"/>
      <c r="C67" s="357"/>
      <c r="D67" s="358"/>
      <c r="E67" s="357"/>
      <c r="F67" s="504"/>
      <c r="G67" s="505"/>
      <c r="H67" s="505"/>
      <c r="I67" s="505"/>
      <c r="J67" s="505"/>
      <c r="K67" s="505"/>
      <c r="L67" s="505"/>
      <c r="M67" s="506"/>
      <c r="N67" s="111"/>
      <c r="O67" s="103"/>
      <c r="P67" s="507"/>
      <c r="Q67" s="507"/>
      <c r="R67" s="507"/>
      <c r="S67" s="507"/>
      <c r="T67" s="507"/>
      <c r="U67" s="507"/>
      <c r="V67" s="508"/>
      <c r="W67" s="508"/>
      <c r="X67" s="508"/>
      <c r="Y67" s="508"/>
      <c r="Z67" s="508"/>
      <c r="AA67" s="508"/>
      <c r="AB67" s="508"/>
      <c r="AC67" s="508"/>
      <c r="AD67" s="509"/>
      <c r="AF67" s="84">
        <f>16*3000</f>
        <v>48000</v>
      </c>
    </row>
    <row r="68" spans="1:32" ht="27.75" thickBot="1">
      <c r="A68" s="510" t="s">
        <v>551</v>
      </c>
      <c r="B68" s="510"/>
      <c r="C68" s="510"/>
      <c r="D68" s="510"/>
      <c r="E68" s="51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11" t="s">
        <v>111</v>
      </c>
      <c r="B69" s="512"/>
      <c r="C69" s="359" t="s">
        <v>2</v>
      </c>
      <c r="D69" s="359" t="s">
        <v>37</v>
      </c>
      <c r="E69" s="359" t="s">
        <v>3</v>
      </c>
      <c r="F69" s="512" t="s">
        <v>109</v>
      </c>
      <c r="G69" s="512"/>
      <c r="H69" s="512"/>
      <c r="I69" s="512"/>
      <c r="J69" s="512"/>
      <c r="K69" s="512" t="s">
        <v>39</v>
      </c>
      <c r="L69" s="512"/>
      <c r="M69" s="359" t="s">
        <v>40</v>
      </c>
      <c r="N69" s="512" t="s">
        <v>41</v>
      </c>
      <c r="O69" s="512"/>
      <c r="P69" s="513" t="s">
        <v>42</v>
      </c>
      <c r="Q69" s="514"/>
      <c r="R69" s="513" t="s">
        <v>43</v>
      </c>
      <c r="S69" s="515"/>
      <c r="T69" s="515"/>
      <c r="U69" s="515"/>
      <c r="V69" s="515"/>
      <c r="W69" s="515"/>
      <c r="X69" s="515"/>
      <c r="Y69" s="515"/>
      <c r="Z69" s="515"/>
      <c r="AA69" s="514"/>
      <c r="AB69" s="512" t="s">
        <v>44</v>
      </c>
      <c r="AC69" s="512"/>
      <c r="AD69" s="516"/>
      <c r="AF69" s="84">
        <f>SUM(AF66:AF68)</f>
        <v>96000</v>
      </c>
    </row>
    <row r="70" spans="1:32" ht="25.5" customHeight="1">
      <c r="A70" s="517">
        <v>1</v>
      </c>
      <c r="B70" s="518"/>
      <c r="C70" s="104" t="s">
        <v>116</v>
      </c>
      <c r="D70" s="363"/>
      <c r="E70" s="360" t="s">
        <v>150</v>
      </c>
      <c r="F70" s="519" t="s">
        <v>529</v>
      </c>
      <c r="G70" s="520"/>
      <c r="H70" s="520"/>
      <c r="I70" s="520"/>
      <c r="J70" s="521"/>
      <c r="K70" s="522" t="s">
        <v>135</v>
      </c>
      <c r="L70" s="522"/>
      <c r="M70" s="51" t="s">
        <v>178</v>
      </c>
      <c r="N70" s="523" t="s">
        <v>169</v>
      </c>
      <c r="O70" s="523"/>
      <c r="P70" s="524">
        <v>200</v>
      </c>
      <c r="Q70" s="524"/>
      <c r="R70" s="498"/>
      <c r="S70" s="498"/>
      <c r="T70" s="498"/>
      <c r="U70" s="498"/>
      <c r="V70" s="498"/>
      <c r="W70" s="498"/>
      <c r="X70" s="498"/>
      <c r="Y70" s="498"/>
      <c r="Z70" s="498"/>
      <c r="AA70" s="498"/>
      <c r="AB70" s="522"/>
      <c r="AC70" s="522"/>
      <c r="AD70" s="525"/>
      <c r="AF70" s="50"/>
    </row>
    <row r="71" spans="1:32" ht="25.5" customHeight="1">
      <c r="A71" s="517">
        <v>2</v>
      </c>
      <c r="B71" s="518"/>
      <c r="C71" s="104" t="s">
        <v>143</v>
      </c>
      <c r="D71" s="363"/>
      <c r="E71" s="360" t="s">
        <v>411</v>
      </c>
      <c r="F71" s="519" t="s">
        <v>552</v>
      </c>
      <c r="G71" s="520"/>
      <c r="H71" s="520"/>
      <c r="I71" s="520"/>
      <c r="J71" s="521"/>
      <c r="K71" s="522" t="s">
        <v>131</v>
      </c>
      <c r="L71" s="522"/>
      <c r="M71" s="51" t="s">
        <v>178</v>
      </c>
      <c r="N71" s="523" t="s">
        <v>175</v>
      </c>
      <c r="O71" s="523"/>
      <c r="P71" s="524">
        <v>100</v>
      </c>
      <c r="Q71" s="524"/>
      <c r="R71" s="498"/>
      <c r="S71" s="498"/>
      <c r="T71" s="498"/>
      <c r="U71" s="498"/>
      <c r="V71" s="498"/>
      <c r="W71" s="498"/>
      <c r="X71" s="498"/>
      <c r="Y71" s="498"/>
      <c r="Z71" s="498"/>
      <c r="AA71" s="498"/>
      <c r="AB71" s="522"/>
      <c r="AC71" s="522"/>
      <c r="AD71" s="525"/>
      <c r="AF71" s="50"/>
    </row>
    <row r="72" spans="1:32" ht="25.5" customHeight="1">
      <c r="A72" s="517">
        <v>3</v>
      </c>
      <c r="B72" s="518"/>
      <c r="C72" s="104" t="s">
        <v>112</v>
      </c>
      <c r="D72" s="363"/>
      <c r="E72" s="360" t="s">
        <v>140</v>
      </c>
      <c r="F72" s="519" t="s">
        <v>530</v>
      </c>
      <c r="G72" s="520"/>
      <c r="H72" s="520"/>
      <c r="I72" s="520"/>
      <c r="J72" s="521"/>
      <c r="K72" s="522" t="s">
        <v>131</v>
      </c>
      <c r="L72" s="522"/>
      <c r="M72" s="51" t="s">
        <v>178</v>
      </c>
      <c r="N72" s="523" t="s">
        <v>198</v>
      </c>
      <c r="O72" s="523"/>
      <c r="P72" s="524">
        <v>100</v>
      </c>
      <c r="Q72" s="524"/>
      <c r="R72" s="498"/>
      <c r="S72" s="498"/>
      <c r="T72" s="498"/>
      <c r="U72" s="498"/>
      <c r="V72" s="498"/>
      <c r="W72" s="498"/>
      <c r="X72" s="498"/>
      <c r="Y72" s="498"/>
      <c r="Z72" s="498"/>
      <c r="AA72" s="498"/>
      <c r="AB72" s="522"/>
      <c r="AC72" s="522"/>
      <c r="AD72" s="525"/>
      <c r="AF72" s="50"/>
    </row>
    <row r="73" spans="1:32" ht="25.5" customHeight="1">
      <c r="A73" s="517">
        <v>4</v>
      </c>
      <c r="B73" s="518"/>
      <c r="C73" s="104" t="s">
        <v>554</v>
      </c>
      <c r="D73" s="363"/>
      <c r="E73" s="360" t="s">
        <v>555</v>
      </c>
      <c r="F73" s="519" t="s">
        <v>553</v>
      </c>
      <c r="G73" s="520"/>
      <c r="H73" s="520"/>
      <c r="I73" s="520"/>
      <c r="J73" s="521"/>
      <c r="K73" s="522">
        <v>7301</v>
      </c>
      <c r="L73" s="522"/>
      <c r="M73" s="51" t="s">
        <v>178</v>
      </c>
      <c r="N73" s="523" t="s">
        <v>206</v>
      </c>
      <c r="O73" s="523"/>
      <c r="P73" s="524">
        <v>100</v>
      </c>
      <c r="Q73" s="524"/>
      <c r="R73" s="498"/>
      <c r="S73" s="498"/>
      <c r="T73" s="498"/>
      <c r="U73" s="498"/>
      <c r="V73" s="498"/>
      <c r="W73" s="498"/>
      <c r="X73" s="498"/>
      <c r="Y73" s="498"/>
      <c r="Z73" s="498"/>
      <c r="AA73" s="498"/>
      <c r="AB73" s="522"/>
      <c r="AC73" s="522"/>
      <c r="AD73" s="525"/>
      <c r="AF73" s="50"/>
    </row>
    <row r="74" spans="1:32" ht="25.5" customHeight="1">
      <c r="A74" s="517">
        <v>5</v>
      </c>
      <c r="B74" s="518"/>
      <c r="C74" s="104"/>
      <c r="D74" s="363"/>
      <c r="E74" s="360"/>
      <c r="F74" s="519"/>
      <c r="G74" s="520"/>
      <c r="H74" s="520"/>
      <c r="I74" s="520"/>
      <c r="J74" s="521"/>
      <c r="K74" s="522"/>
      <c r="L74" s="522"/>
      <c r="M74" s="51"/>
      <c r="N74" s="523"/>
      <c r="O74" s="523"/>
      <c r="P74" s="524"/>
      <c r="Q74" s="524"/>
      <c r="R74" s="498"/>
      <c r="S74" s="498"/>
      <c r="T74" s="498"/>
      <c r="U74" s="498"/>
      <c r="V74" s="498"/>
      <c r="W74" s="498"/>
      <c r="X74" s="498"/>
      <c r="Y74" s="498"/>
      <c r="Z74" s="498"/>
      <c r="AA74" s="498"/>
      <c r="AB74" s="522"/>
      <c r="AC74" s="522"/>
      <c r="AD74" s="525"/>
      <c r="AF74" s="50"/>
    </row>
    <row r="75" spans="1:32" ht="25.5" customHeight="1">
      <c r="A75" s="517">
        <v>6</v>
      </c>
      <c r="B75" s="518"/>
      <c r="C75" s="104"/>
      <c r="D75" s="363"/>
      <c r="E75" s="360"/>
      <c r="F75" s="519"/>
      <c r="G75" s="520"/>
      <c r="H75" s="520"/>
      <c r="I75" s="520"/>
      <c r="J75" s="521"/>
      <c r="K75" s="522"/>
      <c r="L75" s="522"/>
      <c r="M75" s="51"/>
      <c r="N75" s="523"/>
      <c r="O75" s="523"/>
      <c r="P75" s="524"/>
      <c r="Q75" s="524"/>
      <c r="R75" s="498"/>
      <c r="S75" s="498"/>
      <c r="T75" s="498"/>
      <c r="U75" s="498"/>
      <c r="V75" s="498"/>
      <c r="W75" s="498"/>
      <c r="X75" s="498"/>
      <c r="Y75" s="498"/>
      <c r="Z75" s="498"/>
      <c r="AA75" s="498"/>
      <c r="AB75" s="522"/>
      <c r="AC75" s="522"/>
      <c r="AD75" s="525"/>
      <c r="AF75" s="50"/>
    </row>
    <row r="76" spans="1:32" ht="25.5" customHeight="1">
      <c r="A76" s="517">
        <v>7</v>
      </c>
      <c r="B76" s="518"/>
      <c r="C76" s="104"/>
      <c r="D76" s="363"/>
      <c r="E76" s="360"/>
      <c r="F76" s="519"/>
      <c r="G76" s="520"/>
      <c r="H76" s="520"/>
      <c r="I76" s="520"/>
      <c r="J76" s="521"/>
      <c r="K76" s="522"/>
      <c r="L76" s="522"/>
      <c r="M76" s="51"/>
      <c r="N76" s="523"/>
      <c r="O76" s="523"/>
      <c r="P76" s="524"/>
      <c r="Q76" s="524"/>
      <c r="R76" s="498"/>
      <c r="S76" s="498"/>
      <c r="T76" s="498"/>
      <c r="U76" s="498"/>
      <c r="V76" s="498"/>
      <c r="W76" s="498"/>
      <c r="X76" s="498"/>
      <c r="Y76" s="498"/>
      <c r="Z76" s="498"/>
      <c r="AA76" s="498"/>
      <c r="AB76" s="522"/>
      <c r="AC76" s="522"/>
      <c r="AD76" s="525"/>
      <c r="AF76" s="50"/>
    </row>
    <row r="77" spans="1:32" ht="25.5" customHeight="1">
      <c r="A77" s="517">
        <v>8</v>
      </c>
      <c r="B77" s="518"/>
      <c r="C77" s="104"/>
      <c r="D77" s="363"/>
      <c r="E77" s="360"/>
      <c r="F77" s="526"/>
      <c r="G77" s="522"/>
      <c r="H77" s="522"/>
      <c r="I77" s="522"/>
      <c r="J77" s="522"/>
      <c r="K77" s="522"/>
      <c r="L77" s="522"/>
      <c r="M77" s="51"/>
      <c r="N77" s="523"/>
      <c r="O77" s="523"/>
      <c r="P77" s="524"/>
      <c r="Q77" s="524"/>
      <c r="R77" s="498"/>
      <c r="S77" s="498"/>
      <c r="T77" s="498"/>
      <c r="U77" s="498"/>
      <c r="V77" s="498"/>
      <c r="W77" s="498"/>
      <c r="X77" s="498"/>
      <c r="Y77" s="498"/>
      <c r="Z77" s="498"/>
      <c r="AA77" s="498"/>
      <c r="AB77" s="522"/>
      <c r="AC77" s="522"/>
      <c r="AD77" s="525"/>
      <c r="AF77" s="50"/>
    </row>
    <row r="78" spans="1:32" ht="25.5" customHeight="1">
      <c r="A78" s="517">
        <v>9</v>
      </c>
      <c r="B78" s="518"/>
      <c r="C78" s="104"/>
      <c r="D78" s="363"/>
      <c r="E78" s="360"/>
      <c r="F78" s="526"/>
      <c r="G78" s="522"/>
      <c r="H78" s="522"/>
      <c r="I78" s="522"/>
      <c r="J78" s="522"/>
      <c r="K78" s="522"/>
      <c r="L78" s="522"/>
      <c r="M78" s="51"/>
      <c r="N78" s="523"/>
      <c r="O78" s="523"/>
      <c r="P78" s="524"/>
      <c r="Q78" s="524"/>
      <c r="R78" s="498"/>
      <c r="S78" s="498"/>
      <c r="T78" s="498"/>
      <c r="U78" s="498"/>
      <c r="V78" s="498"/>
      <c r="W78" s="498"/>
      <c r="X78" s="498"/>
      <c r="Y78" s="498"/>
      <c r="Z78" s="498"/>
      <c r="AA78" s="498"/>
      <c r="AB78" s="522"/>
      <c r="AC78" s="522"/>
      <c r="AD78" s="525"/>
      <c r="AF78" s="50"/>
    </row>
    <row r="79" spans="1:32" ht="25.5" customHeight="1">
      <c r="A79" s="517">
        <v>10</v>
      </c>
      <c r="B79" s="518"/>
      <c r="C79" s="104"/>
      <c r="D79" s="363"/>
      <c r="E79" s="360"/>
      <c r="F79" s="526"/>
      <c r="G79" s="522"/>
      <c r="H79" s="522"/>
      <c r="I79" s="522"/>
      <c r="J79" s="522"/>
      <c r="K79" s="522"/>
      <c r="L79" s="522"/>
      <c r="M79" s="51"/>
      <c r="N79" s="523"/>
      <c r="O79" s="523"/>
      <c r="P79" s="524"/>
      <c r="Q79" s="524"/>
      <c r="R79" s="498"/>
      <c r="S79" s="498"/>
      <c r="T79" s="498"/>
      <c r="U79" s="498"/>
      <c r="V79" s="498"/>
      <c r="W79" s="498"/>
      <c r="X79" s="498"/>
      <c r="Y79" s="498"/>
      <c r="Z79" s="498"/>
      <c r="AA79" s="498"/>
      <c r="AB79" s="522"/>
      <c r="AC79" s="522"/>
      <c r="AD79" s="525"/>
      <c r="AF79" s="50"/>
    </row>
    <row r="80" spans="1:32" ht="26.25" customHeight="1" thickBot="1">
      <c r="A80" s="527" t="s">
        <v>556</v>
      </c>
      <c r="B80" s="527"/>
      <c r="C80" s="527"/>
      <c r="D80" s="527"/>
      <c r="E80" s="527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528" t="s">
        <v>111</v>
      </c>
      <c r="B81" s="529"/>
      <c r="C81" s="362" t="s">
        <v>2</v>
      </c>
      <c r="D81" s="362" t="s">
        <v>37</v>
      </c>
      <c r="E81" s="362" t="s">
        <v>121</v>
      </c>
      <c r="F81" s="530" t="s">
        <v>38</v>
      </c>
      <c r="G81" s="530"/>
      <c r="H81" s="530"/>
      <c r="I81" s="530"/>
      <c r="J81" s="530"/>
      <c r="K81" s="531" t="s">
        <v>58</v>
      </c>
      <c r="L81" s="532"/>
      <c r="M81" s="532"/>
      <c r="N81" s="532"/>
      <c r="O81" s="532"/>
      <c r="P81" s="532"/>
      <c r="Q81" s="532"/>
      <c r="R81" s="532"/>
      <c r="S81" s="533"/>
      <c r="T81" s="530" t="s">
        <v>49</v>
      </c>
      <c r="U81" s="530"/>
      <c r="V81" s="531" t="s">
        <v>50</v>
      </c>
      <c r="W81" s="533"/>
      <c r="X81" s="532" t="s">
        <v>51</v>
      </c>
      <c r="Y81" s="532"/>
      <c r="Z81" s="532"/>
      <c r="AA81" s="532"/>
      <c r="AB81" s="532"/>
      <c r="AC81" s="532"/>
      <c r="AD81" s="534"/>
      <c r="AF81" s="50"/>
    </row>
    <row r="82" spans="1:32" ht="33.75" customHeight="1">
      <c r="A82" s="543">
        <v>1</v>
      </c>
      <c r="B82" s="544"/>
      <c r="C82" s="364"/>
      <c r="D82" s="364"/>
      <c r="E82" s="65"/>
      <c r="F82" s="545"/>
      <c r="G82" s="546"/>
      <c r="H82" s="546"/>
      <c r="I82" s="546"/>
      <c r="J82" s="547"/>
      <c r="K82" s="548"/>
      <c r="L82" s="549"/>
      <c r="M82" s="549"/>
      <c r="N82" s="549"/>
      <c r="O82" s="549"/>
      <c r="P82" s="549"/>
      <c r="Q82" s="549"/>
      <c r="R82" s="549"/>
      <c r="S82" s="550"/>
      <c r="T82" s="551"/>
      <c r="U82" s="552"/>
      <c r="V82" s="553"/>
      <c r="W82" s="553"/>
      <c r="X82" s="554"/>
      <c r="Y82" s="554"/>
      <c r="Z82" s="554"/>
      <c r="AA82" s="554"/>
      <c r="AB82" s="554"/>
      <c r="AC82" s="554"/>
      <c r="AD82" s="555"/>
      <c r="AF82" s="50"/>
    </row>
    <row r="83" spans="1:32" ht="30" customHeight="1">
      <c r="A83" s="535">
        <f>A82+1</f>
        <v>2</v>
      </c>
      <c r="B83" s="536"/>
      <c r="C83" s="363"/>
      <c r="D83" s="363"/>
      <c r="E83" s="32"/>
      <c r="F83" s="536"/>
      <c r="G83" s="536"/>
      <c r="H83" s="536"/>
      <c r="I83" s="536"/>
      <c r="J83" s="536"/>
      <c r="K83" s="537"/>
      <c r="L83" s="538"/>
      <c r="M83" s="538"/>
      <c r="N83" s="538"/>
      <c r="O83" s="538"/>
      <c r="P83" s="538"/>
      <c r="Q83" s="538"/>
      <c r="R83" s="538"/>
      <c r="S83" s="539"/>
      <c r="T83" s="540"/>
      <c r="U83" s="540"/>
      <c r="V83" s="540"/>
      <c r="W83" s="540"/>
      <c r="X83" s="541"/>
      <c r="Y83" s="541"/>
      <c r="Z83" s="541"/>
      <c r="AA83" s="541"/>
      <c r="AB83" s="541"/>
      <c r="AC83" s="541"/>
      <c r="AD83" s="542"/>
      <c r="AF83" s="50"/>
    </row>
    <row r="84" spans="1:32" ht="30" customHeight="1">
      <c r="A84" s="535">
        <f t="shared" ref="A84:A88" si="12">A83+1</f>
        <v>3</v>
      </c>
      <c r="B84" s="536"/>
      <c r="C84" s="363"/>
      <c r="D84" s="363"/>
      <c r="E84" s="32"/>
      <c r="F84" s="536"/>
      <c r="G84" s="536"/>
      <c r="H84" s="536"/>
      <c r="I84" s="536"/>
      <c r="J84" s="536"/>
      <c r="K84" s="537"/>
      <c r="L84" s="538"/>
      <c r="M84" s="538"/>
      <c r="N84" s="538"/>
      <c r="O84" s="538"/>
      <c r="P84" s="538"/>
      <c r="Q84" s="538"/>
      <c r="R84" s="538"/>
      <c r="S84" s="539"/>
      <c r="T84" s="540"/>
      <c r="U84" s="540"/>
      <c r="V84" s="540"/>
      <c r="W84" s="540"/>
      <c r="X84" s="541"/>
      <c r="Y84" s="541"/>
      <c r="Z84" s="541"/>
      <c r="AA84" s="541"/>
      <c r="AB84" s="541"/>
      <c r="AC84" s="541"/>
      <c r="AD84" s="542"/>
      <c r="AF84" s="50"/>
    </row>
    <row r="85" spans="1:32" ht="30" customHeight="1">
      <c r="A85" s="535">
        <f t="shared" si="12"/>
        <v>4</v>
      </c>
      <c r="B85" s="536"/>
      <c r="C85" s="363"/>
      <c r="D85" s="363"/>
      <c r="E85" s="32"/>
      <c r="F85" s="536"/>
      <c r="G85" s="536"/>
      <c r="H85" s="536"/>
      <c r="I85" s="536"/>
      <c r="J85" s="536"/>
      <c r="K85" s="537"/>
      <c r="L85" s="538"/>
      <c r="M85" s="538"/>
      <c r="N85" s="538"/>
      <c r="O85" s="538"/>
      <c r="P85" s="538"/>
      <c r="Q85" s="538"/>
      <c r="R85" s="538"/>
      <c r="S85" s="539"/>
      <c r="T85" s="540"/>
      <c r="U85" s="540"/>
      <c r="V85" s="540"/>
      <c r="W85" s="540"/>
      <c r="X85" s="541"/>
      <c r="Y85" s="541"/>
      <c r="Z85" s="541"/>
      <c r="AA85" s="541"/>
      <c r="AB85" s="541"/>
      <c r="AC85" s="541"/>
      <c r="AD85" s="542"/>
      <c r="AF85" s="50"/>
    </row>
    <row r="86" spans="1:32" ht="30" customHeight="1">
      <c r="A86" s="535">
        <f t="shared" si="12"/>
        <v>5</v>
      </c>
      <c r="B86" s="536"/>
      <c r="C86" s="363"/>
      <c r="D86" s="363"/>
      <c r="E86" s="32"/>
      <c r="F86" s="536"/>
      <c r="G86" s="536"/>
      <c r="H86" s="536"/>
      <c r="I86" s="536"/>
      <c r="J86" s="536"/>
      <c r="K86" s="537"/>
      <c r="L86" s="538"/>
      <c r="M86" s="538"/>
      <c r="N86" s="538"/>
      <c r="O86" s="538"/>
      <c r="P86" s="538"/>
      <c r="Q86" s="538"/>
      <c r="R86" s="538"/>
      <c r="S86" s="539"/>
      <c r="T86" s="540"/>
      <c r="U86" s="540"/>
      <c r="V86" s="540"/>
      <c r="W86" s="540"/>
      <c r="X86" s="541"/>
      <c r="Y86" s="541"/>
      <c r="Z86" s="541"/>
      <c r="AA86" s="541"/>
      <c r="AB86" s="541"/>
      <c r="AC86" s="541"/>
      <c r="AD86" s="542"/>
      <c r="AF86" s="50"/>
    </row>
    <row r="87" spans="1:32" ht="30" customHeight="1">
      <c r="A87" s="535">
        <f t="shared" si="12"/>
        <v>6</v>
      </c>
      <c r="B87" s="536"/>
      <c r="C87" s="363"/>
      <c r="D87" s="363"/>
      <c r="E87" s="32"/>
      <c r="F87" s="536"/>
      <c r="G87" s="536"/>
      <c r="H87" s="536"/>
      <c r="I87" s="536"/>
      <c r="J87" s="536"/>
      <c r="K87" s="537"/>
      <c r="L87" s="538"/>
      <c r="M87" s="538"/>
      <c r="N87" s="538"/>
      <c r="O87" s="538"/>
      <c r="P87" s="538"/>
      <c r="Q87" s="538"/>
      <c r="R87" s="538"/>
      <c r="S87" s="539"/>
      <c r="T87" s="540"/>
      <c r="U87" s="540"/>
      <c r="V87" s="540"/>
      <c r="W87" s="540"/>
      <c r="X87" s="541"/>
      <c r="Y87" s="541"/>
      <c r="Z87" s="541"/>
      <c r="AA87" s="541"/>
      <c r="AB87" s="541"/>
      <c r="AC87" s="541"/>
      <c r="AD87" s="542"/>
      <c r="AF87" s="50"/>
    </row>
    <row r="88" spans="1:32" ht="30" customHeight="1">
      <c r="A88" s="535">
        <f t="shared" si="12"/>
        <v>7</v>
      </c>
      <c r="B88" s="536"/>
      <c r="C88" s="363"/>
      <c r="D88" s="363"/>
      <c r="E88" s="32"/>
      <c r="F88" s="536"/>
      <c r="G88" s="536"/>
      <c r="H88" s="536"/>
      <c r="I88" s="536"/>
      <c r="J88" s="536"/>
      <c r="K88" s="537"/>
      <c r="L88" s="538"/>
      <c r="M88" s="538"/>
      <c r="N88" s="538"/>
      <c r="O88" s="538"/>
      <c r="P88" s="538"/>
      <c r="Q88" s="538"/>
      <c r="R88" s="538"/>
      <c r="S88" s="539"/>
      <c r="T88" s="540"/>
      <c r="U88" s="540"/>
      <c r="V88" s="540"/>
      <c r="W88" s="540"/>
      <c r="X88" s="541"/>
      <c r="Y88" s="541"/>
      <c r="Z88" s="541"/>
      <c r="AA88" s="541"/>
      <c r="AB88" s="541"/>
      <c r="AC88" s="541"/>
      <c r="AD88" s="542"/>
      <c r="AF88" s="50"/>
    </row>
    <row r="89" spans="1:32" ht="36" thickBot="1">
      <c r="A89" s="527" t="s">
        <v>557</v>
      </c>
      <c r="B89" s="527"/>
      <c r="C89" s="527"/>
      <c r="D89" s="527"/>
      <c r="E89" s="527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56" t="s">
        <v>111</v>
      </c>
      <c r="B90" s="530"/>
      <c r="C90" s="557" t="s">
        <v>52</v>
      </c>
      <c r="D90" s="557"/>
      <c r="E90" s="557" t="s">
        <v>53</v>
      </c>
      <c r="F90" s="557"/>
      <c r="G90" s="557"/>
      <c r="H90" s="557"/>
      <c r="I90" s="557"/>
      <c r="J90" s="557"/>
      <c r="K90" s="557" t="s">
        <v>54</v>
      </c>
      <c r="L90" s="557"/>
      <c r="M90" s="557"/>
      <c r="N90" s="557"/>
      <c r="O90" s="557"/>
      <c r="P90" s="557"/>
      <c r="Q90" s="557"/>
      <c r="R90" s="557"/>
      <c r="S90" s="557"/>
      <c r="T90" s="557" t="s">
        <v>55</v>
      </c>
      <c r="U90" s="557"/>
      <c r="V90" s="557" t="s">
        <v>56</v>
      </c>
      <c r="W90" s="557"/>
      <c r="X90" s="557"/>
      <c r="Y90" s="557" t="s">
        <v>51</v>
      </c>
      <c r="Z90" s="557"/>
      <c r="AA90" s="557"/>
      <c r="AB90" s="557"/>
      <c r="AC90" s="557"/>
      <c r="AD90" s="558"/>
      <c r="AF90" s="50"/>
    </row>
    <row r="91" spans="1:32" ht="30.75" customHeight="1">
      <c r="A91" s="543">
        <v>1</v>
      </c>
      <c r="B91" s="544"/>
      <c r="C91" s="559">
        <v>9</v>
      </c>
      <c r="D91" s="559"/>
      <c r="E91" s="559" t="s">
        <v>127</v>
      </c>
      <c r="F91" s="559"/>
      <c r="G91" s="559"/>
      <c r="H91" s="559"/>
      <c r="I91" s="559"/>
      <c r="J91" s="559"/>
      <c r="K91" s="559" t="s">
        <v>136</v>
      </c>
      <c r="L91" s="559"/>
      <c r="M91" s="559"/>
      <c r="N91" s="559"/>
      <c r="O91" s="559"/>
      <c r="P91" s="559"/>
      <c r="Q91" s="559"/>
      <c r="R91" s="559"/>
      <c r="S91" s="559"/>
      <c r="T91" s="559" t="s">
        <v>128</v>
      </c>
      <c r="U91" s="559"/>
      <c r="V91" s="560" t="s">
        <v>133</v>
      </c>
      <c r="W91" s="560"/>
      <c r="X91" s="560"/>
      <c r="Y91" s="561"/>
      <c r="Z91" s="561"/>
      <c r="AA91" s="561"/>
      <c r="AB91" s="561"/>
      <c r="AC91" s="561"/>
      <c r="AD91" s="562"/>
      <c r="AF91" s="50"/>
    </row>
    <row r="92" spans="1:32" ht="30.75" customHeight="1">
      <c r="A92" s="535">
        <v>2</v>
      </c>
      <c r="B92" s="536"/>
      <c r="C92" s="570"/>
      <c r="D92" s="570"/>
      <c r="E92" s="570"/>
      <c r="F92" s="570"/>
      <c r="G92" s="570"/>
      <c r="H92" s="570"/>
      <c r="I92" s="570"/>
      <c r="J92" s="570"/>
      <c r="K92" s="570"/>
      <c r="L92" s="570"/>
      <c r="M92" s="570"/>
      <c r="N92" s="570"/>
      <c r="O92" s="570"/>
      <c r="P92" s="570"/>
      <c r="Q92" s="570"/>
      <c r="R92" s="570"/>
      <c r="S92" s="570"/>
      <c r="T92" s="571"/>
      <c r="U92" s="571"/>
      <c r="V92" s="572"/>
      <c r="W92" s="572"/>
      <c r="X92" s="572"/>
      <c r="Y92" s="563"/>
      <c r="Z92" s="563"/>
      <c r="AA92" s="563"/>
      <c r="AB92" s="563"/>
      <c r="AC92" s="563"/>
      <c r="AD92" s="564"/>
      <c r="AF92" s="50"/>
    </row>
    <row r="93" spans="1:32" ht="30.75" customHeight="1" thickBot="1">
      <c r="A93" s="565">
        <v>3</v>
      </c>
      <c r="B93" s="566"/>
      <c r="C93" s="567"/>
      <c r="D93" s="567"/>
      <c r="E93" s="567"/>
      <c r="F93" s="567"/>
      <c r="G93" s="567"/>
      <c r="H93" s="567"/>
      <c r="I93" s="567"/>
      <c r="J93" s="567"/>
      <c r="K93" s="567"/>
      <c r="L93" s="567"/>
      <c r="M93" s="567"/>
      <c r="N93" s="567"/>
      <c r="O93" s="567"/>
      <c r="P93" s="567"/>
      <c r="Q93" s="567"/>
      <c r="R93" s="567"/>
      <c r="S93" s="567"/>
      <c r="T93" s="567"/>
      <c r="U93" s="567"/>
      <c r="V93" s="573"/>
      <c r="W93" s="573"/>
      <c r="X93" s="573"/>
      <c r="Y93" s="568"/>
      <c r="Z93" s="568"/>
      <c r="AA93" s="568"/>
      <c r="AB93" s="568"/>
      <c r="AC93" s="568"/>
      <c r="AD93" s="569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3" max="29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88A6-61A5-49A0-971D-68593669356C}">
  <dimension ref="A1:AF94"/>
  <sheetViews>
    <sheetView view="pageBreakPreview" zoomScale="70" zoomScaleNormal="72" zoomScaleSheetLayoutView="70" workbookViewId="0">
      <selection activeCell="X14" sqref="X1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50" t="s">
        <v>558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1"/>
      <c r="B3" s="451"/>
      <c r="C3" s="451"/>
      <c r="D3" s="451"/>
      <c r="E3" s="451"/>
      <c r="F3" s="451"/>
      <c r="G3" s="45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52" t="s">
        <v>0</v>
      </c>
      <c r="B4" s="454" t="s">
        <v>1</v>
      </c>
      <c r="C4" s="454" t="s">
        <v>2</v>
      </c>
      <c r="D4" s="457" t="s">
        <v>3</v>
      </c>
      <c r="E4" s="459" t="s">
        <v>4</v>
      </c>
      <c r="F4" s="457" t="s">
        <v>5</v>
      </c>
      <c r="G4" s="454" t="s">
        <v>6</v>
      </c>
      <c r="H4" s="460" t="s">
        <v>7</v>
      </c>
      <c r="I4" s="480" t="s">
        <v>8</v>
      </c>
      <c r="J4" s="481"/>
      <c r="K4" s="481"/>
      <c r="L4" s="481"/>
      <c r="M4" s="481"/>
      <c r="N4" s="481"/>
      <c r="O4" s="482"/>
      <c r="P4" s="483" t="s">
        <v>9</v>
      </c>
      <c r="Q4" s="484"/>
      <c r="R4" s="486" t="s">
        <v>10</v>
      </c>
      <c r="S4" s="485"/>
      <c r="T4" s="485"/>
      <c r="U4" s="485"/>
      <c r="V4" s="487"/>
      <c r="W4" s="485" t="s">
        <v>11</v>
      </c>
      <c r="X4" s="485"/>
      <c r="Y4" s="485"/>
      <c r="Z4" s="485"/>
      <c r="AA4" s="487"/>
      <c r="AB4" s="488" t="s">
        <v>12</v>
      </c>
      <c r="AC4" s="462" t="s">
        <v>13</v>
      </c>
      <c r="AD4" s="462" t="s">
        <v>14</v>
      </c>
      <c r="AE4" s="54"/>
    </row>
    <row r="5" spans="1:32" ht="51" customHeight="1" thickBot="1">
      <c r="A5" s="453"/>
      <c r="B5" s="455"/>
      <c r="C5" s="456"/>
      <c r="D5" s="458"/>
      <c r="E5" s="458"/>
      <c r="F5" s="458"/>
      <c r="G5" s="455"/>
      <c r="H5" s="461"/>
      <c r="I5" s="55" t="s">
        <v>15</v>
      </c>
      <c r="J5" s="56" t="s">
        <v>16</v>
      </c>
      <c r="K5" s="368" t="s">
        <v>17</v>
      </c>
      <c r="L5" s="368" t="s">
        <v>18</v>
      </c>
      <c r="M5" s="368" t="s">
        <v>19</v>
      </c>
      <c r="N5" s="36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89"/>
      <c r="AC5" s="463"/>
      <c r="AD5" s="463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130</v>
      </c>
      <c r="E6" s="53" t="s">
        <v>536</v>
      </c>
      <c r="F6" s="30" t="s">
        <v>537</v>
      </c>
      <c r="G6" s="12">
        <v>1</v>
      </c>
      <c r="H6" s="13">
        <v>24</v>
      </c>
      <c r="I6" s="31">
        <v>1000</v>
      </c>
      <c r="J6" s="14">
        <v>3017</v>
      </c>
      <c r="K6" s="15">
        <f>L6+3017</f>
        <v>3017</v>
      </c>
      <c r="L6" s="15"/>
      <c r="M6" s="15">
        <f t="shared" ref="M6:M28" si="0">L6-N6</f>
        <v>0</v>
      </c>
      <c r="N6" s="15">
        <v>0</v>
      </c>
      <c r="O6" s="58" t="str">
        <f t="shared" ref="O6:O29" si="1">IF(L6=0,"0",N6/L6)</f>
        <v>0</v>
      </c>
      <c r="P6" s="39" t="str">
        <f t="shared" ref="P6:P28" si="2">IF(L6=0,"0",(24-Q6))</f>
        <v>0</v>
      </c>
      <c r="Q6" s="40">
        <f t="shared" ref="Q6:Q28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8" si="4">IF(J6=0,"0",(L6/J6))</f>
        <v>0</v>
      </c>
      <c r="AC6" s="9">
        <f t="shared" ref="AC6:AC28" si="5">IF(P6=0,"0",(P6/24))</f>
        <v>0</v>
      </c>
      <c r="AD6" s="10">
        <f t="shared" ref="AD6:AD28" si="6">AC6*AB6*(1-O6)</f>
        <v>0</v>
      </c>
      <c r="AE6" s="36">
        <f t="shared" ref="AE6:AE28" si="7">$AD$29</f>
        <v>0.45108695652173914</v>
      </c>
      <c r="AF6" s="84">
        <f t="shared" ref="AF6:AF28" si="8">A6</f>
        <v>1</v>
      </c>
    </row>
    <row r="7" spans="1:32" ht="27" customHeight="1">
      <c r="A7" s="112">
        <v>2</v>
      </c>
      <c r="B7" s="11" t="s">
        <v>57</v>
      </c>
      <c r="C7" s="34" t="s">
        <v>116</v>
      </c>
      <c r="D7" s="52" t="s">
        <v>150</v>
      </c>
      <c r="E7" s="53" t="s">
        <v>529</v>
      </c>
      <c r="F7" s="30" t="s">
        <v>135</v>
      </c>
      <c r="G7" s="12">
        <v>4</v>
      </c>
      <c r="H7" s="13">
        <v>24</v>
      </c>
      <c r="I7" s="31">
        <v>17000</v>
      </c>
      <c r="J7" s="14">
        <v>1252</v>
      </c>
      <c r="K7" s="15">
        <f>L7+18072</f>
        <v>19324</v>
      </c>
      <c r="L7" s="15">
        <f>313*4</f>
        <v>1252</v>
      </c>
      <c r="M7" s="15">
        <f t="shared" si="0"/>
        <v>1252</v>
      </c>
      <c r="N7" s="15">
        <v>0</v>
      </c>
      <c r="O7" s="58">
        <f t="shared" si="1"/>
        <v>0</v>
      </c>
      <c r="P7" s="39">
        <f t="shared" si="2"/>
        <v>4</v>
      </c>
      <c r="Q7" s="40">
        <f t="shared" si="3"/>
        <v>20</v>
      </c>
      <c r="R7" s="7"/>
      <c r="S7" s="6"/>
      <c r="T7" s="16"/>
      <c r="U7" s="16"/>
      <c r="V7" s="17"/>
      <c r="W7" s="5">
        <v>20</v>
      </c>
      <c r="X7" s="16"/>
      <c r="Y7" s="16"/>
      <c r="Z7" s="16"/>
      <c r="AA7" s="18"/>
      <c r="AB7" s="8">
        <f t="shared" si="4"/>
        <v>1</v>
      </c>
      <c r="AC7" s="9">
        <f t="shared" si="5"/>
        <v>0.16666666666666666</v>
      </c>
      <c r="AD7" s="10">
        <f t="shared" si="6"/>
        <v>0.16666666666666666</v>
      </c>
      <c r="AE7" s="36">
        <f t="shared" si="7"/>
        <v>0.45108695652173914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116</v>
      </c>
      <c r="D8" s="52" t="s">
        <v>124</v>
      </c>
      <c r="E8" s="53" t="s">
        <v>323</v>
      </c>
      <c r="F8" s="30" t="s">
        <v>134</v>
      </c>
      <c r="G8" s="12">
        <v>1</v>
      </c>
      <c r="H8" s="13">
        <v>24</v>
      </c>
      <c r="I8" s="7">
        <v>50000</v>
      </c>
      <c r="J8" s="14">
        <v>2610</v>
      </c>
      <c r="K8" s="15">
        <f>L8+2610</f>
        <v>2610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0.45108695652173914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241</v>
      </c>
      <c r="D9" s="52"/>
      <c r="E9" s="53" t="s">
        <v>383</v>
      </c>
      <c r="F9" s="30" t="s">
        <v>268</v>
      </c>
      <c r="G9" s="12">
        <v>2</v>
      </c>
      <c r="H9" s="13">
        <v>24</v>
      </c>
      <c r="I9" s="7">
        <v>38500</v>
      </c>
      <c r="J9" s="14">
        <v>11394</v>
      </c>
      <c r="K9" s="15">
        <f>L9+10102</f>
        <v>21496</v>
      </c>
      <c r="L9" s="15">
        <f>2591*2+3106*2</f>
        <v>11394</v>
      </c>
      <c r="M9" s="15">
        <f t="shared" si="0"/>
        <v>11394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0.45108695652173914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116</v>
      </c>
      <c r="D10" s="52" t="s">
        <v>123</v>
      </c>
      <c r="E10" s="53" t="s">
        <v>512</v>
      </c>
      <c r="F10" s="30" t="s">
        <v>520</v>
      </c>
      <c r="G10" s="33">
        <v>4</v>
      </c>
      <c r="H10" s="35">
        <v>24</v>
      </c>
      <c r="I10" s="7">
        <v>16500</v>
      </c>
      <c r="J10" s="14">
        <v>4374</v>
      </c>
      <c r="K10" s="15">
        <f>L10+12462</f>
        <v>16836</v>
      </c>
      <c r="L10" s="15">
        <f>1458*3</f>
        <v>4374</v>
      </c>
      <c r="M10" s="15">
        <f t="shared" si="0"/>
        <v>4374</v>
      </c>
      <c r="N10" s="15">
        <v>0</v>
      </c>
      <c r="O10" s="58">
        <f t="shared" si="1"/>
        <v>0</v>
      </c>
      <c r="P10" s="39">
        <f t="shared" si="2"/>
        <v>4</v>
      </c>
      <c r="Q10" s="40">
        <f t="shared" si="3"/>
        <v>20</v>
      </c>
      <c r="R10" s="7"/>
      <c r="S10" s="6"/>
      <c r="T10" s="16"/>
      <c r="U10" s="16"/>
      <c r="V10" s="17"/>
      <c r="W10" s="5">
        <v>20</v>
      </c>
      <c r="X10" s="16"/>
      <c r="Y10" s="16"/>
      <c r="Z10" s="16"/>
      <c r="AA10" s="18"/>
      <c r="AB10" s="8">
        <f t="shared" si="4"/>
        <v>1</v>
      </c>
      <c r="AC10" s="9">
        <f t="shared" si="5"/>
        <v>0.16666666666666666</v>
      </c>
      <c r="AD10" s="10">
        <f t="shared" si="6"/>
        <v>0.16666666666666666</v>
      </c>
      <c r="AE10" s="36">
        <f t="shared" si="7"/>
        <v>0.45108695652173914</v>
      </c>
      <c r="AF10" s="84">
        <f t="shared" si="8"/>
        <v>5</v>
      </c>
    </row>
    <row r="11" spans="1:32" ht="27" customHeight="1">
      <c r="A11" s="96">
        <v>5</v>
      </c>
      <c r="B11" s="11" t="s">
        <v>57</v>
      </c>
      <c r="C11" s="11" t="s">
        <v>241</v>
      </c>
      <c r="D11" s="52"/>
      <c r="E11" s="53" t="s">
        <v>408</v>
      </c>
      <c r="F11" s="30" t="s">
        <v>144</v>
      </c>
      <c r="G11" s="33">
        <v>2</v>
      </c>
      <c r="H11" s="35">
        <v>24</v>
      </c>
      <c r="I11" s="7">
        <v>38500</v>
      </c>
      <c r="J11" s="14">
        <v>8004</v>
      </c>
      <c r="K11" s="15">
        <f>L11</f>
        <v>8004</v>
      </c>
      <c r="L11" s="15">
        <f>802*2+3200*2</f>
        <v>8004</v>
      </c>
      <c r="M11" s="15">
        <f t="shared" ref="M11" si="9">L11-N11</f>
        <v>8004</v>
      </c>
      <c r="N11" s="15">
        <v>0</v>
      </c>
      <c r="O11" s="58">
        <f t="shared" ref="O11" si="10">IF(L11=0,"0",N11/L11)</f>
        <v>0</v>
      </c>
      <c r="P11" s="39">
        <f t="shared" ref="P11" si="11">IF(L11=0,"0",(24-Q11))</f>
        <v>18</v>
      </c>
      <c r="Q11" s="40">
        <f t="shared" ref="Q11" si="12">SUM(R11:AA11)</f>
        <v>6</v>
      </c>
      <c r="R11" s="7"/>
      <c r="S11" s="6"/>
      <c r="T11" s="16">
        <v>6</v>
      </c>
      <c r="U11" s="16"/>
      <c r="V11" s="17"/>
      <c r="W11" s="5"/>
      <c r="X11" s="16"/>
      <c r="Y11" s="16"/>
      <c r="Z11" s="16"/>
      <c r="AA11" s="18"/>
      <c r="AB11" s="8">
        <f t="shared" ref="AB11" si="13">IF(J11=0,"0",(L11/J11))</f>
        <v>1</v>
      </c>
      <c r="AC11" s="9">
        <f t="shared" ref="AC11" si="14">IF(P11=0,"0",(P11/24))</f>
        <v>0.75</v>
      </c>
      <c r="AD11" s="10">
        <f t="shared" ref="AD11" si="15">AC11*AB11*(1-O11)</f>
        <v>0.75</v>
      </c>
      <c r="AE11" s="36">
        <f t="shared" si="7"/>
        <v>0.45108695652173914</v>
      </c>
      <c r="AF11" s="84">
        <f t="shared" ref="AF11" si="16">A11</f>
        <v>5</v>
      </c>
    </row>
    <row r="12" spans="1:32" ht="27" customHeight="1">
      <c r="A12" s="96">
        <v>6</v>
      </c>
      <c r="B12" s="11" t="s">
        <v>57</v>
      </c>
      <c r="C12" s="11" t="s">
        <v>112</v>
      </c>
      <c r="D12" s="52" t="s">
        <v>124</v>
      </c>
      <c r="E12" s="53" t="s">
        <v>530</v>
      </c>
      <c r="F12" s="30" t="s">
        <v>131</v>
      </c>
      <c r="G12" s="33">
        <v>2</v>
      </c>
      <c r="H12" s="35">
        <v>24</v>
      </c>
      <c r="I12" s="7">
        <v>230000</v>
      </c>
      <c r="J12" s="14">
        <v>11864</v>
      </c>
      <c r="K12" s="15">
        <f>L12+10954</f>
        <v>22818</v>
      </c>
      <c r="L12" s="15">
        <f>2702*2+3230*2</f>
        <v>11864</v>
      </c>
      <c r="M12" s="15">
        <f t="shared" si="0"/>
        <v>11864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0.45108695652173914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116</v>
      </c>
      <c r="D13" s="52" t="s">
        <v>115</v>
      </c>
      <c r="E13" s="53" t="s">
        <v>403</v>
      </c>
      <c r="F13" s="30" t="s">
        <v>167</v>
      </c>
      <c r="G13" s="12">
        <v>1</v>
      </c>
      <c r="H13" s="13">
        <v>22</v>
      </c>
      <c r="I13" s="31">
        <v>80000</v>
      </c>
      <c r="J13" s="5">
        <v>5556</v>
      </c>
      <c r="K13" s="15">
        <f>L13+3050+5463+5497+6377+5244+5460+5580+5482+5489</f>
        <v>53198</v>
      </c>
      <c r="L13" s="15">
        <f>3047+2509</f>
        <v>5556</v>
      </c>
      <c r="M13" s="15">
        <f t="shared" si="0"/>
        <v>5556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0.45108695652173914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116</v>
      </c>
      <c r="D14" s="52" t="s">
        <v>124</v>
      </c>
      <c r="E14" s="53" t="s">
        <v>471</v>
      </c>
      <c r="F14" s="30" t="s">
        <v>131</v>
      </c>
      <c r="G14" s="33">
        <v>1</v>
      </c>
      <c r="H14" s="35">
        <v>24</v>
      </c>
      <c r="I14" s="7">
        <v>14000</v>
      </c>
      <c r="J14" s="14">
        <v>5274</v>
      </c>
      <c r="K14" s="15">
        <f>L14+4237+737+2704+4976</f>
        <v>17928</v>
      </c>
      <c r="L14" s="15">
        <f>2539+2735</f>
        <v>5274</v>
      </c>
      <c r="M14" s="15">
        <f t="shared" si="0"/>
        <v>5274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 t="shared" si="6"/>
        <v>1</v>
      </c>
      <c r="AE14" s="36">
        <f t="shared" si="7"/>
        <v>0.45108695652173914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459</v>
      </c>
      <c r="F15" s="30" t="s">
        <v>350</v>
      </c>
      <c r="G15" s="33">
        <v>1</v>
      </c>
      <c r="H15" s="35">
        <v>50</v>
      </c>
      <c r="I15" s="7">
        <v>500</v>
      </c>
      <c r="J15" s="5">
        <v>49</v>
      </c>
      <c r="K15" s="15">
        <f>L15+303+116+49</f>
        <v>468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0.45108695652173914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116</v>
      </c>
      <c r="D16" s="52" t="s">
        <v>123</v>
      </c>
      <c r="E16" s="53" t="s">
        <v>141</v>
      </c>
      <c r="F16" s="30" t="s">
        <v>135</v>
      </c>
      <c r="G16" s="12">
        <v>4</v>
      </c>
      <c r="H16" s="13">
        <v>24</v>
      </c>
      <c r="I16" s="31">
        <v>12000</v>
      </c>
      <c r="J16" s="14">
        <v>12356</v>
      </c>
      <c r="K16" s="15">
        <f>L16+12356</f>
        <v>12356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0.45108695652173914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143</v>
      </c>
      <c r="D17" s="52" t="s">
        <v>123</v>
      </c>
      <c r="E17" s="53" t="s">
        <v>248</v>
      </c>
      <c r="F17" s="30" t="s">
        <v>145</v>
      </c>
      <c r="G17" s="12">
        <v>3</v>
      </c>
      <c r="H17" s="13">
        <v>24</v>
      </c>
      <c r="I17" s="7">
        <v>470000</v>
      </c>
      <c r="J17" s="14">
        <v>18954</v>
      </c>
      <c r="K17" s="15">
        <f>L17+9738+18225</f>
        <v>46917</v>
      </c>
      <c r="L17" s="15">
        <f>3528*3+2790*3</f>
        <v>18954</v>
      </c>
      <c r="M17" s="15">
        <f t="shared" si="0"/>
        <v>18954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0.45108695652173914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143</v>
      </c>
      <c r="D18" s="52" t="s">
        <v>150</v>
      </c>
      <c r="E18" s="53" t="s">
        <v>445</v>
      </c>
      <c r="F18" s="30" t="s">
        <v>154</v>
      </c>
      <c r="G18" s="12">
        <v>4</v>
      </c>
      <c r="H18" s="13">
        <v>24</v>
      </c>
      <c r="I18" s="7">
        <v>1500</v>
      </c>
      <c r="J18" s="14">
        <v>2164</v>
      </c>
      <c r="K18" s="15">
        <f>L18+2164</f>
        <v>2164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0.45108695652173914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112</v>
      </c>
      <c r="D19" s="52" t="s">
        <v>115</v>
      </c>
      <c r="E19" s="53" t="s">
        <v>480</v>
      </c>
      <c r="F19" s="30" t="s">
        <v>350</v>
      </c>
      <c r="G19" s="33">
        <v>1</v>
      </c>
      <c r="H19" s="35">
        <v>24</v>
      </c>
      <c r="I19" s="7">
        <v>18000</v>
      </c>
      <c r="J19" s="14">
        <v>5124</v>
      </c>
      <c r="K19" s="15">
        <f>L19+3408+5170</f>
        <v>13702</v>
      </c>
      <c r="L19" s="15">
        <f>2261+2863</f>
        <v>5124</v>
      </c>
      <c r="M19" s="15">
        <f t="shared" si="0"/>
        <v>5124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0.45108695652173914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142</v>
      </c>
      <c r="E20" s="53" t="s">
        <v>161</v>
      </c>
      <c r="F20" s="30" t="s">
        <v>134</v>
      </c>
      <c r="G20" s="33">
        <v>1</v>
      </c>
      <c r="H20" s="35">
        <v>24</v>
      </c>
      <c r="I20" s="7">
        <v>54000</v>
      </c>
      <c r="J20" s="14">
        <v>5252</v>
      </c>
      <c r="K20" s="15">
        <f>L20+5079+5307+3503+1179+3568+5398+5390+5307+4716+2400+323+2119+4726</f>
        <v>54267</v>
      </c>
      <c r="L20" s="15">
        <f>2496+2756</f>
        <v>5252</v>
      </c>
      <c r="M20" s="15">
        <f t="shared" si="0"/>
        <v>5252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0.45108695652173914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112</v>
      </c>
      <c r="D21" s="52" t="s">
        <v>115</v>
      </c>
      <c r="E21" s="53" t="s">
        <v>521</v>
      </c>
      <c r="F21" s="30" t="s">
        <v>131</v>
      </c>
      <c r="G21" s="12">
        <v>2</v>
      </c>
      <c r="H21" s="13">
        <v>24</v>
      </c>
      <c r="I21" s="7">
        <v>230000</v>
      </c>
      <c r="J21" s="14">
        <v>9077</v>
      </c>
      <c r="K21" s="15">
        <f>L21+7008+11154</f>
        <v>27239</v>
      </c>
      <c r="L21" s="15">
        <f>2334*2+1608*2+1193</f>
        <v>9077</v>
      </c>
      <c r="M21" s="15">
        <f t="shared" si="0"/>
        <v>9077</v>
      </c>
      <c r="N21" s="15">
        <v>0</v>
      </c>
      <c r="O21" s="58">
        <f t="shared" si="1"/>
        <v>0</v>
      </c>
      <c r="P21" s="39">
        <f t="shared" si="2"/>
        <v>21</v>
      </c>
      <c r="Q21" s="40">
        <f t="shared" si="3"/>
        <v>3</v>
      </c>
      <c r="R21" s="7"/>
      <c r="S21" s="6">
        <v>3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0.875</v>
      </c>
      <c r="AD21" s="10">
        <f t="shared" si="6"/>
        <v>0.875</v>
      </c>
      <c r="AE21" s="36">
        <f t="shared" si="7"/>
        <v>0.45108695652173914</v>
      </c>
      <c r="AF21" s="84">
        <f t="shared" si="8"/>
        <v>15</v>
      </c>
    </row>
    <row r="22" spans="1:32" ht="27" customHeight="1">
      <c r="A22" s="96">
        <v>16</v>
      </c>
      <c r="B22" s="11" t="s">
        <v>57</v>
      </c>
      <c r="C22" s="11" t="s">
        <v>113</v>
      </c>
      <c r="D22" s="52"/>
      <c r="E22" s="53" t="s">
        <v>522</v>
      </c>
      <c r="F22" s="12" t="s">
        <v>114</v>
      </c>
      <c r="G22" s="12">
        <v>4</v>
      </c>
      <c r="H22" s="35">
        <v>20</v>
      </c>
      <c r="I22" s="7">
        <v>100000</v>
      </c>
      <c r="J22" s="14">
        <v>66272</v>
      </c>
      <c r="K22" s="15">
        <f>L22+66784+70476</f>
        <v>203532</v>
      </c>
      <c r="L22" s="15">
        <f>8058*4+8510*4</f>
        <v>66272</v>
      </c>
      <c r="M22" s="15">
        <f t="shared" si="0"/>
        <v>66272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0.45108695652173914</v>
      </c>
      <c r="AF22" s="84">
        <f t="shared" si="8"/>
        <v>16</v>
      </c>
    </row>
    <row r="23" spans="1:32" ht="27" customHeight="1">
      <c r="A23" s="96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0.45108695652173914</v>
      </c>
      <c r="AF23" s="84">
        <f t="shared" si="8"/>
        <v>31</v>
      </c>
    </row>
    <row r="24" spans="1:32" ht="27" customHeight="1">
      <c r="A24" s="96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0.45108695652173914</v>
      </c>
      <c r="AF24" s="84">
        <f t="shared" si="8"/>
        <v>32</v>
      </c>
    </row>
    <row r="25" spans="1:32" ht="27" customHeight="1">
      <c r="A25" s="96">
        <v>33</v>
      </c>
      <c r="B25" s="11" t="s">
        <v>57</v>
      </c>
      <c r="C25" s="11" t="s">
        <v>116</v>
      </c>
      <c r="D25" s="52" t="s">
        <v>150</v>
      </c>
      <c r="E25" s="53" t="s">
        <v>163</v>
      </c>
      <c r="F25" s="12" t="s">
        <v>145</v>
      </c>
      <c r="G25" s="12">
        <v>1</v>
      </c>
      <c r="H25" s="35">
        <v>20</v>
      </c>
      <c r="I25" s="7">
        <v>140000</v>
      </c>
      <c r="J25" s="14">
        <v>2652</v>
      </c>
      <c r="K25" s="15">
        <f>L25+4387+7770+5806+7905+7479+7369+7360+2397+6904+7208+7013+6976+6992</f>
        <v>88218</v>
      </c>
      <c r="L25" s="15">
        <v>2652</v>
      </c>
      <c r="M25" s="15">
        <f t="shared" si="0"/>
        <v>2652</v>
      </c>
      <c r="N25" s="15">
        <v>0</v>
      </c>
      <c r="O25" s="58">
        <f t="shared" si="1"/>
        <v>0</v>
      </c>
      <c r="P25" s="39">
        <f t="shared" si="2"/>
        <v>10</v>
      </c>
      <c r="Q25" s="40">
        <f t="shared" si="3"/>
        <v>14</v>
      </c>
      <c r="R25" s="7"/>
      <c r="S25" s="6">
        <v>14</v>
      </c>
      <c r="T25" s="16"/>
      <c r="U25" s="16"/>
      <c r="V25" s="206"/>
      <c r="W25" s="5"/>
      <c r="X25" s="16"/>
      <c r="Y25" s="16"/>
      <c r="Z25" s="16"/>
      <c r="AA25" s="18"/>
      <c r="AB25" s="8">
        <f t="shared" si="4"/>
        <v>1</v>
      </c>
      <c r="AC25" s="9">
        <f t="shared" si="5"/>
        <v>0.41666666666666669</v>
      </c>
      <c r="AD25" s="10">
        <f t="shared" si="6"/>
        <v>0.41666666666666669</v>
      </c>
      <c r="AE25" s="36">
        <f t="shared" si="7"/>
        <v>0.45108695652173914</v>
      </c>
      <c r="AF25" s="84">
        <f t="shared" si="8"/>
        <v>33</v>
      </c>
    </row>
    <row r="26" spans="1:32" ht="27" customHeight="1">
      <c r="A26" s="96">
        <v>34</v>
      </c>
      <c r="B26" s="11" t="s">
        <v>57</v>
      </c>
      <c r="C26" s="11" t="s">
        <v>116</v>
      </c>
      <c r="D26" s="52" t="s">
        <v>150</v>
      </c>
      <c r="E26" s="53" t="s">
        <v>165</v>
      </c>
      <c r="F26" s="12" t="s">
        <v>135</v>
      </c>
      <c r="G26" s="12">
        <v>4</v>
      </c>
      <c r="H26" s="35">
        <v>20</v>
      </c>
      <c r="I26" s="7">
        <v>240000</v>
      </c>
      <c r="J26" s="14">
        <v>9988</v>
      </c>
      <c r="K26" s="15">
        <f>L26+24768+29084+29040+29804+27780+4064+26996+28972+25428+29132+9988</f>
        <v>265056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206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0.45108695652173914</v>
      </c>
      <c r="AF26" s="84">
        <f t="shared" si="8"/>
        <v>34</v>
      </c>
    </row>
    <row r="27" spans="1:32" ht="27" customHeight="1">
      <c r="A27" s="96">
        <v>35</v>
      </c>
      <c r="B27" s="11" t="s">
        <v>57</v>
      </c>
      <c r="C27" s="11" t="s">
        <v>116</v>
      </c>
      <c r="D27" s="52" t="s">
        <v>123</v>
      </c>
      <c r="E27" s="53" t="s">
        <v>137</v>
      </c>
      <c r="F27" s="12" t="s">
        <v>135</v>
      </c>
      <c r="G27" s="12">
        <v>4</v>
      </c>
      <c r="H27" s="35">
        <v>20</v>
      </c>
      <c r="I27" s="7">
        <v>240000</v>
      </c>
      <c r="J27" s="14">
        <v>11600</v>
      </c>
      <c r="K27" s="15">
        <f>L27+25004+29968+31848+29672+31736+27000+29200+29420+29140+11600</f>
        <v>274588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206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0.45108695652173914</v>
      </c>
      <c r="AF27" s="84">
        <f t="shared" si="8"/>
        <v>35</v>
      </c>
    </row>
    <row r="28" spans="1:32" ht="27" customHeight="1" thickBot="1">
      <c r="A28" s="96">
        <v>36</v>
      </c>
      <c r="B28" s="11" t="s">
        <v>57</v>
      </c>
      <c r="C28" s="11" t="s">
        <v>380</v>
      </c>
      <c r="D28" s="52"/>
      <c r="E28" s="53" t="s">
        <v>381</v>
      </c>
      <c r="F28" s="12" t="s">
        <v>382</v>
      </c>
      <c r="G28" s="12">
        <v>32</v>
      </c>
      <c r="H28" s="35">
        <v>20</v>
      </c>
      <c r="I28" s="7">
        <v>700000</v>
      </c>
      <c r="J28" s="14">
        <v>89792</v>
      </c>
      <c r="K28" s="15">
        <f>L28+326528+448864+89792</f>
        <v>865184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206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6"/>
        <v>0</v>
      </c>
      <c r="AE28" s="36">
        <f t="shared" si="7"/>
        <v>0.45108695652173914</v>
      </c>
      <c r="AF28" s="84">
        <f t="shared" si="8"/>
        <v>36</v>
      </c>
    </row>
    <row r="29" spans="1:32" ht="31.5" customHeight="1" thickBot="1">
      <c r="A29" s="464" t="s">
        <v>34</v>
      </c>
      <c r="B29" s="465"/>
      <c r="C29" s="465"/>
      <c r="D29" s="465"/>
      <c r="E29" s="465"/>
      <c r="F29" s="465"/>
      <c r="G29" s="465"/>
      <c r="H29" s="466"/>
      <c r="I29" s="22">
        <f t="shared" ref="I29:N29" si="17">SUM(I6:I28)</f>
        <v>2691500</v>
      </c>
      <c r="J29" s="19">
        <f t="shared" si="17"/>
        <v>286625</v>
      </c>
      <c r="K29" s="20">
        <f t="shared" si="17"/>
        <v>2018922</v>
      </c>
      <c r="L29" s="21">
        <f t="shared" si="17"/>
        <v>155049</v>
      </c>
      <c r="M29" s="20">
        <f t="shared" si="17"/>
        <v>155049</v>
      </c>
      <c r="N29" s="21">
        <f t="shared" si="17"/>
        <v>0</v>
      </c>
      <c r="O29" s="41">
        <f t="shared" si="1"/>
        <v>0</v>
      </c>
      <c r="P29" s="42">
        <f t="shared" ref="P29:AA29" si="18">SUM(P6:P28)</f>
        <v>249</v>
      </c>
      <c r="Q29" s="43">
        <f t="shared" si="18"/>
        <v>303</v>
      </c>
      <c r="R29" s="23">
        <f t="shared" si="18"/>
        <v>0</v>
      </c>
      <c r="S29" s="24">
        <f t="shared" si="18"/>
        <v>65</v>
      </c>
      <c r="T29" s="24">
        <f t="shared" si="18"/>
        <v>6</v>
      </c>
      <c r="U29" s="24">
        <f t="shared" si="18"/>
        <v>0</v>
      </c>
      <c r="V29" s="25">
        <f t="shared" si="18"/>
        <v>48</v>
      </c>
      <c r="W29" s="26">
        <f t="shared" si="18"/>
        <v>184</v>
      </c>
      <c r="X29" s="27">
        <f t="shared" si="18"/>
        <v>0</v>
      </c>
      <c r="Y29" s="27">
        <f t="shared" si="18"/>
        <v>0</v>
      </c>
      <c r="Z29" s="27">
        <f t="shared" si="18"/>
        <v>0</v>
      </c>
      <c r="AA29" s="27">
        <f t="shared" si="18"/>
        <v>0</v>
      </c>
      <c r="AB29" s="28">
        <f>AVERAGE(AB6:AB28)</f>
        <v>0.61904761904761907</v>
      </c>
      <c r="AC29" s="4">
        <f>AVERAGE(AC6:AC28)</f>
        <v>0.45108695652173914</v>
      </c>
      <c r="AD29" s="4">
        <f>AVERAGE(AD6:AD28)</f>
        <v>0.45108695652173914</v>
      </c>
      <c r="AE29" s="29"/>
    </row>
    <row r="30" spans="1:32">
      <c r="T30" s="50" t="s">
        <v>157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160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5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467" t="s">
        <v>45</v>
      </c>
      <c r="B56" s="467"/>
      <c r="C56" s="467"/>
      <c r="D56" s="467"/>
      <c r="E56" s="467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468" t="s">
        <v>559</v>
      </c>
      <c r="B57" s="469"/>
      <c r="C57" s="469"/>
      <c r="D57" s="469"/>
      <c r="E57" s="469"/>
      <c r="F57" s="469"/>
      <c r="G57" s="469"/>
      <c r="H57" s="469"/>
      <c r="I57" s="469"/>
      <c r="J57" s="469"/>
      <c r="K57" s="469"/>
      <c r="L57" s="469"/>
      <c r="M57" s="470"/>
      <c r="N57" s="471" t="s">
        <v>562</v>
      </c>
      <c r="O57" s="472"/>
      <c r="P57" s="472"/>
      <c r="Q57" s="472"/>
      <c r="R57" s="472"/>
      <c r="S57" s="472"/>
      <c r="T57" s="472"/>
      <c r="U57" s="472"/>
      <c r="V57" s="472"/>
      <c r="W57" s="472"/>
      <c r="X57" s="472"/>
      <c r="Y57" s="472"/>
      <c r="Z57" s="472"/>
      <c r="AA57" s="472"/>
      <c r="AB57" s="472"/>
      <c r="AC57" s="472"/>
      <c r="AD57" s="473"/>
    </row>
    <row r="58" spans="1:32" ht="27" customHeight="1">
      <c r="A58" s="474" t="s">
        <v>2</v>
      </c>
      <c r="B58" s="475"/>
      <c r="C58" s="369" t="s">
        <v>46</v>
      </c>
      <c r="D58" s="369" t="s">
        <v>47</v>
      </c>
      <c r="E58" s="369" t="s">
        <v>107</v>
      </c>
      <c r="F58" s="476" t="s">
        <v>106</v>
      </c>
      <c r="G58" s="477"/>
      <c r="H58" s="477"/>
      <c r="I58" s="477"/>
      <c r="J58" s="477"/>
      <c r="K58" s="477"/>
      <c r="L58" s="477"/>
      <c r="M58" s="478"/>
      <c r="N58" s="67" t="s">
        <v>110</v>
      </c>
      <c r="O58" s="369" t="s">
        <v>46</v>
      </c>
      <c r="P58" s="476" t="s">
        <v>47</v>
      </c>
      <c r="Q58" s="479"/>
      <c r="R58" s="476" t="s">
        <v>38</v>
      </c>
      <c r="S58" s="477"/>
      <c r="T58" s="477"/>
      <c r="U58" s="479"/>
      <c r="V58" s="476" t="s">
        <v>48</v>
      </c>
      <c r="W58" s="477"/>
      <c r="X58" s="477"/>
      <c r="Y58" s="477"/>
      <c r="Z58" s="477"/>
      <c r="AA58" s="477"/>
      <c r="AB58" s="477"/>
      <c r="AC58" s="477"/>
      <c r="AD58" s="478"/>
    </row>
    <row r="59" spans="1:32" ht="27" customHeight="1">
      <c r="A59" s="500" t="s">
        <v>116</v>
      </c>
      <c r="B59" s="501"/>
      <c r="C59" s="372" t="s">
        <v>193</v>
      </c>
      <c r="D59" s="372" t="s">
        <v>140</v>
      </c>
      <c r="E59" s="371" t="s">
        <v>323</v>
      </c>
      <c r="F59" s="492" t="s">
        <v>560</v>
      </c>
      <c r="G59" s="493"/>
      <c r="H59" s="493"/>
      <c r="I59" s="493"/>
      <c r="J59" s="493"/>
      <c r="K59" s="493"/>
      <c r="L59" s="493"/>
      <c r="M59" s="494"/>
      <c r="N59" s="370" t="s">
        <v>241</v>
      </c>
      <c r="O59" s="377" t="s">
        <v>239</v>
      </c>
      <c r="P59" s="495"/>
      <c r="Q59" s="496"/>
      <c r="R59" s="495" t="s">
        <v>325</v>
      </c>
      <c r="S59" s="497"/>
      <c r="T59" s="497"/>
      <c r="U59" s="496"/>
      <c r="V59" s="498" t="s">
        <v>125</v>
      </c>
      <c r="W59" s="498"/>
      <c r="X59" s="498"/>
      <c r="Y59" s="498"/>
      <c r="Z59" s="498"/>
      <c r="AA59" s="498"/>
      <c r="AB59" s="498"/>
      <c r="AC59" s="498"/>
      <c r="AD59" s="499"/>
    </row>
    <row r="60" spans="1:32" ht="27" customHeight="1">
      <c r="A60" s="500" t="s">
        <v>241</v>
      </c>
      <c r="B60" s="501"/>
      <c r="C60" s="372" t="s">
        <v>277</v>
      </c>
      <c r="D60" s="372"/>
      <c r="E60" s="371" t="s">
        <v>408</v>
      </c>
      <c r="F60" s="492" t="s">
        <v>125</v>
      </c>
      <c r="G60" s="493"/>
      <c r="H60" s="493"/>
      <c r="I60" s="493"/>
      <c r="J60" s="493"/>
      <c r="K60" s="493"/>
      <c r="L60" s="493"/>
      <c r="M60" s="494"/>
      <c r="N60" s="370" t="s">
        <v>116</v>
      </c>
      <c r="O60" s="377" t="s">
        <v>193</v>
      </c>
      <c r="P60" s="495" t="s">
        <v>140</v>
      </c>
      <c r="Q60" s="496"/>
      <c r="R60" s="495" t="s">
        <v>323</v>
      </c>
      <c r="S60" s="497"/>
      <c r="T60" s="497"/>
      <c r="U60" s="496"/>
      <c r="V60" s="498" t="s">
        <v>120</v>
      </c>
      <c r="W60" s="498"/>
      <c r="X60" s="498"/>
      <c r="Y60" s="498"/>
      <c r="Z60" s="498"/>
      <c r="AA60" s="498"/>
      <c r="AB60" s="498"/>
      <c r="AC60" s="498"/>
      <c r="AD60" s="499"/>
    </row>
    <row r="61" spans="1:32" ht="27" customHeight="1">
      <c r="A61" s="500" t="s">
        <v>112</v>
      </c>
      <c r="B61" s="501"/>
      <c r="C61" s="372" t="s">
        <v>129</v>
      </c>
      <c r="D61" s="372" t="s">
        <v>115</v>
      </c>
      <c r="E61" s="371" t="s">
        <v>521</v>
      </c>
      <c r="F61" s="492" t="s">
        <v>561</v>
      </c>
      <c r="G61" s="493"/>
      <c r="H61" s="493"/>
      <c r="I61" s="493"/>
      <c r="J61" s="493"/>
      <c r="K61" s="493"/>
      <c r="L61" s="493"/>
      <c r="M61" s="494"/>
      <c r="N61" s="370" t="s">
        <v>203</v>
      </c>
      <c r="O61" s="377" t="s">
        <v>239</v>
      </c>
      <c r="P61" s="495" t="s">
        <v>115</v>
      </c>
      <c r="Q61" s="496"/>
      <c r="R61" s="495" t="s">
        <v>511</v>
      </c>
      <c r="S61" s="497"/>
      <c r="T61" s="497"/>
      <c r="U61" s="496"/>
      <c r="V61" s="498" t="s">
        <v>125</v>
      </c>
      <c r="W61" s="498"/>
      <c r="X61" s="498"/>
      <c r="Y61" s="498"/>
      <c r="Z61" s="498"/>
      <c r="AA61" s="498"/>
      <c r="AB61" s="498"/>
      <c r="AC61" s="498"/>
      <c r="AD61" s="499"/>
    </row>
    <row r="62" spans="1:32" ht="27" customHeight="1">
      <c r="A62" s="500"/>
      <c r="B62" s="501"/>
      <c r="C62" s="372"/>
      <c r="D62" s="372"/>
      <c r="E62" s="371"/>
      <c r="F62" s="492"/>
      <c r="G62" s="493"/>
      <c r="H62" s="493"/>
      <c r="I62" s="493"/>
      <c r="J62" s="493"/>
      <c r="K62" s="493"/>
      <c r="L62" s="493"/>
      <c r="M62" s="494"/>
      <c r="N62" s="370" t="s">
        <v>112</v>
      </c>
      <c r="O62" s="377" t="s">
        <v>259</v>
      </c>
      <c r="P62" s="495" t="s">
        <v>115</v>
      </c>
      <c r="Q62" s="496"/>
      <c r="R62" s="495" t="s">
        <v>563</v>
      </c>
      <c r="S62" s="497"/>
      <c r="T62" s="497"/>
      <c r="U62" s="496"/>
      <c r="V62" s="498" t="s">
        <v>125</v>
      </c>
      <c r="W62" s="498"/>
      <c r="X62" s="498"/>
      <c r="Y62" s="498"/>
      <c r="Z62" s="498"/>
      <c r="AA62" s="498"/>
      <c r="AB62" s="498"/>
      <c r="AC62" s="498"/>
      <c r="AD62" s="499"/>
    </row>
    <row r="63" spans="1:32" ht="27" customHeight="1">
      <c r="A63" s="490"/>
      <c r="B63" s="491"/>
      <c r="C63" s="371"/>
      <c r="D63" s="371"/>
      <c r="E63" s="371"/>
      <c r="F63" s="492"/>
      <c r="G63" s="493"/>
      <c r="H63" s="493"/>
      <c r="I63" s="493"/>
      <c r="J63" s="493"/>
      <c r="K63" s="493"/>
      <c r="L63" s="493"/>
      <c r="M63" s="494"/>
      <c r="N63" s="370" t="s">
        <v>112</v>
      </c>
      <c r="O63" s="377" t="s">
        <v>132</v>
      </c>
      <c r="P63" s="495" t="s">
        <v>130</v>
      </c>
      <c r="Q63" s="496"/>
      <c r="R63" s="495" t="s">
        <v>564</v>
      </c>
      <c r="S63" s="497"/>
      <c r="T63" s="497"/>
      <c r="U63" s="496"/>
      <c r="V63" s="498" t="s">
        <v>125</v>
      </c>
      <c r="W63" s="498"/>
      <c r="X63" s="498"/>
      <c r="Y63" s="498"/>
      <c r="Z63" s="498"/>
      <c r="AA63" s="498"/>
      <c r="AB63" s="498"/>
      <c r="AC63" s="498"/>
      <c r="AD63" s="499"/>
    </row>
    <row r="64" spans="1:32" ht="27" customHeight="1">
      <c r="A64" s="490"/>
      <c r="B64" s="491"/>
      <c r="C64" s="371"/>
      <c r="D64" s="371"/>
      <c r="E64" s="371"/>
      <c r="F64" s="492"/>
      <c r="G64" s="493"/>
      <c r="H64" s="493"/>
      <c r="I64" s="493"/>
      <c r="J64" s="493"/>
      <c r="K64" s="493"/>
      <c r="L64" s="493"/>
      <c r="M64" s="494"/>
      <c r="N64" s="370" t="s">
        <v>113</v>
      </c>
      <c r="O64" s="377" t="s">
        <v>390</v>
      </c>
      <c r="P64" s="495"/>
      <c r="Q64" s="496"/>
      <c r="R64" s="495" t="s">
        <v>139</v>
      </c>
      <c r="S64" s="497"/>
      <c r="T64" s="497"/>
      <c r="U64" s="496"/>
      <c r="V64" s="498" t="s">
        <v>125</v>
      </c>
      <c r="W64" s="498"/>
      <c r="X64" s="498"/>
      <c r="Y64" s="498"/>
      <c r="Z64" s="498"/>
      <c r="AA64" s="498"/>
      <c r="AB64" s="498"/>
      <c r="AC64" s="498"/>
      <c r="AD64" s="499"/>
    </row>
    <row r="65" spans="1:32" ht="27" customHeight="1">
      <c r="A65" s="490"/>
      <c r="B65" s="491"/>
      <c r="C65" s="371"/>
      <c r="D65" s="371"/>
      <c r="E65" s="371"/>
      <c r="F65" s="492"/>
      <c r="G65" s="493"/>
      <c r="H65" s="493"/>
      <c r="I65" s="493"/>
      <c r="J65" s="493"/>
      <c r="K65" s="493"/>
      <c r="L65" s="493"/>
      <c r="M65" s="494"/>
      <c r="N65" s="370"/>
      <c r="O65" s="377"/>
      <c r="P65" s="495"/>
      <c r="Q65" s="496"/>
      <c r="R65" s="495"/>
      <c r="S65" s="497"/>
      <c r="T65" s="497"/>
      <c r="U65" s="496"/>
      <c r="V65" s="498"/>
      <c r="W65" s="498"/>
      <c r="X65" s="498"/>
      <c r="Y65" s="498"/>
      <c r="Z65" s="498"/>
      <c r="AA65" s="498"/>
      <c r="AB65" s="498"/>
      <c r="AC65" s="498"/>
      <c r="AD65" s="499"/>
    </row>
    <row r="66" spans="1:32" ht="27" customHeight="1">
      <c r="A66" s="500"/>
      <c r="B66" s="501"/>
      <c r="C66" s="372"/>
      <c r="D66" s="372"/>
      <c r="E66" s="371"/>
      <c r="F66" s="492"/>
      <c r="G66" s="493"/>
      <c r="H66" s="493"/>
      <c r="I66" s="493"/>
      <c r="J66" s="493"/>
      <c r="K66" s="493"/>
      <c r="L66" s="493"/>
      <c r="M66" s="494"/>
      <c r="N66" s="370"/>
      <c r="O66" s="377"/>
      <c r="P66" s="495"/>
      <c r="Q66" s="496"/>
      <c r="R66" s="495"/>
      <c r="S66" s="497"/>
      <c r="T66" s="497"/>
      <c r="U66" s="496"/>
      <c r="V66" s="498"/>
      <c r="W66" s="498"/>
      <c r="X66" s="498"/>
      <c r="Y66" s="498"/>
      <c r="Z66" s="498"/>
      <c r="AA66" s="498"/>
      <c r="AB66" s="498"/>
      <c r="AC66" s="498"/>
      <c r="AD66" s="499"/>
    </row>
    <row r="67" spans="1:32" ht="27" customHeight="1">
      <c r="A67" s="500"/>
      <c r="B67" s="501"/>
      <c r="C67" s="372"/>
      <c r="D67" s="372"/>
      <c r="E67" s="371"/>
      <c r="F67" s="492"/>
      <c r="G67" s="493"/>
      <c r="H67" s="493"/>
      <c r="I67" s="493"/>
      <c r="J67" s="493"/>
      <c r="K67" s="493"/>
      <c r="L67" s="493"/>
      <c r="M67" s="494"/>
      <c r="N67" s="370"/>
      <c r="O67" s="377"/>
      <c r="P67" s="491"/>
      <c r="Q67" s="491"/>
      <c r="R67" s="491"/>
      <c r="S67" s="491"/>
      <c r="T67" s="491"/>
      <c r="U67" s="491"/>
      <c r="V67" s="498"/>
      <c r="W67" s="498"/>
      <c r="X67" s="498"/>
      <c r="Y67" s="498"/>
      <c r="Z67" s="498"/>
      <c r="AA67" s="498"/>
      <c r="AB67" s="498"/>
      <c r="AC67" s="498"/>
      <c r="AD67" s="499"/>
      <c r="AF67" s="84">
        <f>8*3000</f>
        <v>24000</v>
      </c>
    </row>
    <row r="68" spans="1:32" ht="27" customHeight="1" thickBot="1">
      <c r="A68" s="502"/>
      <c r="B68" s="503"/>
      <c r="C68" s="373"/>
      <c r="D68" s="374"/>
      <c r="E68" s="373"/>
      <c r="F68" s="504"/>
      <c r="G68" s="505"/>
      <c r="H68" s="505"/>
      <c r="I68" s="505"/>
      <c r="J68" s="505"/>
      <c r="K68" s="505"/>
      <c r="L68" s="505"/>
      <c r="M68" s="506"/>
      <c r="N68" s="111"/>
      <c r="O68" s="103"/>
      <c r="P68" s="507"/>
      <c r="Q68" s="507"/>
      <c r="R68" s="507"/>
      <c r="S68" s="507"/>
      <c r="T68" s="507"/>
      <c r="U68" s="507"/>
      <c r="V68" s="508"/>
      <c r="W68" s="508"/>
      <c r="X68" s="508"/>
      <c r="Y68" s="508"/>
      <c r="Z68" s="508"/>
      <c r="AA68" s="508"/>
      <c r="AB68" s="508"/>
      <c r="AC68" s="508"/>
      <c r="AD68" s="509"/>
      <c r="AF68" s="84">
        <f>16*3000</f>
        <v>48000</v>
      </c>
    </row>
    <row r="69" spans="1:32" ht="27.75" thickBot="1">
      <c r="A69" s="510" t="s">
        <v>565</v>
      </c>
      <c r="B69" s="510"/>
      <c r="C69" s="510"/>
      <c r="D69" s="510"/>
      <c r="E69" s="510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4">
        <v>24000</v>
      </c>
    </row>
    <row r="70" spans="1:32" ht="29.25" customHeight="1" thickBot="1">
      <c r="A70" s="511" t="s">
        <v>111</v>
      </c>
      <c r="B70" s="512"/>
      <c r="C70" s="375" t="s">
        <v>2</v>
      </c>
      <c r="D70" s="375" t="s">
        <v>37</v>
      </c>
      <c r="E70" s="375" t="s">
        <v>3</v>
      </c>
      <c r="F70" s="512" t="s">
        <v>109</v>
      </c>
      <c r="G70" s="512"/>
      <c r="H70" s="512"/>
      <c r="I70" s="512"/>
      <c r="J70" s="512"/>
      <c r="K70" s="512" t="s">
        <v>39</v>
      </c>
      <c r="L70" s="512"/>
      <c r="M70" s="375" t="s">
        <v>40</v>
      </c>
      <c r="N70" s="512" t="s">
        <v>41</v>
      </c>
      <c r="O70" s="512"/>
      <c r="P70" s="513" t="s">
        <v>42</v>
      </c>
      <c r="Q70" s="514"/>
      <c r="R70" s="513" t="s">
        <v>43</v>
      </c>
      <c r="S70" s="515"/>
      <c r="T70" s="515"/>
      <c r="U70" s="515"/>
      <c r="V70" s="515"/>
      <c r="W70" s="515"/>
      <c r="X70" s="515"/>
      <c r="Y70" s="515"/>
      <c r="Z70" s="515"/>
      <c r="AA70" s="514"/>
      <c r="AB70" s="512" t="s">
        <v>44</v>
      </c>
      <c r="AC70" s="512"/>
      <c r="AD70" s="516"/>
      <c r="AF70" s="84">
        <f>SUM(AF67:AF69)</f>
        <v>96000</v>
      </c>
    </row>
    <row r="71" spans="1:32" ht="25.5" customHeight="1">
      <c r="A71" s="517">
        <v>1</v>
      </c>
      <c r="B71" s="518"/>
      <c r="C71" s="104" t="s">
        <v>116</v>
      </c>
      <c r="D71" s="379"/>
      <c r="E71" s="376" t="s">
        <v>130</v>
      </c>
      <c r="F71" s="519" t="s">
        <v>566</v>
      </c>
      <c r="G71" s="520"/>
      <c r="H71" s="520"/>
      <c r="I71" s="520"/>
      <c r="J71" s="521"/>
      <c r="K71" s="522" t="s">
        <v>567</v>
      </c>
      <c r="L71" s="522"/>
      <c r="M71" s="51" t="s">
        <v>178</v>
      </c>
      <c r="N71" s="523" t="s">
        <v>169</v>
      </c>
      <c r="O71" s="523"/>
      <c r="P71" s="524">
        <v>50</v>
      </c>
      <c r="Q71" s="524"/>
      <c r="R71" s="498"/>
      <c r="S71" s="498"/>
      <c r="T71" s="498"/>
      <c r="U71" s="498"/>
      <c r="V71" s="498"/>
      <c r="W71" s="498"/>
      <c r="X71" s="498"/>
      <c r="Y71" s="498"/>
      <c r="Z71" s="498"/>
      <c r="AA71" s="498"/>
      <c r="AB71" s="522"/>
      <c r="AC71" s="522"/>
      <c r="AD71" s="525"/>
      <c r="AF71" s="50"/>
    </row>
    <row r="72" spans="1:32" ht="25.5" customHeight="1">
      <c r="A72" s="517">
        <v>2</v>
      </c>
      <c r="B72" s="518"/>
      <c r="C72" s="104"/>
      <c r="D72" s="379"/>
      <c r="E72" s="376"/>
      <c r="F72" s="519"/>
      <c r="G72" s="520"/>
      <c r="H72" s="520"/>
      <c r="I72" s="520"/>
      <c r="J72" s="521"/>
      <c r="K72" s="522"/>
      <c r="L72" s="522"/>
      <c r="M72" s="51"/>
      <c r="N72" s="523"/>
      <c r="O72" s="523"/>
      <c r="P72" s="524"/>
      <c r="Q72" s="524"/>
      <c r="R72" s="498"/>
      <c r="S72" s="498"/>
      <c r="T72" s="498"/>
      <c r="U72" s="498"/>
      <c r="V72" s="498"/>
      <c r="W72" s="498"/>
      <c r="X72" s="498"/>
      <c r="Y72" s="498"/>
      <c r="Z72" s="498"/>
      <c r="AA72" s="498"/>
      <c r="AB72" s="522"/>
      <c r="AC72" s="522"/>
      <c r="AD72" s="525"/>
      <c r="AF72" s="50"/>
    </row>
    <row r="73" spans="1:32" ht="25.5" customHeight="1">
      <c r="A73" s="517">
        <v>3</v>
      </c>
      <c r="B73" s="518"/>
      <c r="C73" s="104"/>
      <c r="D73" s="379"/>
      <c r="E73" s="376"/>
      <c r="F73" s="519"/>
      <c r="G73" s="520"/>
      <c r="H73" s="520"/>
      <c r="I73" s="520"/>
      <c r="J73" s="521"/>
      <c r="K73" s="522"/>
      <c r="L73" s="522"/>
      <c r="M73" s="51"/>
      <c r="N73" s="523"/>
      <c r="O73" s="523"/>
      <c r="P73" s="524"/>
      <c r="Q73" s="524"/>
      <c r="R73" s="498"/>
      <c r="S73" s="498"/>
      <c r="T73" s="498"/>
      <c r="U73" s="498"/>
      <c r="V73" s="498"/>
      <c r="W73" s="498"/>
      <c r="X73" s="498"/>
      <c r="Y73" s="498"/>
      <c r="Z73" s="498"/>
      <c r="AA73" s="498"/>
      <c r="AB73" s="522"/>
      <c r="AC73" s="522"/>
      <c r="AD73" s="525"/>
      <c r="AF73" s="50"/>
    </row>
    <row r="74" spans="1:32" ht="25.5" customHeight="1">
      <c r="A74" s="517">
        <v>4</v>
      </c>
      <c r="B74" s="518"/>
      <c r="C74" s="104"/>
      <c r="D74" s="379"/>
      <c r="E74" s="376"/>
      <c r="F74" s="519"/>
      <c r="G74" s="520"/>
      <c r="H74" s="520"/>
      <c r="I74" s="520"/>
      <c r="J74" s="521"/>
      <c r="K74" s="522"/>
      <c r="L74" s="522"/>
      <c r="M74" s="51"/>
      <c r="N74" s="523"/>
      <c r="O74" s="523"/>
      <c r="P74" s="524"/>
      <c r="Q74" s="524"/>
      <c r="R74" s="498"/>
      <c r="S74" s="498"/>
      <c r="T74" s="498"/>
      <c r="U74" s="498"/>
      <c r="V74" s="498"/>
      <c r="W74" s="498"/>
      <c r="X74" s="498"/>
      <c r="Y74" s="498"/>
      <c r="Z74" s="498"/>
      <c r="AA74" s="498"/>
      <c r="AB74" s="522"/>
      <c r="AC74" s="522"/>
      <c r="AD74" s="525"/>
      <c r="AF74" s="50"/>
    </row>
    <row r="75" spans="1:32" ht="25.5" customHeight="1">
      <c r="A75" s="517">
        <v>5</v>
      </c>
      <c r="B75" s="518"/>
      <c r="C75" s="104"/>
      <c r="D75" s="379"/>
      <c r="E75" s="376"/>
      <c r="F75" s="519"/>
      <c r="G75" s="520"/>
      <c r="H75" s="520"/>
      <c r="I75" s="520"/>
      <c r="J75" s="521"/>
      <c r="K75" s="522"/>
      <c r="L75" s="522"/>
      <c r="M75" s="51"/>
      <c r="N75" s="523"/>
      <c r="O75" s="523"/>
      <c r="P75" s="524"/>
      <c r="Q75" s="524"/>
      <c r="R75" s="498"/>
      <c r="S75" s="498"/>
      <c r="T75" s="498"/>
      <c r="U75" s="498"/>
      <c r="V75" s="498"/>
      <c r="W75" s="498"/>
      <c r="X75" s="498"/>
      <c r="Y75" s="498"/>
      <c r="Z75" s="498"/>
      <c r="AA75" s="498"/>
      <c r="AB75" s="522"/>
      <c r="AC75" s="522"/>
      <c r="AD75" s="525"/>
      <c r="AF75" s="50"/>
    </row>
    <row r="76" spans="1:32" ht="25.5" customHeight="1">
      <c r="A76" s="517">
        <v>6</v>
      </c>
      <c r="B76" s="518"/>
      <c r="C76" s="104"/>
      <c r="D76" s="379"/>
      <c r="E76" s="376"/>
      <c r="F76" s="519"/>
      <c r="G76" s="520"/>
      <c r="H76" s="520"/>
      <c r="I76" s="520"/>
      <c r="J76" s="521"/>
      <c r="K76" s="522"/>
      <c r="L76" s="522"/>
      <c r="M76" s="51"/>
      <c r="N76" s="523"/>
      <c r="O76" s="523"/>
      <c r="P76" s="524"/>
      <c r="Q76" s="524"/>
      <c r="R76" s="498"/>
      <c r="S76" s="498"/>
      <c r="T76" s="498"/>
      <c r="U76" s="498"/>
      <c r="V76" s="498"/>
      <c r="W76" s="498"/>
      <c r="X76" s="498"/>
      <c r="Y76" s="498"/>
      <c r="Z76" s="498"/>
      <c r="AA76" s="498"/>
      <c r="AB76" s="522"/>
      <c r="AC76" s="522"/>
      <c r="AD76" s="525"/>
      <c r="AF76" s="50"/>
    </row>
    <row r="77" spans="1:32" ht="25.5" customHeight="1">
      <c r="A77" s="517">
        <v>7</v>
      </c>
      <c r="B77" s="518"/>
      <c r="C77" s="104"/>
      <c r="D77" s="379"/>
      <c r="E77" s="376"/>
      <c r="F77" s="519"/>
      <c r="G77" s="520"/>
      <c r="H77" s="520"/>
      <c r="I77" s="520"/>
      <c r="J77" s="521"/>
      <c r="K77" s="522"/>
      <c r="L77" s="522"/>
      <c r="M77" s="51"/>
      <c r="N77" s="523"/>
      <c r="O77" s="523"/>
      <c r="P77" s="524"/>
      <c r="Q77" s="524"/>
      <c r="R77" s="498"/>
      <c r="S77" s="498"/>
      <c r="T77" s="498"/>
      <c r="U77" s="498"/>
      <c r="V77" s="498"/>
      <c r="W77" s="498"/>
      <c r="X77" s="498"/>
      <c r="Y77" s="498"/>
      <c r="Z77" s="498"/>
      <c r="AA77" s="498"/>
      <c r="AB77" s="522"/>
      <c r="AC77" s="522"/>
      <c r="AD77" s="525"/>
      <c r="AF77" s="50"/>
    </row>
    <row r="78" spans="1:32" ht="25.5" customHeight="1">
      <c r="A78" s="517">
        <v>8</v>
      </c>
      <c r="B78" s="518"/>
      <c r="C78" s="104"/>
      <c r="D78" s="379"/>
      <c r="E78" s="376"/>
      <c r="F78" s="526"/>
      <c r="G78" s="522"/>
      <c r="H78" s="522"/>
      <c r="I78" s="522"/>
      <c r="J78" s="522"/>
      <c r="K78" s="522"/>
      <c r="L78" s="522"/>
      <c r="M78" s="51"/>
      <c r="N78" s="523"/>
      <c r="O78" s="523"/>
      <c r="P78" s="524"/>
      <c r="Q78" s="524"/>
      <c r="R78" s="498"/>
      <c r="S78" s="498"/>
      <c r="T78" s="498"/>
      <c r="U78" s="498"/>
      <c r="V78" s="498"/>
      <c r="W78" s="498"/>
      <c r="X78" s="498"/>
      <c r="Y78" s="498"/>
      <c r="Z78" s="498"/>
      <c r="AA78" s="498"/>
      <c r="AB78" s="522"/>
      <c r="AC78" s="522"/>
      <c r="AD78" s="525"/>
      <c r="AF78" s="50"/>
    </row>
    <row r="79" spans="1:32" ht="25.5" customHeight="1">
      <c r="A79" s="517">
        <v>9</v>
      </c>
      <c r="B79" s="518"/>
      <c r="C79" s="104"/>
      <c r="D79" s="379"/>
      <c r="E79" s="376"/>
      <c r="F79" s="526"/>
      <c r="G79" s="522"/>
      <c r="H79" s="522"/>
      <c r="I79" s="522"/>
      <c r="J79" s="522"/>
      <c r="K79" s="522"/>
      <c r="L79" s="522"/>
      <c r="M79" s="51"/>
      <c r="N79" s="523"/>
      <c r="O79" s="523"/>
      <c r="P79" s="524"/>
      <c r="Q79" s="524"/>
      <c r="R79" s="498"/>
      <c r="S79" s="498"/>
      <c r="T79" s="498"/>
      <c r="U79" s="498"/>
      <c r="V79" s="498"/>
      <c r="W79" s="498"/>
      <c r="X79" s="498"/>
      <c r="Y79" s="498"/>
      <c r="Z79" s="498"/>
      <c r="AA79" s="498"/>
      <c r="AB79" s="522"/>
      <c r="AC79" s="522"/>
      <c r="AD79" s="525"/>
      <c r="AF79" s="50"/>
    </row>
    <row r="80" spans="1:32" ht="25.5" customHeight="1">
      <c r="A80" s="517">
        <v>10</v>
      </c>
      <c r="B80" s="518"/>
      <c r="C80" s="104"/>
      <c r="D80" s="379"/>
      <c r="E80" s="376"/>
      <c r="F80" s="526"/>
      <c r="G80" s="522"/>
      <c r="H80" s="522"/>
      <c r="I80" s="522"/>
      <c r="J80" s="522"/>
      <c r="K80" s="522"/>
      <c r="L80" s="522"/>
      <c r="M80" s="51"/>
      <c r="N80" s="523"/>
      <c r="O80" s="523"/>
      <c r="P80" s="524"/>
      <c r="Q80" s="524"/>
      <c r="R80" s="498"/>
      <c r="S80" s="498"/>
      <c r="T80" s="498"/>
      <c r="U80" s="498"/>
      <c r="V80" s="498"/>
      <c r="W80" s="498"/>
      <c r="X80" s="498"/>
      <c r="Y80" s="498"/>
      <c r="Z80" s="498"/>
      <c r="AA80" s="498"/>
      <c r="AB80" s="522"/>
      <c r="AC80" s="522"/>
      <c r="AD80" s="525"/>
      <c r="AF80" s="50"/>
    </row>
    <row r="81" spans="1:32" ht="26.25" customHeight="1" thickBot="1">
      <c r="A81" s="527" t="s">
        <v>568</v>
      </c>
      <c r="B81" s="527"/>
      <c r="C81" s="527"/>
      <c r="D81" s="527"/>
      <c r="E81" s="527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528" t="s">
        <v>111</v>
      </c>
      <c r="B82" s="529"/>
      <c r="C82" s="378" t="s">
        <v>2</v>
      </c>
      <c r="D82" s="378" t="s">
        <v>37</v>
      </c>
      <c r="E82" s="378" t="s">
        <v>121</v>
      </c>
      <c r="F82" s="530" t="s">
        <v>38</v>
      </c>
      <c r="G82" s="530"/>
      <c r="H82" s="530"/>
      <c r="I82" s="530"/>
      <c r="J82" s="530"/>
      <c r="K82" s="531" t="s">
        <v>58</v>
      </c>
      <c r="L82" s="532"/>
      <c r="M82" s="532"/>
      <c r="N82" s="532"/>
      <c r="O82" s="532"/>
      <c r="P82" s="532"/>
      <c r="Q82" s="532"/>
      <c r="R82" s="532"/>
      <c r="S82" s="533"/>
      <c r="T82" s="530" t="s">
        <v>49</v>
      </c>
      <c r="U82" s="530"/>
      <c r="V82" s="531" t="s">
        <v>50</v>
      </c>
      <c r="W82" s="533"/>
      <c r="X82" s="532" t="s">
        <v>51</v>
      </c>
      <c r="Y82" s="532"/>
      <c r="Z82" s="532"/>
      <c r="AA82" s="532"/>
      <c r="AB82" s="532"/>
      <c r="AC82" s="532"/>
      <c r="AD82" s="534"/>
      <c r="AF82" s="50"/>
    </row>
    <row r="83" spans="1:32" ht="33.75" customHeight="1">
      <c r="A83" s="543">
        <v>1</v>
      </c>
      <c r="B83" s="544"/>
      <c r="C83" s="380"/>
      <c r="D83" s="380"/>
      <c r="E83" s="65"/>
      <c r="F83" s="545"/>
      <c r="G83" s="546"/>
      <c r="H83" s="546"/>
      <c r="I83" s="546"/>
      <c r="J83" s="547"/>
      <c r="K83" s="548"/>
      <c r="L83" s="549"/>
      <c r="M83" s="549"/>
      <c r="N83" s="549"/>
      <c r="O83" s="549"/>
      <c r="P83" s="549"/>
      <c r="Q83" s="549"/>
      <c r="R83" s="549"/>
      <c r="S83" s="550"/>
      <c r="T83" s="551"/>
      <c r="U83" s="552"/>
      <c r="V83" s="553"/>
      <c r="W83" s="553"/>
      <c r="X83" s="554"/>
      <c r="Y83" s="554"/>
      <c r="Z83" s="554"/>
      <c r="AA83" s="554"/>
      <c r="AB83" s="554"/>
      <c r="AC83" s="554"/>
      <c r="AD83" s="555"/>
      <c r="AF83" s="50"/>
    </row>
    <row r="84" spans="1:32" ht="30" customHeight="1">
      <c r="A84" s="535">
        <f>A83+1</f>
        <v>2</v>
      </c>
      <c r="B84" s="536"/>
      <c r="C84" s="379"/>
      <c r="D84" s="379"/>
      <c r="E84" s="32"/>
      <c r="F84" s="536"/>
      <c r="G84" s="536"/>
      <c r="H84" s="536"/>
      <c r="I84" s="536"/>
      <c r="J84" s="536"/>
      <c r="K84" s="537"/>
      <c r="L84" s="538"/>
      <c r="M84" s="538"/>
      <c r="N84" s="538"/>
      <c r="O84" s="538"/>
      <c r="P84" s="538"/>
      <c r="Q84" s="538"/>
      <c r="R84" s="538"/>
      <c r="S84" s="539"/>
      <c r="T84" s="540"/>
      <c r="U84" s="540"/>
      <c r="V84" s="540"/>
      <c r="W84" s="540"/>
      <c r="X84" s="541"/>
      <c r="Y84" s="541"/>
      <c r="Z84" s="541"/>
      <c r="AA84" s="541"/>
      <c r="AB84" s="541"/>
      <c r="AC84" s="541"/>
      <c r="AD84" s="542"/>
      <c r="AF84" s="50"/>
    </row>
    <row r="85" spans="1:32" ht="30" customHeight="1">
      <c r="A85" s="535">
        <f t="shared" ref="A85:A89" si="19">A84+1</f>
        <v>3</v>
      </c>
      <c r="B85" s="536"/>
      <c r="C85" s="379"/>
      <c r="D85" s="379"/>
      <c r="E85" s="32"/>
      <c r="F85" s="536"/>
      <c r="G85" s="536"/>
      <c r="H85" s="536"/>
      <c r="I85" s="536"/>
      <c r="J85" s="536"/>
      <c r="K85" s="537"/>
      <c r="L85" s="538"/>
      <c r="M85" s="538"/>
      <c r="N85" s="538"/>
      <c r="O85" s="538"/>
      <c r="P85" s="538"/>
      <c r="Q85" s="538"/>
      <c r="R85" s="538"/>
      <c r="S85" s="539"/>
      <c r="T85" s="540"/>
      <c r="U85" s="540"/>
      <c r="V85" s="540"/>
      <c r="W85" s="540"/>
      <c r="X85" s="541"/>
      <c r="Y85" s="541"/>
      <c r="Z85" s="541"/>
      <c r="AA85" s="541"/>
      <c r="AB85" s="541"/>
      <c r="AC85" s="541"/>
      <c r="AD85" s="542"/>
      <c r="AF85" s="50"/>
    </row>
    <row r="86" spans="1:32" ht="30" customHeight="1">
      <c r="A86" s="535">
        <f t="shared" si="19"/>
        <v>4</v>
      </c>
      <c r="B86" s="536"/>
      <c r="C86" s="379"/>
      <c r="D86" s="379"/>
      <c r="E86" s="32"/>
      <c r="F86" s="536"/>
      <c r="G86" s="536"/>
      <c r="H86" s="536"/>
      <c r="I86" s="536"/>
      <c r="J86" s="536"/>
      <c r="K86" s="537"/>
      <c r="L86" s="538"/>
      <c r="M86" s="538"/>
      <c r="N86" s="538"/>
      <c r="O86" s="538"/>
      <c r="P86" s="538"/>
      <c r="Q86" s="538"/>
      <c r="R86" s="538"/>
      <c r="S86" s="539"/>
      <c r="T86" s="540"/>
      <c r="U86" s="540"/>
      <c r="V86" s="540"/>
      <c r="W86" s="540"/>
      <c r="X86" s="541"/>
      <c r="Y86" s="541"/>
      <c r="Z86" s="541"/>
      <c r="AA86" s="541"/>
      <c r="AB86" s="541"/>
      <c r="AC86" s="541"/>
      <c r="AD86" s="542"/>
      <c r="AF86" s="50"/>
    </row>
    <row r="87" spans="1:32" ht="30" customHeight="1">
      <c r="A87" s="535">
        <f t="shared" si="19"/>
        <v>5</v>
      </c>
      <c r="B87" s="536"/>
      <c r="C87" s="379"/>
      <c r="D87" s="379"/>
      <c r="E87" s="32"/>
      <c r="F87" s="536"/>
      <c r="G87" s="536"/>
      <c r="H87" s="536"/>
      <c r="I87" s="536"/>
      <c r="J87" s="536"/>
      <c r="K87" s="537"/>
      <c r="L87" s="538"/>
      <c r="M87" s="538"/>
      <c r="N87" s="538"/>
      <c r="O87" s="538"/>
      <c r="P87" s="538"/>
      <c r="Q87" s="538"/>
      <c r="R87" s="538"/>
      <c r="S87" s="539"/>
      <c r="T87" s="540"/>
      <c r="U87" s="540"/>
      <c r="V87" s="540"/>
      <c r="W87" s="540"/>
      <c r="X87" s="541"/>
      <c r="Y87" s="541"/>
      <c r="Z87" s="541"/>
      <c r="AA87" s="541"/>
      <c r="AB87" s="541"/>
      <c r="AC87" s="541"/>
      <c r="AD87" s="542"/>
      <c r="AF87" s="50"/>
    </row>
    <row r="88" spans="1:32" ht="30" customHeight="1">
      <c r="A88" s="535">
        <f t="shared" si="19"/>
        <v>6</v>
      </c>
      <c r="B88" s="536"/>
      <c r="C88" s="379"/>
      <c r="D88" s="379"/>
      <c r="E88" s="32"/>
      <c r="F88" s="536"/>
      <c r="G88" s="536"/>
      <c r="H88" s="536"/>
      <c r="I88" s="536"/>
      <c r="J88" s="536"/>
      <c r="K88" s="537"/>
      <c r="L88" s="538"/>
      <c r="M88" s="538"/>
      <c r="N88" s="538"/>
      <c r="O88" s="538"/>
      <c r="P88" s="538"/>
      <c r="Q88" s="538"/>
      <c r="R88" s="538"/>
      <c r="S88" s="539"/>
      <c r="T88" s="540"/>
      <c r="U88" s="540"/>
      <c r="V88" s="540"/>
      <c r="W88" s="540"/>
      <c r="X88" s="541"/>
      <c r="Y88" s="541"/>
      <c r="Z88" s="541"/>
      <c r="AA88" s="541"/>
      <c r="AB88" s="541"/>
      <c r="AC88" s="541"/>
      <c r="AD88" s="542"/>
      <c r="AF88" s="50"/>
    </row>
    <row r="89" spans="1:32" ht="30" customHeight="1">
      <c r="A89" s="535">
        <f t="shared" si="19"/>
        <v>7</v>
      </c>
      <c r="B89" s="536"/>
      <c r="C89" s="379"/>
      <c r="D89" s="379"/>
      <c r="E89" s="32"/>
      <c r="F89" s="536"/>
      <c r="G89" s="536"/>
      <c r="H89" s="536"/>
      <c r="I89" s="536"/>
      <c r="J89" s="536"/>
      <c r="K89" s="537"/>
      <c r="L89" s="538"/>
      <c r="M89" s="538"/>
      <c r="N89" s="538"/>
      <c r="O89" s="538"/>
      <c r="P89" s="538"/>
      <c r="Q89" s="538"/>
      <c r="R89" s="538"/>
      <c r="S89" s="539"/>
      <c r="T89" s="540"/>
      <c r="U89" s="540"/>
      <c r="V89" s="540"/>
      <c r="W89" s="540"/>
      <c r="X89" s="541"/>
      <c r="Y89" s="541"/>
      <c r="Z89" s="541"/>
      <c r="AA89" s="541"/>
      <c r="AB89" s="541"/>
      <c r="AC89" s="541"/>
      <c r="AD89" s="542"/>
      <c r="AF89" s="50"/>
    </row>
    <row r="90" spans="1:32" ht="36" thickBot="1">
      <c r="A90" s="527" t="s">
        <v>569</v>
      </c>
      <c r="B90" s="527"/>
      <c r="C90" s="527"/>
      <c r="D90" s="527"/>
      <c r="E90" s="527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556" t="s">
        <v>111</v>
      </c>
      <c r="B91" s="530"/>
      <c r="C91" s="557" t="s">
        <v>52</v>
      </c>
      <c r="D91" s="557"/>
      <c r="E91" s="557" t="s">
        <v>53</v>
      </c>
      <c r="F91" s="557"/>
      <c r="G91" s="557"/>
      <c r="H91" s="557"/>
      <c r="I91" s="557"/>
      <c r="J91" s="557"/>
      <c r="K91" s="557" t="s">
        <v>54</v>
      </c>
      <c r="L91" s="557"/>
      <c r="M91" s="557"/>
      <c r="N91" s="557"/>
      <c r="O91" s="557"/>
      <c r="P91" s="557"/>
      <c r="Q91" s="557"/>
      <c r="R91" s="557"/>
      <c r="S91" s="557"/>
      <c r="T91" s="557" t="s">
        <v>55</v>
      </c>
      <c r="U91" s="557"/>
      <c r="V91" s="557" t="s">
        <v>56</v>
      </c>
      <c r="W91" s="557"/>
      <c r="X91" s="557"/>
      <c r="Y91" s="557" t="s">
        <v>51</v>
      </c>
      <c r="Z91" s="557"/>
      <c r="AA91" s="557"/>
      <c r="AB91" s="557"/>
      <c r="AC91" s="557"/>
      <c r="AD91" s="558"/>
      <c r="AF91" s="50"/>
    </row>
    <row r="92" spans="1:32" ht="30.75" customHeight="1">
      <c r="A92" s="543">
        <v>1</v>
      </c>
      <c r="B92" s="544"/>
      <c r="C92" s="559">
        <v>9</v>
      </c>
      <c r="D92" s="559"/>
      <c r="E92" s="559" t="s">
        <v>127</v>
      </c>
      <c r="F92" s="559"/>
      <c r="G92" s="559"/>
      <c r="H92" s="559"/>
      <c r="I92" s="559"/>
      <c r="J92" s="559"/>
      <c r="K92" s="559" t="s">
        <v>136</v>
      </c>
      <c r="L92" s="559"/>
      <c r="M92" s="559"/>
      <c r="N92" s="559"/>
      <c r="O92" s="559"/>
      <c r="P92" s="559"/>
      <c r="Q92" s="559"/>
      <c r="R92" s="559"/>
      <c r="S92" s="559"/>
      <c r="T92" s="559" t="s">
        <v>128</v>
      </c>
      <c r="U92" s="559"/>
      <c r="V92" s="560" t="s">
        <v>133</v>
      </c>
      <c r="W92" s="560"/>
      <c r="X92" s="560"/>
      <c r="Y92" s="561"/>
      <c r="Z92" s="561"/>
      <c r="AA92" s="561"/>
      <c r="AB92" s="561"/>
      <c r="AC92" s="561"/>
      <c r="AD92" s="562"/>
      <c r="AF92" s="50"/>
    </row>
    <row r="93" spans="1:32" ht="30.75" customHeight="1">
      <c r="A93" s="535">
        <v>2</v>
      </c>
      <c r="B93" s="536"/>
      <c r="C93" s="570"/>
      <c r="D93" s="570"/>
      <c r="E93" s="570"/>
      <c r="F93" s="570"/>
      <c r="G93" s="570"/>
      <c r="H93" s="570"/>
      <c r="I93" s="570"/>
      <c r="J93" s="570"/>
      <c r="K93" s="570"/>
      <c r="L93" s="570"/>
      <c r="M93" s="570"/>
      <c r="N93" s="570"/>
      <c r="O93" s="570"/>
      <c r="P93" s="570"/>
      <c r="Q93" s="570"/>
      <c r="R93" s="570"/>
      <c r="S93" s="570"/>
      <c r="T93" s="571"/>
      <c r="U93" s="571"/>
      <c r="V93" s="572"/>
      <c r="W93" s="572"/>
      <c r="X93" s="572"/>
      <c r="Y93" s="563"/>
      <c r="Z93" s="563"/>
      <c r="AA93" s="563"/>
      <c r="AB93" s="563"/>
      <c r="AC93" s="563"/>
      <c r="AD93" s="564"/>
      <c r="AF93" s="50"/>
    </row>
    <row r="94" spans="1:32" ht="30.75" customHeight="1" thickBot="1">
      <c r="A94" s="565">
        <v>3</v>
      </c>
      <c r="B94" s="566"/>
      <c r="C94" s="567"/>
      <c r="D94" s="567"/>
      <c r="E94" s="567"/>
      <c r="F94" s="567"/>
      <c r="G94" s="567"/>
      <c r="H94" s="567"/>
      <c r="I94" s="567"/>
      <c r="J94" s="567"/>
      <c r="K94" s="567"/>
      <c r="L94" s="567"/>
      <c r="M94" s="567"/>
      <c r="N94" s="567"/>
      <c r="O94" s="567"/>
      <c r="P94" s="567"/>
      <c r="Q94" s="567"/>
      <c r="R94" s="567"/>
      <c r="S94" s="567"/>
      <c r="T94" s="567"/>
      <c r="U94" s="567"/>
      <c r="V94" s="573"/>
      <c r="W94" s="573"/>
      <c r="X94" s="573"/>
      <c r="Y94" s="568"/>
      <c r="Z94" s="568"/>
      <c r="AA94" s="568"/>
      <c r="AB94" s="568"/>
      <c r="AC94" s="568"/>
      <c r="AD94" s="569"/>
      <c r="AF94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4" max="29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89E7-CE93-41C5-9964-D4037EE2D381}">
  <dimension ref="A1:AF95"/>
  <sheetViews>
    <sheetView view="pageBreakPreview" topLeftCell="A4" zoomScale="70" zoomScaleNormal="72" zoomScaleSheetLayoutView="70" workbookViewId="0">
      <selection activeCell="N76" sqref="N76:O7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50" t="s">
        <v>570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1"/>
      <c r="B3" s="451"/>
      <c r="C3" s="451"/>
      <c r="D3" s="451"/>
      <c r="E3" s="451"/>
      <c r="F3" s="451"/>
      <c r="G3" s="45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52" t="s">
        <v>0</v>
      </c>
      <c r="B4" s="454" t="s">
        <v>1</v>
      </c>
      <c r="C4" s="454" t="s">
        <v>2</v>
      </c>
      <c r="D4" s="457" t="s">
        <v>3</v>
      </c>
      <c r="E4" s="459" t="s">
        <v>4</v>
      </c>
      <c r="F4" s="457" t="s">
        <v>5</v>
      </c>
      <c r="G4" s="454" t="s">
        <v>6</v>
      </c>
      <c r="H4" s="460" t="s">
        <v>7</v>
      </c>
      <c r="I4" s="480" t="s">
        <v>8</v>
      </c>
      <c r="J4" s="481"/>
      <c r="K4" s="481"/>
      <c r="L4" s="481"/>
      <c r="M4" s="481"/>
      <c r="N4" s="481"/>
      <c r="O4" s="482"/>
      <c r="P4" s="483" t="s">
        <v>9</v>
      </c>
      <c r="Q4" s="484"/>
      <c r="R4" s="486" t="s">
        <v>10</v>
      </c>
      <c r="S4" s="485"/>
      <c r="T4" s="485"/>
      <c r="U4" s="485"/>
      <c r="V4" s="487"/>
      <c r="W4" s="485" t="s">
        <v>11</v>
      </c>
      <c r="X4" s="485"/>
      <c r="Y4" s="485"/>
      <c r="Z4" s="485"/>
      <c r="AA4" s="487"/>
      <c r="AB4" s="488" t="s">
        <v>12</v>
      </c>
      <c r="AC4" s="462" t="s">
        <v>13</v>
      </c>
      <c r="AD4" s="462" t="s">
        <v>14</v>
      </c>
      <c r="AE4" s="54"/>
    </row>
    <row r="5" spans="1:32" ht="51" customHeight="1" thickBot="1">
      <c r="A5" s="453"/>
      <c r="B5" s="455"/>
      <c r="C5" s="456"/>
      <c r="D5" s="458"/>
      <c r="E5" s="458"/>
      <c r="F5" s="458"/>
      <c r="G5" s="455"/>
      <c r="H5" s="461"/>
      <c r="I5" s="55" t="s">
        <v>15</v>
      </c>
      <c r="J5" s="56" t="s">
        <v>16</v>
      </c>
      <c r="K5" s="381" t="s">
        <v>17</v>
      </c>
      <c r="L5" s="381" t="s">
        <v>18</v>
      </c>
      <c r="M5" s="381" t="s">
        <v>19</v>
      </c>
      <c r="N5" s="38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89"/>
      <c r="AC5" s="463"/>
      <c r="AD5" s="463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130</v>
      </c>
      <c r="E6" s="53" t="s">
        <v>564</v>
      </c>
      <c r="F6" s="30" t="s">
        <v>147</v>
      </c>
      <c r="G6" s="12">
        <v>2</v>
      </c>
      <c r="H6" s="13">
        <v>24</v>
      </c>
      <c r="I6" s="31">
        <v>185000</v>
      </c>
      <c r="J6" s="14">
        <v>5840</v>
      </c>
      <c r="K6" s="15">
        <f>L6</f>
        <v>5840</v>
      </c>
      <c r="L6" s="15">
        <f>2920*2</f>
        <v>5840</v>
      </c>
      <c r="M6" s="15">
        <f t="shared" ref="M6:M29" si="0">L6-N6</f>
        <v>5840</v>
      </c>
      <c r="N6" s="15">
        <v>0</v>
      </c>
      <c r="O6" s="58">
        <f t="shared" ref="O6:O30" si="1">IF(L6=0,"0",N6/L6)</f>
        <v>0</v>
      </c>
      <c r="P6" s="39">
        <f t="shared" ref="P6:P29" si="2">IF(L6=0,"0",(24-Q6))</f>
        <v>15</v>
      </c>
      <c r="Q6" s="40">
        <f t="shared" ref="Q6:Q29" si="3">SUM(R6:AA6)</f>
        <v>9</v>
      </c>
      <c r="R6" s="7"/>
      <c r="S6" s="6">
        <v>9</v>
      </c>
      <c r="T6" s="16"/>
      <c r="U6" s="16"/>
      <c r="V6" s="17"/>
      <c r="W6" s="5"/>
      <c r="X6" s="16"/>
      <c r="Y6" s="16"/>
      <c r="Z6" s="16"/>
      <c r="AA6" s="18"/>
      <c r="AB6" s="8">
        <f t="shared" ref="AB6:AB29" si="4">IF(J6=0,"0",(L6/J6))</f>
        <v>1</v>
      </c>
      <c r="AC6" s="9">
        <f t="shared" ref="AC6:AC29" si="5">IF(P6=0,"0",(P6/24))</f>
        <v>0.625</v>
      </c>
      <c r="AD6" s="10">
        <f t="shared" ref="AD6:AD29" si="6">AC6*AB6*(1-O6)</f>
        <v>0.625</v>
      </c>
      <c r="AE6" s="36">
        <f t="shared" ref="AE6:AE29" si="7">$AD$30</f>
        <v>0.41493055555555552</v>
      </c>
      <c r="AF6" s="84">
        <f t="shared" ref="AF6:AF29" si="8">A6</f>
        <v>1</v>
      </c>
    </row>
    <row r="7" spans="1:32" ht="27" customHeight="1">
      <c r="A7" s="112">
        <v>2</v>
      </c>
      <c r="B7" s="11" t="s">
        <v>57</v>
      </c>
      <c r="C7" s="34" t="s">
        <v>116</v>
      </c>
      <c r="D7" s="52" t="s">
        <v>150</v>
      </c>
      <c r="E7" s="53" t="s">
        <v>529</v>
      </c>
      <c r="F7" s="30" t="s">
        <v>135</v>
      </c>
      <c r="G7" s="12">
        <v>4</v>
      </c>
      <c r="H7" s="13">
        <v>24</v>
      </c>
      <c r="I7" s="31">
        <v>17000</v>
      </c>
      <c r="J7" s="14">
        <v>1252</v>
      </c>
      <c r="K7" s="15">
        <f>L7+18072+1252</f>
        <v>19324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0.41493055555555552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116</v>
      </c>
      <c r="D8" s="52" t="s">
        <v>124</v>
      </c>
      <c r="E8" s="53" t="s">
        <v>323</v>
      </c>
      <c r="F8" s="30" t="s">
        <v>134</v>
      </c>
      <c r="G8" s="12">
        <v>1</v>
      </c>
      <c r="H8" s="13">
        <v>24</v>
      </c>
      <c r="I8" s="7">
        <v>50000</v>
      </c>
      <c r="J8" s="14">
        <v>2610</v>
      </c>
      <c r="K8" s="15">
        <f>L8+2610</f>
        <v>2610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0.41493055555555552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241</v>
      </c>
      <c r="D9" s="52"/>
      <c r="E9" s="53" t="s">
        <v>383</v>
      </c>
      <c r="F9" s="30" t="s">
        <v>268</v>
      </c>
      <c r="G9" s="12">
        <v>2</v>
      </c>
      <c r="H9" s="13">
        <v>24</v>
      </c>
      <c r="I9" s="7">
        <v>38500</v>
      </c>
      <c r="J9" s="14">
        <v>5542</v>
      </c>
      <c r="K9" s="15">
        <f>L9+10102+11394</f>
        <v>27038</v>
      </c>
      <c r="L9" s="15">
        <f>318*2+2453*2</f>
        <v>5542</v>
      </c>
      <c r="M9" s="15">
        <f t="shared" si="0"/>
        <v>5542</v>
      </c>
      <c r="N9" s="15">
        <v>0</v>
      </c>
      <c r="O9" s="58">
        <f t="shared" si="1"/>
        <v>0</v>
      </c>
      <c r="P9" s="39">
        <f t="shared" si="2"/>
        <v>13</v>
      </c>
      <c r="Q9" s="40">
        <f t="shared" si="3"/>
        <v>11</v>
      </c>
      <c r="R9" s="7"/>
      <c r="S9" s="6">
        <v>11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0.54166666666666663</v>
      </c>
      <c r="AD9" s="10">
        <f t="shared" si="6"/>
        <v>0.54166666666666663</v>
      </c>
      <c r="AE9" s="36">
        <f t="shared" si="7"/>
        <v>0.41493055555555552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116</v>
      </c>
      <c r="D10" s="52" t="s">
        <v>123</v>
      </c>
      <c r="E10" s="53" t="s">
        <v>512</v>
      </c>
      <c r="F10" s="30" t="s">
        <v>520</v>
      </c>
      <c r="G10" s="33">
        <v>4</v>
      </c>
      <c r="H10" s="35">
        <v>24</v>
      </c>
      <c r="I10" s="7">
        <v>16500</v>
      </c>
      <c r="J10" s="14">
        <v>4374</v>
      </c>
      <c r="K10" s="15">
        <f>L10+12462+4374</f>
        <v>16836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20</v>
      </c>
      <c r="R10" s="7"/>
      <c r="S10" s="6"/>
      <c r="T10" s="16"/>
      <c r="U10" s="16"/>
      <c r="V10" s="17"/>
      <c r="W10" s="5">
        <v>20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0.41493055555555552</v>
      </c>
      <c r="AF10" s="84">
        <f t="shared" si="8"/>
        <v>5</v>
      </c>
    </row>
    <row r="11" spans="1:32" ht="27" customHeight="1">
      <c r="A11" s="96">
        <v>5</v>
      </c>
      <c r="B11" s="11" t="s">
        <v>57</v>
      </c>
      <c r="C11" s="11" t="s">
        <v>241</v>
      </c>
      <c r="D11" s="52"/>
      <c r="E11" s="53" t="s">
        <v>408</v>
      </c>
      <c r="F11" s="30" t="s">
        <v>144</v>
      </c>
      <c r="G11" s="33">
        <v>2</v>
      </c>
      <c r="H11" s="35">
        <v>24</v>
      </c>
      <c r="I11" s="7">
        <v>38500</v>
      </c>
      <c r="J11" s="14">
        <v>11244</v>
      </c>
      <c r="K11" s="15">
        <f>L11+8004</f>
        <v>19248</v>
      </c>
      <c r="L11" s="15">
        <f>2628*2+2994*2</f>
        <v>11244</v>
      </c>
      <c r="M11" s="15">
        <f t="shared" si="0"/>
        <v>11244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0.41493055555555552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112</v>
      </c>
      <c r="D12" s="52" t="s">
        <v>124</v>
      </c>
      <c r="E12" s="53" t="s">
        <v>530</v>
      </c>
      <c r="F12" s="30" t="s">
        <v>131</v>
      </c>
      <c r="G12" s="33">
        <v>2</v>
      </c>
      <c r="H12" s="35">
        <v>24</v>
      </c>
      <c r="I12" s="7">
        <v>230000</v>
      </c>
      <c r="J12" s="14">
        <v>11140</v>
      </c>
      <c r="K12" s="15">
        <f>L12+10954+11864</f>
        <v>33958</v>
      </c>
      <c r="L12" s="15">
        <f>2590*2+2980*2</f>
        <v>11140</v>
      </c>
      <c r="M12" s="15">
        <f t="shared" si="0"/>
        <v>11140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0.41493055555555552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116</v>
      </c>
      <c r="D13" s="52" t="s">
        <v>115</v>
      </c>
      <c r="E13" s="53" t="s">
        <v>403</v>
      </c>
      <c r="F13" s="30" t="s">
        <v>167</v>
      </c>
      <c r="G13" s="12">
        <v>1</v>
      </c>
      <c r="H13" s="13">
        <v>22</v>
      </c>
      <c r="I13" s="31">
        <v>80000</v>
      </c>
      <c r="J13" s="5">
        <v>3742</v>
      </c>
      <c r="K13" s="15">
        <f>L13+3050+5463+5497+6377+5244+5460+5580+5482+5489+5556</f>
        <v>56940</v>
      </c>
      <c r="L13" s="15">
        <f>1013+2729</f>
        <v>3742</v>
      </c>
      <c r="M13" s="15">
        <f t="shared" si="0"/>
        <v>3742</v>
      </c>
      <c r="N13" s="15">
        <v>0</v>
      </c>
      <c r="O13" s="58">
        <f t="shared" si="1"/>
        <v>0</v>
      </c>
      <c r="P13" s="39">
        <f t="shared" si="2"/>
        <v>18</v>
      </c>
      <c r="Q13" s="40">
        <f t="shared" si="3"/>
        <v>6</v>
      </c>
      <c r="R13" s="7"/>
      <c r="S13" s="6">
        <v>6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0.75</v>
      </c>
      <c r="AD13" s="10">
        <f t="shared" si="6"/>
        <v>0.75</v>
      </c>
      <c r="AE13" s="36">
        <f t="shared" si="7"/>
        <v>0.41493055555555552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112</v>
      </c>
      <c r="D14" s="52" t="s">
        <v>115</v>
      </c>
      <c r="E14" s="53" t="s">
        <v>563</v>
      </c>
      <c r="F14" s="30" t="s">
        <v>134</v>
      </c>
      <c r="G14" s="33">
        <v>1</v>
      </c>
      <c r="H14" s="35">
        <v>35</v>
      </c>
      <c r="I14" s="7">
        <v>1000</v>
      </c>
      <c r="J14" s="14">
        <v>631</v>
      </c>
      <c r="K14" s="15">
        <f>L14</f>
        <v>631</v>
      </c>
      <c r="L14" s="15">
        <v>631</v>
      </c>
      <c r="M14" s="15">
        <f t="shared" si="0"/>
        <v>631</v>
      </c>
      <c r="N14" s="15">
        <v>0</v>
      </c>
      <c r="O14" s="58">
        <f t="shared" si="1"/>
        <v>0</v>
      </c>
      <c r="P14" s="39">
        <f t="shared" si="2"/>
        <v>9</v>
      </c>
      <c r="Q14" s="40">
        <f t="shared" si="3"/>
        <v>15</v>
      </c>
      <c r="R14" s="7"/>
      <c r="S14" s="6">
        <v>15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0.375</v>
      </c>
      <c r="AD14" s="10">
        <f t="shared" si="6"/>
        <v>0.375</v>
      </c>
      <c r="AE14" s="36">
        <f t="shared" si="7"/>
        <v>0.41493055555555552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571</v>
      </c>
      <c r="F15" s="30" t="s">
        <v>350</v>
      </c>
      <c r="G15" s="33">
        <v>1</v>
      </c>
      <c r="H15" s="35">
        <v>50</v>
      </c>
      <c r="I15" s="7">
        <v>500</v>
      </c>
      <c r="J15" s="5">
        <v>50</v>
      </c>
      <c r="K15" s="15">
        <f>L15</f>
        <v>50</v>
      </c>
      <c r="L15" s="15">
        <v>50</v>
      </c>
      <c r="M15" s="15">
        <f t="shared" si="0"/>
        <v>50</v>
      </c>
      <c r="N15" s="15">
        <v>0</v>
      </c>
      <c r="O15" s="58">
        <f t="shared" si="1"/>
        <v>0</v>
      </c>
      <c r="P15" s="39">
        <f t="shared" si="2"/>
        <v>4</v>
      </c>
      <c r="Q15" s="40">
        <f t="shared" si="3"/>
        <v>20</v>
      </c>
      <c r="R15" s="7"/>
      <c r="S15" s="6">
        <v>20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0.16666666666666666</v>
      </c>
      <c r="AD15" s="10">
        <f t="shared" si="6"/>
        <v>0.16666666666666666</v>
      </c>
      <c r="AE15" s="36">
        <f t="shared" si="7"/>
        <v>0.41493055555555552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116</v>
      </c>
      <c r="D16" s="52" t="s">
        <v>123</v>
      </c>
      <c r="E16" s="53" t="s">
        <v>141</v>
      </c>
      <c r="F16" s="30" t="s">
        <v>135</v>
      </c>
      <c r="G16" s="12">
        <v>4</v>
      </c>
      <c r="H16" s="13">
        <v>24</v>
      </c>
      <c r="I16" s="31">
        <v>12000</v>
      </c>
      <c r="J16" s="14">
        <v>12356</v>
      </c>
      <c r="K16" s="15">
        <f>L16+12356</f>
        <v>12356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0.41493055555555552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203</v>
      </c>
      <c r="D17" s="52" t="s">
        <v>115</v>
      </c>
      <c r="E17" s="53" t="s">
        <v>511</v>
      </c>
      <c r="F17" s="30" t="s">
        <v>151</v>
      </c>
      <c r="G17" s="12">
        <v>1</v>
      </c>
      <c r="H17" s="13">
        <v>24</v>
      </c>
      <c r="I17" s="7">
        <v>100</v>
      </c>
      <c r="J17" s="14">
        <v>366</v>
      </c>
      <c r="K17" s="15">
        <f>L17</f>
        <v>366</v>
      </c>
      <c r="L17" s="15">
        <v>366</v>
      </c>
      <c r="M17" s="15">
        <f t="shared" ref="M17" si="9">L17-N17</f>
        <v>366</v>
      </c>
      <c r="N17" s="15">
        <v>0</v>
      </c>
      <c r="O17" s="58">
        <f t="shared" ref="O17" si="10">IF(L17=0,"0",N17/L17)</f>
        <v>0</v>
      </c>
      <c r="P17" s="39">
        <f t="shared" ref="P17" si="11">IF(L17=0,"0",(24-Q17))</f>
        <v>5</v>
      </c>
      <c r="Q17" s="40">
        <f t="shared" ref="Q17" si="12">SUM(R17:AA17)</f>
        <v>19</v>
      </c>
      <c r="R17" s="7"/>
      <c r="S17" s="6">
        <v>4</v>
      </c>
      <c r="T17" s="16"/>
      <c r="U17" s="16"/>
      <c r="V17" s="17"/>
      <c r="W17" s="5">
        <v>15</v>
      </c>
      <c r="X17" s="16"/>
      <c r="Y17" s="16"/>
      <c r="Z17" s="16"/>
      <c r="AA17" s="18"/>
      <c r="AB17" s="8">
        <f t="shared" ref="AB17" si="13">IF(J17=0,"0",(L17/J17))</f>
        <v>1</v>
      </c>
      <c r="AC17" s="9">
        <f t="shared" ref="AC17" si="14">IF(P17=0,"0",(P17/24))</f>
        <v>0.20833333333333334</v>
      </c>
      <c r="AD17" s="10">
        <f t="shared" ref="AD17" si="15">AC17*AB17*(1-O17)</f>
        <v>0.20833333333333334</v>
      </c>
      <c r="AE17" s="36">
        <f t="shared" si="7"/>
        <v>0.41493055555555552</v>
      </c>
      <c r="AF17" s="84">
        <f t="shared" ref="AF17" si="16">A17</f>
        <v>11</v>
      </c>
    </row>
    <row r="18" spans="1:32" ht="30" customHeight="1">
      <c r="A18" s="112">
        <v>11</v>
      </c>
      <c r="B18" s="11" t="s">
        <v>57</v>
      </c>
      <c r="C18" s="34" t="s">
        <v>241</v>
      </c>
      <c r="D18" s="52" t="s">
        <v>115</v>
      </c>
      <c r="E18" s="53" t="s">
        <v>325</v>
      </c>
      <c r="F18" s="30" t="s">
        <v>268</v>
      </c>
      <c r="G18" s="12">
        <v>2</v>
      </c>
      <c r="H18" s="13">
        <v>24</v>
      </c>
      <c r="I18" s="7">
        <v>38500</v>
      </c>
      <c r="J18" s="14">
        <v>7214</v>
      </c>
      <c r="K18" s="15">
        <f>L18</f>
        <v>7214</v>
      </c>
      <c r="L18" s="15">
        <f>3053*2+554*2</f>
        <v>7214</v>
      </c>
      <c r="M18" s="15">
        <f t="shared" si="0"/>
        <v>7214</v>
      </c>
      <c r="N18" s="15">
        <v>0</v>
      </c>
      <c r="O18" s="58">
        <f t="shared" si="1"/>
        <v>0</v>
      </c>
      <c r="P18" s="39">
        <f t="shared" si="2"/>
        <v>17</v>
      </c>
      <c r="Q18" s="40">
        <f t="shared" si="3"/>
        <v>7</v>
      </c>
      <c r="R18" s="7"/>
      <c r="S18" s="6"/>
      <c r="T18" s="16">
        <v>7</v>
      </c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0.70833333333333337</v>
      </c>
      <c r="AD18" s="10">
        <f t="shared" si="6"/>
        <v>0.70833333333333337</v>
      </c>
      <c r="AE18" s="36">
        <f t="shared" si="7"/>
        <v>0.41493055555555552</v>
      </c>
      <c r="AF18" s="84">
        <f t="shared" si="8"/>
        <v>11</v>
      </c>
    </row>
    <row r="19" spans="1:32" ht="30" customHeight="1">
      <c r="A19" s="95">
        <v>12</v>
      </c>
      <c r="B19" s="11" t="s">
        <v>57</v>
      </c>
      <c r="C19" s="34" t="s">
        <v>143</v>
      </c>
      <c r="D19" s="52" t="s">
        <v>150</v>
      </c>
      <c r="E19" s="53" t="s">
        <v>445</v>
      </c>
      <c r="F19" s="30" t="s">
        <v>154</v>
      </c>
      <c r="G19" s="12">
        <v>4</v>
      </c>
      <c r="H19" s="13">
        <v>24</v>
      </c>
      <c r="I19" s="7">
        <v>1500</v>
      </c>
      <c r="J19" s="14">
        <v>2164</v>
      </c>
      <c r="K19" s="15">
        <f>L19+2164</f>
        <v>2164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0.41493055555555552</v>
      </c>
      <c r="AF19" s="84">
        <f t="shared" si="8"/>
        <v>12</v>
      </c>
    </row>
    <row r="20" spans="1:32" ht="27" customHeight="1">
      <c r="A20" s="96">
        <v>13</v>
      </c>
      <c r="B20" s="11" t="s">
        <v>57</v>
      </c>
      <c r="C20" s="11" t="s">
        <v>112</v>
      </c>
      <c r="D20" s="52" t="s">
        <v>115</v>
      </c>
      <c r="E20" s="53" t="s">
        <v>480</v>
      </c>
      <c r="F20" s="30" t="s">
        <v>350</v>
      </c>
      <c r="G20" s="33">
        <v>1</v>
      </c>
      <c r="H20" s="35">
        <v>24</v>
      </c>
      <c r="I20" s="7">
        <v>18000</v>
      </c>
      <c r="J20" s="14">
        <v>4945</v>
      </c>
      <c r="K20" s="15">
        <f>L20+3408+5170+5124</f>
        <v>18647</v>
      </c>
      <c r="L20" s="15">
        <f>2612+2333</f>
        <v>4945</v>
      </c>
      <c r="M20" s="15">
        <f t="shared" si="0"/>
        <v>4945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0.41493055555555552</v>
      </c>
      <c r="AF20" s="84">
        <f t="shared" si="8"/>
        <v>13</v>
      </c>
    </row>
    <row r="21" spans="1:32" ht="27" customHeight="1">
      <c r="A21" s="96">
        <v>14</v>
      </c>
      <c r="B21" s="11" t="s">
        <v>57</v>
      </c>
      <c r="C21" s="11" t="s">
        <v>112</v>
      </c>
      <c r="D21" s="52" t="s">
        <v>142</v>
      </c>
      <c r="E21" s="53" t="s">
        <v>161</v>
      </c>
      <c r="F21" s="30" t="s">
        <v>134</v>
      </c>
      <c r="G21" s="33">
        <v>1</v>
      </c>
      <c r="H21" s="35">
        <v>24</v>
      </c>
      <c r="I21" s="7">
        <v>54000</v>
      </c>
      <c r="J21" s="14">
        <v>4548</v>
      </c>
      <c r="K21" s="15">
        <f>L21+5079+5307+3503+1179+3568+5398+5390+5307+4716+2400+323+2119+4726+5252</f>
        <v>58815</v>
      </c>
      <c r="L21" s="15">
        <f>2748+1800</f>
        <v>4548</v>
      </c>
      <c r="M21" s="15">
        <f t="shared" si="0"/>
        <v>4548</v>
      </c>
      <c r="N21" s="15">
        <v>0</v>
      </c>
      <c r="O21" s="58">
        <f t="shared" si="1"/>
        <v>0</v>
      </c>
      <c r="P21" s="39">
        <f t="shared" si="2"/>
        <v>21</v>
      </c>
      <c r="Q21" s="40">
        <f t="shared" si="3"/>
        <v>3</v>
      </c>
      <c r="R21" s="7"/>
      <c r="S21" s="6"/>
      <c r="T21" s="16">
        <v>3</v>
      </c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0.875</v>
      </c>
      <c r="AD21" s="10">
        <f t="shared" si="6"/>
        <v>0.875</v>
      </c>
      <c r="AE21" s="36">
        <f t="shared" si="7"/>
        <v>0.41493055555555552</v>
      </c>
      <c r="AF21" s="84">
        <f t="shared" si="8"/>
        <v>14</v>
      </c>
    </row>
    <row r="22" spans="1:32" ht="30" customHeight="1">
      <c r="A22" s="112">
        <v>15</v>
      </c>
      <c r="B22" s="11" t="s">
        <v>57</v>
      </c>
      <c r="C22" s="34" t="s">
        <v>112</v>
      </c>
      <c r="D22" s="52" t="s">
        <v>115</v>
      </c>
      <c r="E22" s="53" t="s">
        <v>521</v>
      </c>
      <c r="F22" s="30" t="s">
        <v>131</v>
      </c>
      <c r="G22" s="12">
        <v>2</v>
      </c>
      <c r="H22" s="13">
        <v>24</v>
      </c>
      <c r="I22" s="7">
        <v>230000</v>
      </c>
      <c r="J22" s="14">
        <v>8768</v>
      </c>
      <c r="K22" s="15">
        <f>L22+7008+11154+9077</f>
        <v>36007</v>
      </c>
      <c r="L22" s="15">
        <f>2673*2+1711*2</f>
        <v>8768</v>
      </c>
      <c r="M22" s="15">
        <f t="shared" si="0"/>
        <v>8768</v>
      </c>
      <c r="N22" s="15">
        <v>0</v>
      </c>
      <c r="O22" s="58">
        <f t="shared" si="1"/>
        <v>0</v>
      </c>
      <c r="P22" s="39">
        <f t="shared" si="2"/>
        <v>21</v>
      </c>
      <c r="Q22" s="40">
        <f t="shared" si="3"/>
        <v>3</v>
      </c>
      <c r="R22" s="7"/>
      <c r="S22" s="6">
        <v>3</v>
      </c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0.875</v>
      </c>
      <c r="AD22" s="10">
        <f t="shared" si="6"/>
        <v>0.875</v>
      </c>
      <c r="AE22" s="36">
        <f t="shared" si="7"/>
        <v>0.41493055555555552</v>
      </c>
      <c r="AF22" s="84">
        <f t="shared" si="8"/>
        <v>15</v>
      </c>
    </row>
    <row r="23" spans="1:32" ht="27" customHeight="1">
      <c r="A23" s="96">
        <v>16</v>
      </c>
      <c r="B23" s="11" t="s">
        <v>57</v>
      </c>
      <c r="C23" s="11" t="s">
        <v>113</v>
      </c>
      <c r="D23" s="52"/>
      <c r="E23" s="53" t="s">
        <v>139</v>
      </c>
      <c r="F23" s="12" t="s">
        <v>114</v>
      </c>
      <c r="G23" s="12">
        <v>4</v>
      </c>
      <c r="H23" s="35">
        <v>20</v>
      </c>
      <c r="I23" s="7">
        <v>1000000</v>
      </c>
      <c r="J23" s="14">
        <v>52608</v>
      </c>
      <c r="K23" s="15">
        <f>L23</f>
        <v>52608</v>
      </c>
      <c r="L23" s="15">
        <f>7746*4+5406*4</f>
        <v>52608</v>
      </c>
      <c r="M23" s="15">
        <f t="shared" si="0"/>
        <v>52608</v>
      </c>
      <c r="N23" s="15">
        <v>0</v>
      </c>
      <c r="O23" s="58">
        <f t="shared" si="1"/>
        <v>0</v>
      </c>
      <c r="P23" s="39">
        <f t="shared" si="2"/>
        <v>22</v>
      </c>
      <c r="Q23" s="40">
        <f t="shared" si="3"/>
        <v>2</v>
      </c>
      <c r="R23" s="7"/>
      <c r="S23" s="6"/>
      <c r="T23" s="16">
        <v>2</v>
      </c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0.91666666666666663</v>
      </c>
      <c r="AD23" s="10">
        <f t="shared" si="6"/>
        <v>0.91666666666666663</v>
      </c>
      <c r="AE23" s="36">
        <f t="shared" si="7"/>
        <v>0.41493055555555552</v>
      </c>
      <c r="AF23" s="84">
        <f t="shared" si="8"/>
        <v>16</v>
      </c>
    </row>
    <row r="24" spans="1:32" ht="27" customHeight="1">
      <c r="A24" s="96">
        <v>31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>
        <v>24</v>
      </c>
      <c r="W24" s="5"/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0.41493055555555552</v>
      </c>
      <c r="AF24" s="84">
        <f t="shared" si="8"/>
        <v>31</v>
      </c>
    </row>
    <row r="25" spans="1:32" ht="27" customHeight="1">
      <c r="A25" s="96">
        <v>32</v>
      </c>
      <c r="B25" s="11" t="s">
        <v>57</v>
      </c>
      <c r="C25" s="11"/>
      <c r="D25" s="52"/>
      <c r="E25" s="53"/>
      <c r="F25" s="12"/>
      <c r="G25" s="12"/>
      <c r="H25" s="35">
        <v>20</v>
      </c>
      <c r="I25" s="7"/>
      <c r="J25" s="14">
        <v>0</v>
      </c>
      <c r="K25" s="15">
        <f>L25</f>
        <v>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>
        <v>24</v>
      </c>
      <c r="W25" s="5"/>
      <c r="X25" s="16"/>
      <c r="Y25" s="16"/>
      <c r="Z25" s="16"/>
      <c r="AA25" s="18"/>
      <c r="AB25" s="8" t="str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0.41493055555555552</v>
      </c>
      <c r="AF25" s="84">
        <f t="shared" si="8"/>
        <v>32</v>
      </c>
    </row>
    <row r="26" spans="1:32" ht="27" customHeight="1">
      <c r="A26" s="96">
        <v>33</v>
      </c>
      <c r="B26" s="11" t="s">
        <v>57</v>
      </c>
      <c r="C26" s="11" t="s">
        <v>116</v>
      </c>
      <c r="D26" s="52" t="s">
        <v>150</v>
      </c>
      <c r="E26" s="53" t="s">
        <v>163</v>
      </c>
      <c r="F26" s="12" t="s">
        <v>145</v>
      </c>
      <c r="G26" s="12">
        <v>1</v>
      </c>
      <c r="H26" s="35">
        <v>20</v>
      </c>
      <c r="I26" s="7">
        <v>140000</v>
      </c>
      <c r="J26" s="14">
        <v>6495</v>
      </c>
      <c r="K26" s="15">
        <f>L26+4387+7770+5806+7905+7479+7369+7360+2397+6904+7208+7013+6976+6992+2652</f>
        <v>94713</v>
      </c>
      <c r="L26" s="15">
        <f>3507+2988</f>
        <v>6495</v>
      </c>
      <c r="M26" s="15">
        <f t="shared" si="0"/>
        <v>6495</v>
      </c>
      <c r="N26" s="15">
        <v>0</v>
      </c>
      <c r="O26" s="58">
        <f t="shared" si="1"/>
        <v>0</v>
      </c>
      <c r="P26" s="39">
        <f t="shared" si="2"/>
        <v>22</v>
      </c>
      <c r="Q26" s="40">
        <f t="shared" si="3"/>
        <v>2</v>
      </c>
      <c r="R26" s="7"/>
      <c r="S26" s="6"/>
      <c r="T26" s="16"/>
      <c r="U26" s="16"/>
      <c r="V26" s="206">
        <v>2</v>
      </c>
      <c r="W26" s="5"/>
      <c r="X26" s="16"/>
      <c r="Y26" s="16"/>
      <c r="Z26" s="16"/>
      <c r="AA26" s="18"/>
      <c r="AB26" s="8">
        <f t="shared" si="4"/>
        <v>1</v>
      </c>
      <c r="AC26" s="9">
        <f t="shared" si="5"/>
        <v>0.91666666666666663</v>
      </c>
      <c r="AD26" s="10">
        <f t="shared" si="6"/>
        <v>0.91666666666666663</v>
      </c>
      <c r="AE26" s="36">
        <f t="shared" si="7"/>
        <v>0.41493055555555552</v>
      </c>
      <c r="AF26" s="84">
        <f t="shared" si="8"/>
        <v>33</v>
      </c>
    </row>
    <row r="27" spans="1:32" ht="27" customHeight="1">
      <c r="A27" s="96">
        <v>34</v>
      </c>
      <c r="B27" s="11" t="s">
        <v>57</v>
      </c>
      <c r="C27" s="11" t="s">
        <v>116</v>
      </c>
      <c r="D27" s="52" t="s">
        <v>150</v>
      </c>
      <c r="E27" s="53" t="s">
        <v>165</v>
      </c>
      <c r="F27" s="12" t="s">
        <v>135</v>
      </c>
      <c r="G27" s="12">
        <v>4</v>
      </c>
      <c r="H27" s="35">
        <v>20</v>
      </c>
      <c r="I27" s="7">
        <v>240000</v>
      </c>
      <c r="J27" s="14">
        <v>9988</v>
      </c>
      <c r="K27" s="15">
        <f>L27+24768+29084+29040+29804+27780+4064+26996+28972+25428+29132+9988</f>
        <v>265056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206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0.41493055555555552</v>
      </c>
      <c r="AF27" s="84">
        <f t="shared" si="8"/>
        <v>34</v>
      </c>
    </row>
    <row r="28" spans="1:32" ht="27" customHeight="1">
      <c r="A28" s="96">
        <v>35</v>
      </c>
      <c r="B28" s="11" t="s">
        <v>57</v>
      </c>
      <c r="C28" s="11" t="s">
        <v>116</v>
      </c>
      <c r="D28" s="52" t="s">
        <v>123</v>
      </c>
      <c r="E28" s="53" t="s">
        <v>137</v>
      </c>
      <c r="F28" s="12" t="s">
        <v>135</v>
      </c>
      <c r="G28" s="12">
        <v>4</v>
      </c>
      <c r="H28" s="35">
        <v>20</v>
      </c>
      <c r="I28" s="7">
        <v>240000</v>
      </c>
      <c r="J28" s="14">
        <v>11600</v>
      </c>
      <c r="K28" s="15">
        <f>L28+25004+29968+31848+29672+31736+27000+29200+29420+29140+11600</f>
        <v>274588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206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6"/>
        <v>0</v>
      </c>
      <c r="AE28" s="36">
        <f t="shared" si="7"/>
        <v>0.41493055555555552</v>
      </c>
      <c r="AF28" s="84">
        <f t="shared" si="8"/>
        <v>35</v>
      </c>
    </row>
    <row r="29" spans="1:32" ht="27" customHeight="1" thickBot="1">
      <c r="A29" s="96">
        <v>36</v>
      </c>
      <c r="B29" s="11" t="s">
        <v>57</v>
      </c>
      <c r="C29" s="11" t="s">
        <v>380</v>
      </c>
      <c r="D29" s="52"/>
      <c r="E29" s="53" t="s">
        <v>381</v>
      </c>
      <c r="F29" s="12" t="s">
        <v>382</v>
      </c>
      <c r="G29" s="12">
        <v>32</v>
      </c>
      <c r="H29" s="35">
        <v>20</v>
      </c>
      <c r="I29" s="7">
        <v>700000</v>
      </c>
      <c r="J29" s="14">
        <v>89792</v>
      </c>
      <c r="K29" s="15">
        <f>L29+326528+448864+89792</f>
        <v>865184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206"/>
      <c r="W29" s="5">
        <v>24</v>
      </c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6"/>
        <v>0</v>
      </c>
      <c r="AE29" s="36">
        <f t="shared" si="7"/>
        <v>0.41493055555555552</v>
      </c>
      <c r="AF29" s="84">
        <f t="shared" si="8"/>
        <v>36</v>
      </c>
    </row>
    <row r="30" spans="1:32" ht="31.5" customHeight="1" thickBot="1">
      <c r="A30" s="464" t="s">
        <v>34</v>
      </c>
      <c r="B30" s="465"/>
      <c r="C30" s="465"/>
      <c r="D30" s="465"/>
      <c r="E30" s="465"/>
      <c r="F30" s="465"/>
      <c r="G30" s="465"/>
      <c r="H30" s="466"/>
      <c r="I30" s="22">
        <f t="shared" ref="I30:N30" si="17">SUM(I6:I29)</f>
        <v>3331100</v>
      </c>
      <c r="J30" s="19">
        <f t="shared" si="17"/>
        <v>257269</v>
      </c>
      <c r="K30" s="20">
        <f t="shared" si="17"/>
        <v>1870193</v>
      </c>
      <c r="L30" s="21">
        <f t="shared" si="17"/>
        <v>123133</v>
      </c>
      <c r="M30" s="20">
        <f t="shared" si="17"/>
        <v>123133</v>
      </c>
      <c r="N30" s="21">
        <f t="shared" si="17"/>
        <v>0</v>
      </c>
      <c r="O30" s="41">
        <f t="shared" si="1"/>
        <v>0</v>
      </c>
      <c r="P30" s="42">
        <f t="shared" ref="P30:AA30" si="18">SUM(P6:P29)</f>
        <v>239</v>
      </c>
      <c r="Q30" s="43">
        <f t="shared" si="18"/>
        <v>333</v>
      </c>
      <c r="R30" s="23">
        <f t="shared" si="18"/>
        <v>0</v>
      </c>
      <c r="S30" s="24">
        <f t="shared" si="18"/>
        <v>92</v>
      </c>
      <c r="T30" s="24">
        <f t="shared" si="18"/>
        <v>12</v>
      </c>
      <c r="U30" s="24">
        <f t="shared" si="18"/>
        <v>0</v>
      </c>
      <c r="V30" s="25">
        <f t="shared" si="18"/>
        <v>50</v>
      </c>
      <c r="W30" s="26">
        <f t="shared" si="18"/>
        <v>179</v>
      </c>
      <c r="X30" s="27">
        <f t="shared" si="18"/>
        <v>0</v>
      </c>
      <c r="Y30" s="27">
        <f t="shared" si="18"/>
        <v>0</v>
      </c>
      <c r="Z30" s="27">
        <f t="shared" si="18"/>
        <v>0</v>
      </c>
      <c r="AA30" s="27">
        <f t="shared" si="18"/>
        <v>0</v>
      </c>
      <c r="AB30" s="28">
        <f>AVERAGE(AB6:AB29)</f>
        <v>0.63636363636363635</v>
      </c>
      <c r="AC30" s="4">
        <f>AVERAGE(AC6:AC29)</f>
        <v>0.41493055555555552</v>
      </c>
      <c r="AD30" s="4">
        <f>AVERAGE(AD6:AD29)</f>
        <v>0.41493055555555552</v>
      </c>
      <c r="AE30" s="29"/>
    </row>
    <row r="31" spans="1:32">
      <c r="T31" s="50" t="s">
        <v>157</v>
      </c>
    </row>
    <row r="32" spans="1:32" ht="18.75">
      <c r="A32" s="2"/>
      <c r="B32" s="2" t="s">
        <v>35</v>
      </c>
      <c r="C32" s="2"/>
      <c r="D32" s="2"/>
      <c r="E32" s="2"/>
      <c r="F32" s="2"/>
      <c r="G32" s="2"/>
      <c r="H32" s="3"/>
      <c r="I32" s="3"/>
      <c r="J32" s="2"/>
      <c r="K32" s="2"/>
      <c r="L32" s="2"/>
      <c r="M32" s="2"/>
      <c r="N32" s="2" t="s">
        <v>36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1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 t="s">
        <v>160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85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14.2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27">
      <c r="A47" s="59"/>
      <c r="B47" s="59"/>
      <c r="C47" s="59"/>
      <c r="D47" s="59"/>
      <c r="E47" s="59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F47" s="50"/>
    </row>
    <row r="48" spans="1:32" ht="29.25" customHeight="1">
      <c r="A48" s="60"/>
      <c r="B48" s="60"/>
      <c r="C48" s="61"/>
      <c r="D48" s="61"/>
      <c r="E48" s="61"/>
      <c r="F48" s="60"/>
      <c r="G48" s="60"/>
      <c r="H48" s="60"/>
      <c r="I48" s="60"/>
      <c r="J48" s="60"/>
      <c r="K48" s="60"/>
      <c r="L48" s="60"/>
      <c r="M48" s="61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29.25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36" thickBot="1">
      <c r="A57" s="467" t="s">
        <v>45</v>
      </c>
      <c r="B57" s="467"/>
      <c r="C57" s="467"/>
      <c r="D57" s="467"/>
      <c r="E57" s="467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26.25" thickBot="1">
      <c r="A58" s="468" t="s">
        <v>572</v>
      </c>
      <c r="B58" s="469"/>
      <c r="C58" s="469"/>
      <c r="D58" s="469"/>
      <c r="E58" s="469"/>
      <c r="F58" s="469"/>
      <c r="G58" s="469"/>
      <c r="H58" s="469"/>
      <c r="I58" s="469"/>
      <c r="J58" s="469"/>
      <c r="K58" s="469"/>
      <c r="L58" s="469"/>
      <c r="M58" s="470"/>
      <c r="N58" s="471" t="s">
        <v>576</v>
      </c>
      <c r="O58" s="472"/>
      <c r="P58" s="472"/>
      <c r="Q58" s="472"/>
      <c r="R58" s="472"/>
      <c r="S58" s="472"/>
      <c r="T58" s="472"/>
      <c r="U58" s="472"/>
      <c r="V58" s="472"/>
      <c r="W58" s="472"/>
      <c r="X58" s="472"/>
      <c r="Y58" s="472"/>
      <c r="Z58" s="472"/>
      <c r="AA58" s="472"/>
      <c r="AB58" s="472"/>
      <c r="AC58" s="472"/>
      <c r="AD58" s="473"/>
    </row>
    <row r="59" spans="1:32" ht="27" customHeight="1">
      <c r="A59" s="474" t="s">
        <v>2</v>
      </c>
      <c r="B59" s="475"/>
      <c r="C59" s="382" t="s">
        <v>46</v>
      </c>
      <c r="D59" s="382" t="s">
        <v>47</v>
      </c>
      <c r="E59" s="382" t="s">
        <v>107</v>
      </c>
      <c r="F59" s="476" t="s">
        <v>106</v>
      </c>
      <c r="G59" s="477"/>
      <c r="H59" s="477"/>
      <c r="I59" s="477"/>
      <c r="J59" s="477"/>
      <c r="K59" s="477"/>
      <c r="L59" s="477"/>
      <c r="M59" s="478"/>
      <c r="N59" s="67" t="s">
        <v>110</v>
      </c>
      <c r="O59" s="382" t="s">
        <v>46</v>
      </c>
      <c r="P59" s="476" t="s">
        <v>47</v>
      </c>
      <c r="Q59" s="479"/>
      <c r="R59" s="476" t="s">
        <v>38</v>
      </c>
      <c r="S59" s="477"/>
      <c r="T59" s="477"/>
      <c r="U59" s="479"/>
      <c r="V59" s="476" t="s">
        <v>48</v>
      </c>
      <c r="W59" s="477"/>
      <c r="X59" s="477"/>
      <c r="Y59" s="477"/>
      <c r="Z59" s="477"/>
      <c r="AA59" s="477"/>
      <c r="AB59" s="477"/>
      <c r="AC59" s="477"/>
      <c r="AD59" s="478"/>
    </row>
    <row r="60" spans="1:32" ht="27" customHeight="1">
      <c r="A60" s="500" t="s">
        <v>112</v>
      </c>
      <c r="B60" s="501"/>
      <c r="C60" s="385" t="s">
        <v>132</v>
      </c>
      <c r="D60" s="385" t="s">
        <v>130</v>
      </c>
      <c r="E60" s="384" t="s">
        <v>564</v>
      </c>
      <c r="F60" s="492" t="s">
        <v>125</v>
      </c>
      <c r="G60" s="493"/>
      <c r="H60" s="493"/>
      <c r="I60" s="493"/>
      <c r="J60" s="493"/>
      <c r="K60" s="493"/>
      <c r="L60" s="493"/>
      <c r="M60" s="494"/>
      <c r="N60" s="383" t="s">
        <v>116</v>
      </c>
      <c r="O60" s="390" t="s">
        <v>193</v>
      </c>
      <c r="P60" s="495" t="s">
        <v>140</v>
      </c>
      <c r="Q60" s="496"/>
      <c r="R60" s="495" t="s">
        <v>323</v>
      </c>
      <c r="S60" s="497"/>
      <c r="T60" s="497"/>
      <c r="U60" s="496"/>
      <c r="V60" s="498" t="s">
        <v>120</v>
      </c>
      <c r="W60" s="498"/>
      <c r="X60" s="498"/>
      <c r="Y60" s="498"/>
      <c r="Z60" s="498"/>
      <c r="AA60" s="498"/>
      <c r="AB60" s="498"/>
      <c r="AC60" s="498"/>
      <c r="AD60" s="499"/>
    </row>
    <row r="61" spans="1:32" ht="27" customHeight="1">
      <c r="A61" s="500" t="s">
        <v>241</v>
      </c>
      <c r="B61" s="501"/>
      <c r="C61" s="385" t="s">
        <v>175</v>
      </c>
      <c r="D61" s="385"/>
      <c r="E61" s="384" t="s">
        <v>383</v>
      </c>
      <c r="F61" s="492" t="s">
        <v>331</v>
      </c>
      <c r="G61" s="493"/>
      <c r="H61" s="493"/>
      <c r="I61" s="493"/>
      <c r="J61" s="493"/>
      <c r="K61" s="493"/>
      <c r="L61" s="493"/>
      <c r="M61" s="494"/>
      <c r="N61" s="383" t="s">
        <v>112</v>
      </c>
      <c r="O61" s="390" t="s">
        <v>259</v>
      </c>
      <c r="P61" s="495" t="s">
        <v>115</v>
      </c>
      <c r="Q61" s="496"/>
      <c r="R61" s="495" t="s">
        <v>563</v>
      </c>
      <c r="S61" s="497"/>
      <c r="T61" s="497"/>
      <c r="U61" s="496"/>
      <c r="V61" s="498" t="s">
        <v>120</v>
      </c>
      <c r="W61" s="498"/>
      <c r="X61" s="498"/>
      <c r="Y61" s="498"/>
      <c r="Z61" s="498"/>
      <c r="AA61" s="498"/>
      <c r="AB61" s="498"/>
      <c r="AC61" s="498"/>
      <c r="AD61" s="499"/>
    </row>
    <row r="62" spans="1:32" ht="27" customHeight="1">
      <c r="A62" s="500" t="s">
        <v>112</v>
      </c>
      <c r="B62" s="501"/>
      <c r="C62" s="385" t="s">
        <v>129</v>
      </c>
      <c r="D62" s="385" t="s">
        <v>115</v>
      </c>
      <c r="E62" s="384" t="s">
        <v>521</v>
      </c>
      <c r="F62" s="492" t="s">
        <v>353</v>
      </c>
      <c r="G62" s="493"/>
      <c r="H62" s="493"/>
      <c r="I62" s="493"/>
      <c r="J62" s="493"/>
      <c r="K62" s="493"/>
      <c r="L62" s="493"/>
      <c r="M62" s="494"/>
      <c r="N62" s="383" t="s">
        <v>241</v>
      </c>
      <c r="O62" s="390" t="s">
        <v>175</v>
      </c>
      <c r="P62" s="495"/>
      <c r="Q62" s="496"/>
      <c r="R62" s="495" t="s">
        <v>383</v>
      </c>
      <c r="S62" s="497"/>
      <c r="T62" s="497"/>
      <c r="U62" s="496"/>
      <c r="V62" s="498" t="s">
        <v>120</v>
      </c>
      <c r="W62" s="498"/>
      <c r="X62" s="498"/>
      <c r="Y62" s="498"/>
      <c r="Z62" s="498"/>
      <c r="AA62" s="498"/>
      <c r="AB62" s="498"/>
      <c r="AC62" s="498"/>
      <c r="AD62" s="499"/>
    </row>
    <row r="63" spans="1:32" ht="27" customHeight="1">
      <c r="A63" s="500" t="s">
        <v>112</v>
      </c>
      <c r="B63" s="501"/>
      <c r="C63" s="385" t="s">
        <v>259</v>
      </c>
      <c r="D63" s="385" t="s">
        <v>115</v>
      </c>
      <c r="E63" s="384" t="s">
        <v>563</v>
      </c>
      <c r="F63" s="492" t="s">
        <v>573</v>
      </c>
      <c r="G63" s="493"/>
      <c r="H63" s="493"/>
      <c r="I63" s="493"/>
      <c r="J63" s="493"/>
      <c r="K63" s="493"/>
      <c r="L63" s="493"/>
      <c r="M63" s="494"/>
      <c r="N63" s="383"/>
      <c r="O63" s="390"/>
      <c r="P63" s="495"/>
      <c r="Q63" s="496"/>
      <c r="R63" s="495"/>
      <c r="S63" s="497"/>
      <c r="T63" s="497"/>
      <c r="U63" s="496"/>
      <c r="V63" s="498"/>
      <c r="W63" s="498"/>
      <c r="X63" s="498"/>
      <c r="Y63" s="498"/>
      <c r="Z63" s="498"/>
      <c r="AA63" s="498"/>
      <c r="AB63" s="498"/>
      <c r="AC63" s="498"/>
      <c r="AD63" s="499"/>
    </row>
    <row r="64" spans="1:32" ht="27" customHeight="1">
      <c r="A64" s="490" t="s">
        <v>112</v>
      </c>
      <c r="B64" s="491"/>
      <c r="C64" s="384" t="s">
        <v>206</v>
      </c>
      <c r="D64" s="384" t="s">
        <v>115</v>
      </c>
      <c r="E64" s="384" t="s">
        <v>574</v>
      </c>
      <c r="F64" s="492" t="s">
        <v>330</v>
      </c>
      <c r="G64" s="493"/>
      <c r="H64" s="493"/>
      <c r="I64" s="493"/>
      <c r="J64" s="493"/>
      <c r="K64" s="493"/>
      <c r="L64" s="493"/>
      <c r="M64" s="494"/>
      <c r="N64" s="383"/>
      <c r="O64" s="390"/>
      <c r="P64" s="495"/>
      <c r="Q64" s="496"/>
      <c r="R64" s="495"/>
      <c r="S64" s="497"/>
      <c r="T64" s="497"/>
      <c r="U64" s="496"/>
      <c r="V64" s="498"/>
      <c r="W64" s="498"/>
      <c r="X64" s="498"/>
      <c r="Y64" s="498"/>
      <c r="Z64" s="498"/>
      <c r="AA64" s="498"/>
      <c r="AB64" s="498"/>
      <c r="AC64" s="498"/>
      <c r="AD64" s="499"/>
    </row>
    <row r="65" spans="1:32" ht="27" customHeight="1">
      <c r="A65" s="490" t="s">
        <v>203</v>
      </c>
      <c r="B65" s="491"/>
      <c r="C65" s="384" t="s">
        <v>239</v>
      </c>
      <c r="D65" s="384" t="s">
        <v>115</v>
      </c>
      <c r="E65" s="384" t="s">
        <v>511</v>
      </c>
      <c r="F65" s="492" t="s">
        <v>575</v>
      </c>
      <c r="G65" s="493"/>
      <c r="H65" s="493"/>
      <c r="I65" s="493"/>
      <c r="J65" s="493"/>
      <c r="K65" s="493"/>
      <c r="L65" s="493"/>
      <c r="M65" s="494"/>
      <c r="N65" s="383"/>
      <c r="O65" s="390"/>
      <c r="P65" s="495"/>
      <c r="Q65" s="496"/>
      <c r="R65" s="495"/>
      <c r="S65" s="497"/>
      <c r="T65" s="497"/>
      <c r="U65" s="496"/>
      <c r="V65" s="498"/>
      <c r="W65" s="498"/>
      <c r="X65" s="498"/>
      <c r="Y65" s="498"/>
      <c r="Z65" s="498"/>
      <c r="AA65" s="498"/>
      <c r="AB65" s="498"/>
      <c r="AC65" s="498"/>
      <c r="AD65" s="499"/>
    </row>
    <row r="66" spans="1:32" ht="27" customHeight="1">
      <c r="A66" s="490" t="s">
        <v>241</v>
      </c>
      <c r="B66" s="491"/>
      <c r="C66" s="384" t="s">
        <v>239</v>
      </c>
      <c r="D66" s="384"/>
      <c r="E66" s="384" t="s">
        <v>325</v>
      </c>
      <c r="F66" s="492" t="s">
        <v>125</v>
      </c>
      <c r="G66" s="493"/>
      <c r="H66" s="493"/>
      <c r="I66" s="493"/>
      <c r="J66" s="493"/>
      <c r="K66" s="493"/>
      <c r="L66" s="493"/>
      <c r="M66" s="494"/>
      <c r="N66" s="383"/>
      <c r="O66" s="390"/>
      <c r="P66" s="495"/>
      <c r="Q66" s="496"/>
      <c r="R66" s="495"/>
      <c r="S66" s="497"/>
      <c r="T66" s="497"/>
      <c r="U66" s="496"/>
      <c r="V66" s="498"/>
      <c r="W66" s="498"/>
      <c r="X66" s="498"/>
      <c r="Y66" s="498"/>
      <c r="Z66" s="498"/>
      <c r="AA66" s="498"/>
      <c r="AB66" s="498"/>
      <c r="AC66" s="498"/>
      <c r="AD66" s="499"/>
    </row>
    <row r="67" spans="1:32" ht="27" customHeight="1">
      <c r="A67" s="500" t="s">
        <v>113</v>
      </c>
      <c r="B67" s="501"/>
      <c r="C67" s="385" t="s">
        <v>390</v>
      </c>
      <c r="D67" s="385"/>
      <c r="E67" s="384" t="s">
        <v>139</v>
      </c>
      <c r="F67" s="492" t="s">
        <v>125</v>
      </c>
      <c r="G67" s="493"/>
      <c r="H67" s="493"/>
      <c r="I67" s="493"/>
      <c r="J67" s="493"/>
      <c r="K67" s="493"/>
      <c r="L67" s="493"/>
      <c r="M67" s="494"/>
      <c r="N67" s="383"/>
      <c r="O67" s="390"/>
      <c r="P67" s="495"/>
      <c r="Q67" s="496"/>
      <c r="R67" s="495"/>
      <c r="S67" s="497"/>
      <c r="T67" s="497"/>
      <c r="U67" s="496"/>
      <c r="V67" s="498"/>
      <c r="W67" s="498"/>
      <c r="X67" s="498"/>
      <c r="Y67" s="498"/>
      <c r="Z67" s="498"/>
      <c r="AA67" s="498"/>
      <c r="AB67" s="498"/>
      <c r="AC67" s="498"/>
      <c r="AD67" s="499"/>
    </row>
    <row r="68" spans="1:32" ht="27" customHeight="1">
      <c r="A68" s="500"/>
      <c r="B68" s="501"/>
      <c r="C68" s="385"/>
      <c r="D68" s="385"/>
      <c r="E68" s="384"/>
      <c r="F68" s="492"/>
      <c r="G68" s="493"/>
      <c r="H68" s="493"/>
      <c r="I68" s="493"/>
      <c r="J68" s="493"/>
      <c r="K68" s="493"/>
      <c r="L68" s="493"/>
      <c r="M68" s="494"/>
      <c r="N68" s="383"/>
      <c r="O68" s="390"/>
      <c r="P68" s="491"/>
      <c r="Q68" s="491"/>
      <c r="R68" s="491"/>
      <c r="S68" s="491"/>
      <c r="T68" s="491"/>
      <c r="U68" s="491"/>
      <c r="V68" s="498"/>
      <c r="W68" s="498"/>
      <c r="X68" s="498"/>
      <c r="Y68" s="498"/>
      <c r="Z68" s="498"/>
      <c r="AA68" s="498"/>
      <c r="AB68" s="498"/>
      <c r="AC68" s="498"/>
      <c r="AD68" s="499"/>
      <c r="AF68" s="84">
        <f>8*3000</f>
        <v>24000</v>
      </c>
    </row>
    <row r="69" spans="1:32" ht="27" customHeight="1" thickBot="1">
      <c r="A69" s="502"/>
      <c r="B69" s="503"/>
      <c r="C69" s="386"/>
      <c r="D69" s="387"/>
      <c r="E69" s="386"/>
      <c r="F69" s="504"/>
      <c r="G69" s="505"/>
      <c r="H69" s="505"/>
      <c r="I69" s="505"/>
      <c r="J69" s="505"/>
      <c r="K69" s="505"/>
      <c r="L69" s="505"/>
      <c r="M69" s="506"/>
      <c r="N69" s="111"/>
      <c r="O69" s="103"/>
      <c r="P69" s="507"/>
      <c r="Q69" s="507"/>
      <c r="R69" s="507"/>
      <c r="S69" s="507"/>
      <c r="T69" s="507"/>
      <c r="U69" s="507"/>
      <c r="V69" s="508"/>
      <c r="W69" s="508"/>
      <c r="X69" s="508"/>
      <c r="Y69" s="508"/>
      <c r="Z69" s="508"/>
      <c r="AA69" s="508"/>
      <c r="AB69" s="508"/>
      <c r="AC69" s="508"/>
      <c r="AD69" s="509"/>
      <c r="AF69" s="84">
        <f>16*3000</f>
        <v>48000</v>
      </c>
    </row>
    <row r="70" spans="1:32" ht="27.75" thickBot="1">
      <c r="A70" s="510" t="s">
        <v>577</v>
      </c>
      <c r="B70" s="510"/>
      <c r="C70" s="510"/>
      <c r="D70" s="510"/>
      <c r="E70" s="510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F70" s="84">
        <v>24000</v>
      </c>
    </row>
    <row r="71" spans="1:32" ht="29.25" customHeight="1" thickBot="1">
      <c r="A71" s="511" t="s">
        <v>111</v>
      </c>
      <c r="B71" s="512"/>
      <c r="C71" s="388" t="s">
        <v>2</v>
      </c>
      <c r="D71" s="388" t="s">
        <v>37</v>
      </c>
      <c r="E71" s="388" t="s">
        <v>3</v>
      </c>
      <c r="F71" s="512" t="s">
        <v>109</v>
      </c>
      <c r="G71" s="512"/>
      <c r="H71" s="512"/>
      <c r="I71" s="512"/>
      <c r="J71" s="512"/>
      <c r="K71" s="512" t="s">
        <v>39</v>
      </c>
      <c r="L71" s="512"/>
      <c r="M71" s="388" t="s">
        <v>40</v>
      </c>
      <c r="N71" s="512" t="s">
        <v>41</v>
      </c>
      <c r="O71" s="512"/>
      <c r="P71" s="513" t="s">
        <v>42</v>
      </c>
      <c r="Q71" s="514"/>
      <c r="R71" s="513" t="s">
        <v>43</v>
      </c>
      <c r="S71" s="515"/>
      <c r="T71" s="515"/>
      <c r="U71" s="515"/>
      <c r="V71" s="515"/>
      <c r="W71" s="515"/>
      <c r="X71" s="515"/>
      <c r="Y71" s="515"/>
      <c r="Z71" s="515"/>
      <c r="AA71" s="514"/>
      <c r="AB71" s="512" t="s">
        <v>44</v>
      </c>
      <c r="AC71" s="512"/>
      <c r="AD71" s="516"/>
      <c r="AF71" s="84">
        <f>SUM(AF68:AF70)</f>
        <v>96000</v>
      </c>
    </row>
    <row r="72" spans="1:32" ht="25.5" customHeight="1">
      <c r="A72" s="517">
        <v>1</v>
      </c>
      <c r="B72" s="518"/>
      <c r="C72" s="104" t="s">
        <v>116</v>
      </c>
      <c r="D72" s="392"/>
      <c r="E72" s="389" t="s">
        <v>140</v>
      </c>
      <c r="F72" s="519" t="s">
        <v>323</v>
      </c>
      <c r="G72" s="520"/>
      <c r="H72" s="520"/>
      <c r="I72" s="520"/>
      <c r="J72" s="521"/>
      <c r="K72" s="522" t="s">
        <v>578</v>
      </c>
      <c r="L72" s="522"/>
      <c r="M72" s="51" t="s">
        <v>579</v>
      </c>
      <c r="N72" s="523" t="s">
        <v>193</v>
      </c>
      <c r="O72" s="523"/>
      <c r="P72" s="524">
        <v>500</v>
      </c>
      <c r="Q72" s="524"/>
      <c r="R72" s="498" t="s">
        <v>580</v>
      </c>
      <c r="S72" s="498"/>
      <c r="T72" s="498"/>
      <c r="U72" s="498"/>
      <c r="V72" s="498"/>
      <c r="W72" s="498"/>
      <c r="X72" s="498"/>
      <c r="Y72" s="498"/>
      <c r="Z72" s="498"/>
      <c r="AA72" s="498"/>
      <c r="AB72" s="522"/>
      <c r="AC72" s="522"/>
      <c r="AD72" s="525"/>
      <c r="AF72" s="50"/>
    </row>
    <row r="73" spans="1:32" ht="25.5" customHeight="1">
      <c r="A73" s="517">
        <v>2</v>
      </c>
      <c r="B73" s="518"/>
      <c r="C73" s="104"/>
      <c r="D73" s="392"/>
      <c r="E73" s="389"/>
      <c r="F73" s="519"/>
      <c r="G73" s="520"/>
      <c r="H73" s="520"/>
      <c r="I73" s="520"/>
      <c r="J73" s="521"/>
      <c r="K73" s="522"/>
      <c r="L73" s="522"/>
      <c r="M73" s="51"/>
      <c r="N73" s="523"/>
      <c r="O73" s="523"/>
      <c r="P73" s="524"/>
      <c r="Q73" s="524"/>
      <c r="R73" s="498"/>
      <c r="S73" s="498"/>
      <c r="T73" s="498"/>
      <c r="U73" s="498"/>
      <c r="V73" s="498"/>
      <c r="W73" s="498"/>
      <c r="X73" s="498"/>
      <c r="Y73" s="498"/>
      <c r="Z73" s="498"/>
      <c r="AA73" s="498"/>
      <c r="AB73" s="522"/>
      <c r="AC73" s="522"/>
      <c r="AD73" s="525"/>
      <c r="AF73" s="50"/>
    </row>
    <row r="74" spans="1:32" ht="25.5" customHeight="1">
      <c r="A74" s="517">
        <v>3</v>
      </c>
      <c r="B74" s="518"/>
      <c r="C74" s="104"/>
      <c r="D74" s="392"/>
      <c r="E74" s="389"/>
      <c r="F74" s="519"/>
      <c r="G74" s="520"/>
      <c r="H74" s="520"/>
      <c r="I74" s="520"/>
      <c r="J74" s="521"/>
      <c r="K74" s="522"/>
      <c r="L74" s="522"/>
      <c r="M74" s="51"/>
      <c r="N74" s="523"/>
      <c r="O74" s="523"/>
      <c r="P74" s="524"/>
      <c r="Q74" s="524"/>
      <c r="R74" s="498"/>
      <c r="S74" s="498"/>
      <c r="T74" s="498"/>
      <c r="U74" s="498"/>
      <c r="V74" s="498"/>
      <c r="W74" s="498"/>
      <c r="X74" s="498"/>
      <c r="Y74" s="498"/>
      <c r="Z74" s="498"/>
      <c r="AA74" s="498"/>
      <c r="AB74" s="522"/>
      <c r="AC74" s="522"/>
      <c r="AD74" s="525"/>
      <c r="AF74" s="50"/>
    </row>
    <row r="75" spans="1:32" ht="25.5" customHeight="1">
      <c r="A75" s="517">
        <v>4</v>
      </c>
      <c r="B75" s="518"/>
      <c r="C75" s="104"/>
      <c r="D75" s="392"/>
      <c r="E75" s="389"/>
      <c r="F75" s="519"/>
      <c r="G75" s="520"/>
      <c r="H75" s="520"/>
      <c r="I75" s="520"/>
      <c r="J75" s="521"/>
      <c r="K75" s="522"/>
      <c r="L75" s="522"/>
      <c r="M75" s="51"/>
      <c r="N75" s="523"/>
      <c r="O75" s="523"/>
      <c r="P75" s="524"/>
      <c r="Q75" s="524"/>
      <c r="R75" s="498"/>
      <c r="S75" s="498"/>
      <c r="T75" s="498"/>
      <c r="U75" s="498"/>
      <c r="V75" s="498"/>
      <c r="W75" s="498"/>
      <c r="X75" s="498"/>
      <c r="Y75" s="498"/>
      <c r="Z75" s="498"/>
      <c r="AA75" s="498"/>
      <c r="AB75" s="522"/>
      <c r="AC75" s="522"/>
      <c r="AD75" s="525"/>
      <c r="AF75" s="50"/>
    </row>
    <row r="76" spans="1:32" ht="25.5" customHeight="1">
      <c r="A76" s="517">
        <v>5</v>
      </c>
      <c r="B76" s="518"/>
      <c r="C76" s="104"/>
      <c r="D76" s="392"/>
      <c r="E76" s="389"/>
      <c r="F76" s="519"/>
      <c r="G76" s="520"/>
      <c r="H76" s="520"/>
      <c r="I76" s="520"/>
      <c r="J76" s="521"/>
      <c r="K76" s="522"/>
      <c r="L76" s="522"/>
      <c r="M76" s="51"/>
      <c r="N76" s="523"/>
      <c r="O76" s="523"/>
      <c r="P76" s="524"/>
      <c r="Q76" s="524"/>
      <c r="R76" s="498"/>
      <c r="S76" s="498"/>
      <c r="T76" s="498"/>
      <c r="U76" s="498"/>
      <c r="V76" s="498"/>
      <c r="W76" s="498"/>
      <c r="X76" s="498"/>
      <c r="Y76" s="498"/>
      <c r="Z76" s="498"/>
      <c r="AA76" s="498"/>
      <c r="AB76" s="522"/>
      <c r="AC76" s="522"/>
      <c r="AD76" s="525"/>
      <c r="AF76" s="50"/>
    </row>
    <row r="77" spans="1:32" ht="25.5" customHeight="1">
      <c r="A77" s="517">
        <v>6</v>
      </c>
      <c r="B77" s="518"/>
      <c r="C77" s="104"/>
      <c r="D77" s="392"/>
      <c r="E77" s="389"/>
      <c r="F77" s="519"/>
      <c r="G77" s="520"/>
      <c r="H77" s="520"/>
      <c r="I77" s="520"/>
      <c r="J77" s="521"/>
      <c r="K77" s="522"/>
      <c r="L77" s="522"/>
      <c r="M77" s="51"/>
      <c r="N77" s="523"/>
      <c r="O77" s="523"/>
      <c r="P77" s="524"/>
      <c r="Q77" s="524"/>
      <c r="R77" s="498"/>
      <c r="S77" s="498"/>
      <c r="T77" s="498"/>
      <c r="U77" s="498"/>
      <c r="V77" s="498"/>
      <c r="W77" s="498"/>
      <c r="X77" s="498"/>
      <c r="Y77" s="498"/>
      <c r="Z77" s="498"/>
      <c r="AA77" s="498"/>
      <c r="AB77" s="522"/>
      <c r="AC77" s="522"/>
      <c r="AD77" s="525"/>
      <c r="AF77" s="50"/>
    </row>
    <row r="78" spans="1:32" ht="25.5" customHeight="1">
      <c r="A78" s="517">
        <v>7</v>
      </c>
      <c r="B78" s="518"/>
      <c r="C78" s="104"/>
      <c r="D78" s="392"/>
      <c r="E78" s="389"/>
      <c r="F78" s="519"/>
      <c r="G78" s="520"/>
      <c r="H78" s="520"/>
      <c r="I78" s="520"/>
      <c r="J78" s="521"/>
      <c r="K78" s="522"/>
      <c r="L78" s="522"/>
      <c r="M78" s="51"/>
      <c r="N78" s="523"/>
      <c r="O78" s="523"/>
      <c r="P78" s="524"/>
      <c r="Q78" s="524"/>
      <c r="R78" s="498"/>
      <c r="S78" s="498"/>
      <c r="T78" s="498"/>
      <c r="U78" s="498"/>
      <c r="V78" s="498"/>
      <c r="W78" s="498"/>
      <c r="X78" s="498"/>
      <c r="Y78" s="498"/>
      <c r="Z78" s="498"/>
      <c r="AA78" s="498"/>
      <c r="AB78" s="522"/>
      <c r="AC78" s="522"/>
      <c r="AD78" s="525"/>
      <c r="AF78" s="50"/>
    </row>
    <row r="79" spans="1:32" ht="25.5" customHeight="1">
      <c r="A79" s="517">
        <v>8</v>
      </c>
      <c r="B79" s="518"/>
      <c r="C79" s="104"/>
      <c r="D79" s="392"/>
      <c r="E79" s="389"/>
      <c r="F79" s="526"/>
      <c r="G79" s="522"/>
      <c r="H79" s="522"/>
      <c r="I79" s="522"/>
      <c r="J79" s="522"/>
      <c r="K79" s="522"/>
      <c r="L79" s="522"/>
      <c r="M79" s="51"/>
      <c r="N79" s="523"/>
      <c r="O79" s="523"/>
      <c r="P79" s="524"/>
      <c r="Q79" s="524"/>
      <c r="R79" s="498"/>
      <c r="S79" s="498"/>
      <c r="T79" s="498"/>
      <c r="U79" s="498"/>
      <c r="V79" s="498"/>
      <c r="W79" s="498"/>
      <c r="X79" s="498"/>
      <c r="Y79" s="498"/>
      <c r="Z79" s="498"/>
      <c r="AA79" s="498"/>
      <c r="AB79" s="522"/>
      <c r="AC79" s="522"/>
      <c r="AD79" s="525"/>
      <c r="AF79" s="50"/>
    </row>
    <row r="80" spans="1:32" ht="25.5" customHeight="1">
      <c r="A80" s="517">
        <v>9</v>
      </c>
      <c r="B80" s="518"/>
      <c r="C80" s="104"/>
      <c r="D80" s="392"/>
      <c r="E80" s="389"/>
      <c r="F80" s="526"/>
      <c r="G80" s="522"/>
      <c r="H80" s="522"/>
      <c r="I80" s="522"/>
      <c r="J80" s="522"/>
      <c r="K80" s="522"/>
      <c r="L80" s="522"/>
      <c r="M80" s="51"/>
      <c r="N80" s="523"/>
      <c r="O80" s="523"/>
      <c r="P80" s="524"/>
      <c r="Q80" s="524"/>
      <c r="R80" s="498"/>
      <c r="S80" s="498"/>
      <c r="T80" s="498"/>
      <c r="U80" s="498"/>
      <c r="V80" s="498"/>
      <c r="W80" s="498"/>
      <c r="X80" s="498"/>
      <c r="Y80" s="498"/>
      <c r="Z80" s="498"/>
      <c r="AA80" s="498"/>
      <c r="AB80" s="522"/>
      <c r="AC80" s="522"/>
      <c r="AD80" s="525"/>
      <c r="AF80" s="50"/>
    </row>
    <row r="81" spans="1:32" ht="25.5" customHeight="1">
      <c r="A81" s="517">
        <v>10</v>
      </c>
      <c r="B81" s="518"/>
      <c r="C81" s="104"/>
      <c r="D81" s="392"/>
      <c r="E81" s="389"/>
      <c r="F81" s="526"/>
      <c r="G81" s="522"/>
      <c r="H81" s="522"/>
      <c r="I81" s="522"/>
      <c r="J81" s="522"/>
      <c r="K81" s="522"/>
      <c r="L81" s="522"/>
      <c r="M81" s="51"/>
      <c r="N81" s="523"/>
      <c r="O81" s="523"/>
      <c r="P81" s="524"/>
      <c r="Q81" s="524"/>
      <c r="R81" s="498"/>
      <c r="S81" s="498"/>
      <c r="T81" s="498"/>
      <c r="U81" s="498"/>
      <c r="V81" s="498"/>
      <c r="W81" s="498"/>
      <c r="X81" s="498"/>
      <c r="Y81" s="498"/>
      <c r="Z81" s="498"/>
      <c r="AA81" s="498"/>
      <c r="AB81" s="522"/>
      <c r="AC81" s="522"/>
      <c r="AD81" s="525"/>
      <c r="AF81" s="50"/>
    </row>
    <row r="82" spans="1:32" ht="26.25" customHeight="1" thickBot="1">
      <c r="A82" s="527" t="s">
        <v>581</v>
      </c>
      <c r="B82" s="527"/>
      <c r="C82" s="527"/>
      <c r="D82" s="527"/>
      <c r="E82" s="527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23.25" thickBot="1">
      <c r="A83" s="528" t="s">
        <v>111</v>
      </c>
      <c r="B83" s="529"/>
      <c r="C83" s="391" t="s">
        <v>2</v>
      </c>
      <c r="D83" s="391" t="s">
        <v>37</v>
      </c>
      <c r="E83" s="391" t="s">
        <v>121</v>
      </c>
      <c r="F83" s="530" t="s">
        <v>38</v>
      </c>
      <c r="G83" s="530"/>
      <c r="H83" s="530"/>
      <c r="I83" s="530"/>
      <c r="J83" s="530"/>
      <c r="K83" s="531" t="s">
        <v>58</v>
      </c>
      <c r="L83" s="532"/>
      <c r="M83" s="532"/>
      <c r="N83" s="532"/>
      <c r="O83" s="532"/>
      <c r="P83" s="532"/>
      <c r="Q83" s="532"/>
      <c r="R83" s="532"/>
      <c r="S83" s="533"/>
      <c r="T83" s="530" t="s">
        <v>49</v>
      </c>
      <c r="U83" s="530"/>
      <c r="V83" s="531" t="s">
        <v>50</v>
      </c>
      <c r="W83" s="533"/>
      <c r="X83" s="532" t="s">
        <v>51</v>
      </c>
      <c r="Y83" s="532"/>
      <c r="Z83" s="532"/>
      <c r="AA83" s="532"/>
      <c r="AB83" s="532"/>
      <c r="AC83" s="532"/>
      <c r="AD83" s="534"/>
      <c r="AF83" s="50"/>
    </row>
    <row r="84" spans="1:32" ht="33.75" customHeight="1">
      <c r="A84" s="543">
        <v>1</v>
      </c>
      <c r="B84" s="544"/>
      <c r="C84" s="393"/>
      <c r="D84" s="393"/>
      <c r="E84" s="65"/>
      <c r="F84" s="545"/>
      <c r="G84" s="546"/>
      <c r="H84" s="546"/>
      <c r="I84" s="546"/>
      <c r="J84" s="547"/>
      <c r="K84" s="548"/>
      <c r="L84" s="549"/>
      <c r="M84" s="549"/>
      <c r="N84" s="549"/>
      <c r="O84" s="549"/>
      <c r="P84" s="549"/>
      <c r="Q84" s="549"/>
      <c r="R84" s="549"/>
      <c r="S84" s="550"/>
      <c r="T84" s="551"/>
      <c r="U84" s="552"/>
      <c r="V84" s="553"/>
      <c r="W84" s="553"/>
      <c r="X84" s="554"/>
      <c r="Y84" s="554"/>
      <c r="Z84" s="554"/>
      <c r="AA84" s="554"/>
      <c r="AB84" s="554"/>
      <c r="AC84" s="554"/>
      <c r="AD84" s="555"/>
      <c r="AF84" s="50"/>
    </row>
    <row r="85" spans="1:32" ht="30" customHeight="1">
      <c r="A85" s="535">
        <f>A84+1</f>
        <v>2</v>
      </c>
      <c r="B85" s="536"/>
      <c r="C85" s="392"/>
      <c r="D85" s="392"/>
      <c r="E85" s="32"/>
      <c r="F85" s="536"/>
      <c r="G85" s="536"/>
      <c r="H85" s="536"/>
      <c r="I85" s="536"/>
      <c r="J85" s="536"/>
      <c r="K85" s="537"/>
      <c r="L85" s="538"/>
      <c r="M85" s="538"/>
      <c r="N85" s="538"/>
      <c r="O85" s="538"/>
      <c r="P85" s="538"/>
      <c r="Q85" s="538"/>
      <c r="R85" s="538"/>
      <c r="S85" s="539"/>
      <c r="T85" s="540"/>
      <c r="U85" s="540"/>
      <c r="V85" s="540"/>
      <c r="W85" s="540"/>
      <c r="X85" s="541"/>
      <c r="Y85" s="541"/>
      <c r="Z85" s="541"/>
      <c r="AA85" s="541"/>
      <c r="AB85" s="541"/>
      <c r="AC85" s="541"/>
      <c r="AD85" s="542"/>
      <c r="AF85" s="50"/>
    </row>
    <row r="86" spans="1:32" ht="30" customHeight="1">
      <c r="A86" s="535">
        <f t="shared" ref="A86:A90" si="19">A85+1</f>
        <v>3</v>
      </c>
      <c r="B86" s="536"/>
      <c r="C86" s="392"/>
      <c r="D86" s="392"/>
      <c r="E86" s="32"/>
      <c r="F86" s="536"/>
      <c r="G86" s="536"/>
      <c r="H86" s="536"/>
      <c r="I86" s="536"/>
      <c r="J86" s="536"/>
      <c r="K86" s="537"/>
      <c r="L86" s="538"/>
      <c r="M86" s="538"/>
      <c r="N86" s="538"/>
      <c r="O86" s="538"/>
      <c r="P86" s="538"/>
      <c r="Q86" s="538"/>
      <c r="R86" s="538"/>
      <c r="S86" s="539"/>
      <c r="T86" s="540"/>
      <c r="U86" s="540"/>
      <c r="V86" s="540"/>
      <c r="W86" s="540"/>
      <c r="X86" s="541"/>
      <c r="Y86" s="541"/>
      <c r="Z86" s="541"/>
      <c r="AA86" s="541"/>
      <c r="AB86" s="541"/>
      <c r="AC86" s="541"/>
      <c r="AD86" s="542"/>
      <c r="AF86" s="50"/>
    </row>
    <row r="87" spans="1:32" ht="30" customHeight="1">
      <c r="A87" s="535">
        <f t="shared" si="19"/>
        <v>4</v>
      </c>
      <c r="B87" s="536"/>
      <c r="C87" s="392"/>
      <c r="D87" s="392"/>
      <c r="E87" s="32"/>
      <c r="F87" s="536"/>
      <c r="G87" s="536"/>
      <c r="H87" s="536"/>
      <c r="I87" s="536"/>
      <c r="J87" s="536"/>
      <c r="K87" s="537"/>
      <c r="L87" s="538"/>
      <c r="M87" s="538"/>
      <c r="N87" s="538"/>
      <c r="O87" s="538"/>
      <c r="P87" s="538"/>
      <c r="Q87" s="538"/>
      <c r="R87" s="538"/>
      <c r="S87" s="539"/>
      <c r="T87" s="540"/>
      <c r="U87" s="540"/>
      <c r="V87" s="540"/>
      <c r="W87" s="540"/>
      <c r="X87" s="541"/>
      <c r="Y87" s="541"/>
      <c r="Z87" s="541"/>
      <c r="AA87" s="541"/>
      <c r="AB87" s="541"/>
      <c r="AC87" s="541"/>
      <c r="AD87" s="542"/>
      <c r="AF87" s="50"/>
    </row>
    <row r="88" spans="1:32" ht="30" customHeight="1">
      <c r="A88" s="535">
        <f t="shared" si="19"/>
        <v>5</v>
      </c>
      <c r="B88" s="536"/>
      <c r="C88" s="392"/>
      <c r="D88" s="392"/>
      <c r="E88" s="32"/>
      <c r="F88" s="536"/>
      <c r="G88" s="536"/>
      <c r="H88" s="536"/>
      <c r="I88" s="536"/>
      <c r="J88" s="536"/>
      <c r="K88" s="537"/>
      <c r="L88" s="538"/>
      <c r="M88" s="538"/>
      <c r="N88" s="538"/>
      <c r="O88" s="538"/>
      <c r="P88" s="538"/>
      <c r="Q88" s="538"/>
      <c r="R88" s="538"/>
      <c r="S88" s="539"/>
      <c r="T88" s="540"/>
      <c r="U88" s="540"/>
      <c r="V88" s="540"/>
      <c r="W88" s="540"/>
      <c r="X88" s="541"/>
      <c r="Y88" s="541"/>
      <c r="Z88" s="541"/>
      <c r="AA88" s="541"/>
      <c r="AB88" s="541"/>
      <c r="AC88" s="541"/>
      <c r="AD88" s="542"/>
      <c r="AF88" s="50"/>
    </row>
    <row r="89" spans="1:32" ht="30" customHeight="1">
      <c r="A89" s="535">
        <f t="shared" si="19"/>
        <v>6</v>
      </c>
      <c r="B89" s="536"/>
      <c r="C89" s="392"/>
      <c r="D89" s="392"/>
      <c r="E89" s="32"/>
      <c r="F89" s="536"/>
      <c r="G89" s="536"/>
      <c r="H89" s="536"/>
      <c r="I89" s="536"/>
      <c r="J89" s="536"/>
      <c r="K89" s="537"/>
      <c r="L89" s="538"/>
      <c r="M89" s="538"/>
      <c r="N89" s="538"/>
      <c r="O89" s="538"/>
      <c r="P89" s="538"/>
      <c r="Q89" s="538"/>
      <c r="R89" s="538"/>
      <c r="S89" s="539"/>
      <c r="T89" s="540"/>
      <c r="U89" s="540"/>
      <c r="V89" s="540"/>
      <c r="W89" s="540"/>
      <c r="X89" s="541"/>
      <c r="Y89" s="541"/>
      <c r="Z89" s="541"/>
      <c r="AA89" s="541"/>
      <c r="AB89" s="541"/>
      <c r="AC89" s="541"/>
      <c r="AD89" s="542"/>
      <c r="AF89" s="50"/>
    </row>
    <row r="90" spans="1:32" ht="30" customHeight="1">
      <c r="A90" s="535">
        <f t="shared" si="19"/>
        <v>7</v>
      </c>
      <c r="B90" s="536"/>
      <c r="C90" s="392"/>
      <c r="D90" s="392"/>
      <c r="E90" s="32"/>
      <c r="F90" s="536"/>
      <c r="G90" s="536"/>
      <c r="H90" s="536"/>
      <c r="I90" s="536"/>
      <c r="J90" s="536"/>
      <c r="K90" s="537"/>
      <c r="L90" s="538"/>
      <c r="M90" s="538"/>
      <c r="N90" s="538"/>
      <c r="O90" s="538"/>
      <c r="P90" s="538"/>
      <c r="Q90" s="538"/>
      <c r="R90" s="538"/>
      <c r="S90" s="539"/>
      <c r="T90" s="540"/>
      <c r="U90" s="540"/>
      <c r="V90" s="540"/>
      <c r="W90" s="540"/>
      <c r="X90" s="541"/>
      <c r="Y90" s="541"/>
      <c r="Z90" s="541"/>
      <c r="AA90" s="541"/>
      <c r="AB90" s="541"/>
      <c r="AC90" s="541"/>
      <c r="AD90" s="542"/>
      <c r="AF90" s="50"/>
    </row>
    <row r="91" spans="1:32" ht="36" thickBot="1">
      <c r="A91" s="527" t="s">
        <v>582</v>
      </c>
      <c r="B91" s="527"/>
      <c r="C91" s="527"/>
      <c r="D91" s="527"/>
      <c r="E91" s="527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F91" s="50"/>
    </row>
    <row r="92" spans="1:32" ht="30.75" customHeight="1" thickBot="1">
      <c r="A92" s="556" t="s">
        <v>111</v>
      </c>
      <c r="B92" s="530"/>
      <c r="C92" s="557" t="s">
        <v>52</v>
      </c>
      <c r="D92" s="557"/>
      <c r="E92" s="557" t="s">
        <v>53</v>
      </c>
      <c r="F92" s="557"/>
      <c r="G92" s="557"/>
      <c r="H92" s="557"/>
      <c r="I92" s="557"/>
      <c r="J92" s="557"/>
      <c r="K92" s="557" t="s">
        <v>54</v>
      </c>
      <c r="L92" s="557"/>
      <c r="M92" s="557"/>
      <c r="N92" s="557"/>
      <c r="O92" s="557"/>
      <c r="P92" s="557"/>
      <c r="Q92" s="557"/>
      <c r="R92" s="557"/>
      <c r="S92" s="557"/>
      <c r="T92" s="557" t="s">
        <v>55</v>
      </c>
      <c r="U92" s="557"/>
      <c r="V92" s="557" t="s">
        <v>56</v>
      </c>
      <c r="W92" s="557"/>
      <c r="X92" s="557"/>
      <c r="Y92" s="557" t="s">
        <v>51</v>
      </c>
      <c r="Z92" s="557"/>
      <c r="AA92" s="557"/>
      <c r="AB92" s="557"/>
      <c r="AC92" s="557"/>
      <c r="AD92" s="558"/>
      <c r="AF92" s="50"/>
    </row>
    <row r="93" spans="1:32" ht="30.75" customHeight="1">
      <c r="A93" s="543">
        <v>1</v>
      </c>
      <c r="B93" s="544"/>
      <c r="C93" s="559">
        <v>9</v>
      </c>
      <c r="D93" s="559"/>
      <c r="E93" s="559" t="s">
        <v>127</v>
      </c>
      <c r="F93" s="559"/>
      <c r="G93" s="559"/>
      <c r="H93" s="559"/>
      <c r="I93" s="559"/>
      <c r="J93" s="559"/>
      <c r="K93" s="559" t="s">
        <v>136</v>
      </c>
      <c r="L93" s="559"/>
      <c r="M93" s="559"/>
      <c r="N93" s="559"/>
      <c r="O93" s="559"/>
      <c r="P93" s="559"/>
      <c r="Q93" s="559"/>
      <c r="R93" s="559"/>
      <c r="S93" s="559"/>
      <c r="T93" s="559" t="s">
        <v>128</v>
      </c>
      <c r="U93" s="559"/>
      <c r="V93" s="560" t="s">
        <v>133</v>
      </c>
      <c r="W93" s="560"/>
      <c r="X93" s="560"/>
      <c r="Y93" s="561"/>
      <c r="Z93" s="561"/>
      <c r="AA93" s="561"/>
      <c r="AB93" s="561"/>
      <c r="AC93" s="561"/>
      <c r="AD93" s="562"/>
      <c r="AF93" s="50"/>
    </row>
    <row r="94" spans="1:32" ht="30.75" customHeight="1">
      <c r="A94" s="535">
        <v>2</v>
      </c>
      <c r="B94" s="536"/>
      <c r="C94" s="570"/>
      <c r="D94" s="570"/>
      <c r="E94" s="570"/>
      <c r="F94" s="570"/>
      <c r="G94" s="570"/>
      <c r="H94" s="570"/>
      <c r="I94" s="570"/>
      <c r="J94" s="570"/>
      <c r="K94" s="570"/>
      <c r="L94" s="570"/>
      <c r="M94" s="570"/>
      <c r="N94" s="570"/>
      <c r="O94" s="570"/>
      <c r="P94" s="570"/>
      <c r="Q94" s="570"/>
      <c r="R94" s="570"/>
      <c r="S94" s="570"/>
      <c r="T94" s="571"/>
      <c r="U94" s="571"/>
      <c r="V94" s="572"/>
      <c r="W94" s="572"/>
      <c r="X94" s="572"/>
      <c r="Y94" s="563"/>
      <c r="Z94" s="563"/>
      <c r="AA94" s="563"/>
      <c r="AB94" s="563"/>
      <c r="AC94" s="563"/>
      <c r="AD94" s="564"/>
      <c r="AF94" s="50"/>
    </row>
    <row r="95" spans="1:32" ht="30.75" customHeight="1" thickBot="1">
      <c r="A95" s="565">
        <v>3</v>
      </c>
      <c r="B95" s="566"/>
      <c r="C95" s="567"/>
      <c r="D95" s="567"/>
      <c r="E95" s="567"/>
      <c r="F95" s="567"/>
      <c r="G95" s="567"/>
      <c r="H95" s="567"/>
      <c r="I95" s="567"/>
      <c r="J95" s="567"/>
      <c r="K95" s="567"/>
      <c r="L95" s="567"/>
      <c r="M95" s="567"/>
      <c r="N95" s="567"/>
      <c r="O95" s="567"/>
      <c r="P95" s="567"/>
      <c r="Q95" s="567"/>
      <c r="R95" s="567"/>
      <c r="S95" s="567"/>
      <c r="T95" s="567"/>
      <c r="U95" s="567"/>
      <c r="V95" s="573"/>
      <c r="W95" s="573"/>
      <c r="X95" s="573"/>
      <c r="Y95" s="568"/>
      <c r="Z95" s="568"/>
      <c r="AA95" s="568"/>
      <c r="AB95" s="568"/>
      <c r="AC95" s="568"/>
      <c r="AD95" s="569"/>
      <c r="AF95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30:H30"/>
    <mergeCell ref="A57:E57"/>
    <mergeCell ref="A58:M58"/>
    <mergeCell ref="N58:AD58"/>
    <mergeCell ref="A59:B59"/>
    <mergeCell ref="F59:M59"/>
    <mergeCell ref="P59:Q59"/>
    <mergeCell ref="R59:U59"/>
    <mergeCell ref="V59:AD59"/>
    <mergeCell ref="I4:O4"/>
    <mergeCell ref="P4:Q4"/>
    <mergeCell ref="R4:V4"/>
    <mergeCell ref="W4:AA4"/>
    <mergeCell ref="AB4:AB5"/>
    <mergeCell ref="AC4:AC5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70:E70"/>
    <mergeCell ref="A71:B71"/>
    <mergeCell ref="F71:J71"/>
    <mergeCell ref="K71:L71"/>
    <mergeCell ref="N71:O71"/>
    <mergeCell ref="P71:Q71"/>
    <mergeCell ref="A68:B68"/>
    <mergeCell ref="F68:M68"/>
    <mergeCell ref="P68:Q68"/>
    <mergeCell ref="R71:AA71"/>
    <mergeCell ref="AB71:AD71"/>
    <mergeCell ref="A72:B72"/>
    <mergeCell ref="F72:J72"/>
    <mergeCell ref="K72:L72"/>
    <mergeCell ref="N72:O72"/>
    <mergeCell ref="P72:Q72"/>
    <mergeCell ref="R72:AA72"/>
    <mergeCell ref="AB72:AD72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81:AD81"/>
    <mergeCell ref="A82:E82"/>
    <mergeCell ref="A83:B83"/>
    <mergeCell ref="F83:J83"/>
    <mergeCell ref="K83:S83"/>
    <mergeCell ref="T83:U83"/>
    <mergeCell ref="V83:W83"/>
    <mergeCell ref="X83:AD83"/>
    <mergeCell ref="A81:B81"/>
    <mergeCell ref="F81:J81"/>
    <mergeCell ref="K81:L81"/>
    <mergeCell ref="N81:O81"/>
    <mergeCell ref="P81:Q81"/>
    <mergeCell ref="R81:AA81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91:E91"/>
    <mergeCell ref="A92:B92"/>
    <mergeCell ref="C92:D92"/>
    <mergeCell ref="E92:J92"/>
    <mergeCell ref="K92:S92"/>
    <mergeCell ref="T92:U92"/>
    <mergeCell ref="A90:B90"/>
    <mergeCell ref="F90:J90"/>
    <mergeCell ref="K90:S90"/>
    <mergeCell ref="T90:U90"/>
    <mergeCell ref="V92:X92"/>
    <mergeCell ref="Y92:AD92"/>
    <mergeCell ref="A93:B93"/>
    <mergeCell ref="C93:D93"/>
    <mergeCell ref="E93:J93"/>
    <mergeCell ref="K93:S93"/>
    <mergeCell ref="T93:U93"/>
    <mergeCell ref="V93:X93"/>
    <mergeCell ref="Y93:AD93"/>
    <mergeCell ref="Y94:AD94"/>
    <mergeCell ref="A95:B95"/>
    <mergeCell ref="C95:D95"/>
    <mergeCell ref="E95:J95"/>
    <mergeCell ref="K95:S95"/>
    <mergeCell ref="T95:U95"/>
    <mergeCell ref="V95:X95"/>
    <mergeCell ref="Y95:AD95"/>
    <mergeCell ref="A94:B94"/>
    <mergeCell ref="C94:D94"/>
    <mergeCell ref="E94:J94"/>
    <mergeCell ref="K94:S94"/>
    <mergeCell ref="T94:U94"/>
    <mergeCell ref="V94:X94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5" max="29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B6C3-2920-40F0-8C1C-EC3EDDADA8B4}">
  <dimension ref="A1:AF93"/>
  <sheetViews>
    <sheetView view="pageBreakPreview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50" t="s">
        <v>583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1"/>
      <c r="B3" s="451"/>
      <c r="C3" s="451"/>
      <c r="D3" s="451"/>
      <c r="E3" s="451"/>
      <c r="F3" s="451"/>
      <c r="G3" s="45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52" t="s">
        <v>0</v>
      </c>
      <c r="B4" s="454" t="s">
        <v>1</v>
      </c>
      <c r="C4" s="454" t="s">
        <v>2</v>
      </c>
      <c r="D4" s="457" t="s">
        <v>3</v>
      </c>
      <c r="E4" s="459" t="s">
        <v>4</v>
      </c>
      <c r="F4" s="457" t="s">
        <v>5</v>
      </c>
      <c r="G4" s="454" t="s">
        <v>6</v>
      </c>
      <c r="H4" s="460" t="s">
        <v>7</v>
      </c>
      <c r="I4" s="480" t="s">
        <v>8</v>
      </c>
      <c r="J4" s="481"/>
      <c r="K4" s="481"/>
      <c r="L4" s="481"/>
      <c r="M4" s="481"/>
      <c r="N4" s="481"/>
      <c r="O4" s="482"/>
      <c r="P4" s="483" t="s">
        <v>9</v>
      </c>
      <c r="Q4" s="484"/>
      <c r="R4" s="486" t="s">
        <v>10</v>
      </c>
      <c r="S4" s="485"/>
      <c r="T4" s="485"/>
      <c r="U4" s="485"/>
      <c r="V4" s="487"/>
      <c r="W4" s="485" t="s">
        <v>11</v>
      </c>
      <c r="X4" s="485"/>
      <c r="Y4" s="485"/>
      <c r="Z4" s="485"/>
      <c r="AA4" s="487"/>
      <c r="AB4" s="488" t="s">
        <v>12</v>
      </c>
      <c r="AC4" s="462" t="s">
        <v>13</v>
      </c>
      <c r="AD4" s="462" t="s">
        <v>14</v>
      </c>
      <c r="AE4" s="54"/>
    </row>
    <row r="5" spans="1:32" ht="51" customHeight="1" thickBot="1">
      <c r="A5" s="453"/>
      <c r="B5" s="455"/>
      <c r="C5" s="456"/>
      <c r="D5" s="458"/>
      <c r="E5" s="458"/>
      <c r="F5" s="458"/>
      <c r="G5" s="455"/>
      <c r="H5" s="461"/>
      <c r="I5" s="55" t="s">
        <v>15</v>
      </c>
      <c r="J5" s="56" t="s">
        <v>16</v>
      </c>
      <c r="K5" s="406" t="s">
        <v>17</v>
      </c>
      <c r="L5" s="406" t="s">
        <v>18</v>
      </c>
      <c r="M5" s="406" t="s">
        <v>19</v>
      </c>
      <c r="N5" s="40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89"/>
      <c r="AC5" s="463"/>
      <c r="AD5" s="463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130</v>
      </c>
      <c r="E6" s="53" t="s">
        <v>564</v>
      </c>
      <c r="F6" s="30" t="s">
        <v>147</v>
      </c>
      <c r="G6" s="12">
        <v>2</v>
      </c>
      <c r="H6" s="13">
        <v>24</v>
      </c>
      <c r="I6" s="31">
        <v>185000</v>
      </c>
      <c r="J6" s="14">
        <v>11504</v>
      </c>
      <c r="K6" s="15">
        <f>L6+5840</f>
        <v>17344</v>
      </c>
      <c r="L6" s="15">
        <f>2927*2+2825*2</f>
        <v>11504</v>
      </c>
      <c r="M6" s="15">
        <f t="shared" ref="M6:M27" si="0">L6-N6</f>
        <v>11504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24</v>
      </c>
      <c r="Q6" s="40">
        <f t="shared" ref="Q6:Q27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1</v>
      </c>
      <c r="AD6" s="10">
        <f t="shared" ref="AD6:AD27" si="6">AC6*AB6*(1-O6)</f>
        <v>1</v>
      </c>
      <c r="AE6" s="36">
        <f t="shared" ref="AE6:AE27" si="7">$AD$28</f>
        <v>0.53598484848484851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116</v>
      </c>
      <c r="D7" s="52" t="s">
        <v>150</v>
      </c>
      <c r="E7" s="53" t="s">
        <v>529</v>
      </c>
      <c r="F7" s="30" t="s">
        <v>135</v>
      </c>
      <c r="G7" s="12">
        <v>4</v>
      </c>
      <c r="H7" s="13">
        <v>24</v>
      </c>
      <c r="I7" s="31">
        <v>17000</v>
      </c>
      <c r="J7" s="14">
        <v>1252</v>
      </c>
      <c r="K7" s="15">
        <f>L7+18072+1252</f>
        <v>19324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0.53598484848484851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116</v>
      </c>
      <c r="D8" s="52" t="s">
        <v>124</v>
      </c>
      <c r="E8" s="53" t="s">
        <v>323</v>
      </c>
      <c r="F8" s="30" t="s">
        <v>134</v>
      </c>
      <c r="G8" s="12">
        <v>1</v>
      </c>
      <c r="H8" s="13">
        <v>24</v>
      </c>
      <c r="I8" s="7">
        <v>50000</v>
      </c>
      <c r="J8" s="14">
        <v>2610</v>
      </c>
      <c r="K8" s="15">
        <f>L8+2610</f>
        <v>2610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0.53598484848484851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241</v>
      </c>
      <c r="D9" s="52"/>
      <c r="E9" s="53" t="s">
        <v>383</v>
      </c>
      <c r="F9" s="30" t="s">
        <v>268</v>
      </c>
      <c r="G9" s="12">
        <v>2</v>
      </c>
      <c r="H9" s="13">
        <v>24</v>
      </c>
      <c r="I9" s="7">
        <v>38500</v>
      </c>
      <c r="J9" s="14">
        <v>6042</v>
      </c>
      <c r="K9" s="15">
        <f>L9+10102+11394+5542</f>
        <v>33080</v>
      </c>
      <c r="L9" s="15">
        <f>3021*2</f>
        <v>6042</v>
      </c>
      <c r="M9" s="15">
        <f t="shared" si="0"/>
        <v>6042</v>
      </c>
      <c r="N9" s="15">
        <v>0</v>
      </c>
      <c r="O9" s="58">
        <f t="shared" si="1"/>
        <v>0</v>
      </c>
      <c r="P9" s="39">
        <f t="shared" si="2"/>
        <v>13</v>
      </c>
      <c r="Q9" s="40">
        <f t="shared" si="3"/>
        <v>11</v>
      </c>
      <c r="R9" s="7"/>
      <c r="S9" s="6">
        <v>11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0.54166666666666663</v>
      </c>
      <c r="AD9" s="10">
        <f t="shared" si="6"/>
        <v>0.54166666666666663</v>
      </c>
      <c r="AE9" s="36">
        <f t="shared" si="7"/>
        <v>0.53598484848484851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241</v>
      </c>
      <c r="D10" s="52"/>
      <c r="E10" s="53" t="s">
        <v>408</v>
      </c>
      <c r="F10" s="30" t="s">
        <v>144</v>
      </c>
      <c r="G10" s="33">
        <v>2</v>
      </c>
      <c r="H10" s="35">
        <v>24</v>
      </c>
      <c r="I10" s="7">
        <v>38500</v>
      </c>
      <c r="J10" s="14">
        <v>11966</v>
      </c>
      <c r="K10" s="15">
        <f>L10+8004+11244</f>
        <v>31214</v>
      </c>
      <c r="L10" s="15">
        <f>3050*2+2933*2</f>
        <v>11966</v>
      </c>
      <c r="M10" s="15">
        <f t="shared" si="0"/>
        <v>11966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0.53598484848484851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124</v>
      </c>
      <c r="E11" s="53" t="s">
        <v>530</v>
      </c>
      <c r="F11" s="30" t="s">
        <v>131</v>
      </c>
      <c r="G11" s="33">
        <v>2</v>
      </c>
      <c r="H11" s="35">
        <v>24</v>
      </c>
      <c r="I11" s="7">
        <v>230000</v>
      </c>
      <c r="J11" s="14">
        <v>11874</v>
      </c>
      <c r="K11" s="15">
        <f>L11+10954+11864+11140</f>
        <v>45832</v>
      </c>
      <c r="L11" s="15">
        <f>3021*2+2916*2</f>
        <v>11874</v>
      </c>
      <c r="M11" s="15">
        <f t="shared" si="0"/>
        <v>11874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0.53598484848484851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403</v>
      </c>
      <c r="F12" s="30" t="s">
        <v>167</v>
      </c>
      <c r="G12" s="12">
        <v>1</v>
      </c>
      <c r="H12" s="13">
        <v>22</v>
      </c>
      <c r="I12" s="31">
        <v>80000</v>
      </c>
      <c r="J12" s="5">
        <v>5513</v>
      </c>
      <c r="K12" s="15">
        <f>L12+3050+5463+5497+6377+5244+5460+5580+5482+5489+5556+3742</f>
        <v>62453</v>
      </c>
      <c r="L12" s="15">
        <f>2803+2710</f>
        <v>5513</v>
      </c>
      <c r="M12" s="15">
        <f t="shared" si="0"/>
        <v>5513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0.53598484848484851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115</v>
      </c>
      <c r="E13" s="53" t="s">
        <v>563</v>
      </c>
      <c r="F13" s="30" t="s">
        <v>134</v>
      </c>
      <c r="G13" s="33">
        <v>1</v>
      </c>
      <c r="H13" s="35">
        <v>35</v>
      </c>
      <c r="I13" s="7">
        <v>1000</v>
      </c>
      <c r="J13" s="14">
        <v>927</v>
      </c>
      <c r="K13" s="15">
        <f>L13+631</f>
        <v>1558</v>
      </c>
      <c r="L13" s="15">
        <f>742+185</f>
        <v>927</v>
      </c>
      <c r="M13" s="15">
        <f t="shared" si="0"/>
        <v>927</v>
      </c>
      <c r="N13" s="15">
        <v>0</v>
      </c>
      <c r="O13" s="58">
        <f t="shared" si="1"/>
        <v>0</v>
      </c>
      <c r="P13" s="39">
        <f t="shared" si="2"/>
        <v>17</v>
      </c>
      <c r="Q13" s="40">
        <f t="shared" si="3"/>
        <v>7</v>
      </c>
      <c r="R13" s="7"/>
      <c r="S13" s="6">
        <v>7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0.70833333333333337</v>
      </c>
      <c r="AD13" s="10">
        <f t="shared" si="6"/>
        <v>0.70833333333333337</v>
      </c>
      <c r="AE13" s="36">
        <f t="shared" si="7"/>
        <v>0.53598484848484851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571</v>
      </c>
      <c r="F14" s="30" t="s">
        <v>350</v>
      </c>
      <c r="G14" s="33">
        <v>1</v>
      </c>
      <c r="H14" s="35">
        <v>50</v>
      </c>
      <c r="I14" s="7">
        <v>500</v>
      </c>
      <c r="J14" s="5">
        <v>175</v>
      </c>
      <c r="K14" s="15">
        <f>L14+50</f>
        <v>225</v>
      </c>
      <c r="L14" s="15">
        <f>175</f>
        <v>175</v>
      </c>
      <c r="M14" s="15">
        <f t="shared" si="0"/>
        <v>175</v>
      </c>
      <c r="N14" s="15">
        <v>0</v>
      </c>
      <c r="O14" s="58">
        <f t="shared" si="1"/>
        <v>0</v>
      </c>
      <c r="P14" s="39">
        <f t="shared" si="2"/>
        <v>6</v>
      </c>
      <c r="Q14" s="40">
        <f t="shared" si="3"/>
        <v>18</v>
      </c>
      <c r="R14" s="7"/>
      <c r="S14" s="6">
        <v>18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0.25</v>
      </c>
      <c r="AD14" s="10">
        <f t="shared" si="6"/>
        <v>0.25</v>
      </c>
      <c r="AE14" s="36">
        <f t="shared" si="7"/>
        <v>0.53598484848484851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123</v>
      </c>
      <c r="E15" s="53" t="s">
        <v>141</v>
      </c>
      <c r="F15" s="30" t="s">
        <v>135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0.53598484848484851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241</v>
      </c>
      <c r="D16" s="52" t="s">
        <v>115</v>
      </c>
      <c r="E16" s="53" t="s">
        <v>325</v>
      </c>
      <c r="F16" s="30" t="s">
        <v>268</v>
      </c>
      <c r="G16" s="12">
        <v>2</v>
      </c>
      <c r="H16" s="13">
        <v>24</v>
      </c>
      <c r="I16" s="7">
        <v>38500</v>
      </c>
      <c r="J16" s="14">
        <v>11960</v>
      </c>
      <c r="K16" s="15">
        <f>L16+7214</f>
        <v>19174</v>
      </c>
      <c r="L16" s="15">
        <f>2995*2+2985*2</f>
        <v>11960</v>
      </c>
      <c r="M16" s="15">
        <f t="shared" si="0"/>
        <v>11960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0.53598484848484851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116</v>
      </c>
      <c r="D17" s="52" t="s">
        <v>317</v>
      </c>
      <c r="E17" s="53" t="s">
        <v>584</v>
      </c>
      <c r="F17" s="30" t="s">
        <v>154</v>
      </c>
      <c r="G17" s="12">
        <v>2</v>
      </c>
      <c r="H17" s="13">
        <v>24</v>
      </c>
      <c r="I17" s="7">
        <v>500</v>
      </c>
      <c r="J17" s="14">
        <v>4496</v>
      </c>
      <c r="K17" s="15">
        <f>L17</f>
        <v>4496</v>
      </c>
      <c r="L17" s="15">
        <f>665*2+1583*2</f>
        <v>4496</v>
      </c>
      <c r="M17" s="15">
        <f t="shared" si="0"/>
        <v>4496</v>
      </c>
      <c r="N17" s="15">
        <v>0</v>
      </c>
      <c r="O17" s="58">
        <f t="shared" si="1"/>
        <v>0</v>
      </c>
      <c r="P17" s="39">
        <f t="shared" si="2"/>
        <v>10</v>
      </c>
      <c r="Q17" s="40">
        <f t="shared" si="3"/>
        <v>14</v>
      </c>
      <c r="R17" s="7"/>
      <c r="S17" s="6"/>
      <c r="T17" s="16">
        <v>6</v>
      </c>
      <c r="U17" s="16"/>
      <c r="V17" s="17"/>
      <c r="W17" s="5">
        <v>8</v>
      </c>
      <c r="X17" s="16"/>
      <c r="Y17" s="16"/>
      <c r="Z17" s="16"/>
      <c r="AA17" s="18"/>
      <c r="AB17" s="8">
        <f t="shared" si="4"/>
        <v>1</v>
      </c>
      <c r="AC17" s="9">
        <f t="shared" si="5"/>
        <v>0.41666666666666669</v>
      </c>
      <c r="AD17" s="10">
        <f t="shared" si="6"/>
        <v>0.41666666666666669</v>
      </c>
      <c r="AE17" s="36">
        <f t="shared" si="7"/>
        <v>0.53598484848484851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480</v>
      </c>
      <c r="F18" s="30" t="s">
        <v>350</v>
      </c>
      <c r="G18" s="33">
        <v>1</v>
      </c>
      <c r="H18" s="35">
        <v>24</v>
      </c>
      <c r="I18" s="7">
        <v>18000</v>
      </c>
      <c r="J18" s="14">
        <v>5090</v>
      </c>
      <c r="K18" s="15">
        <f>L18+3408+5170+5124+4945</f>
        <v>23737</v>
      </c>
      <c r="L18" s="15">
        <f>2538+2552</f>
        <v>5090</v>
      </c>
      <c r="M18" s="15">
        <f t="shared" si="0"/>
        <v>5090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0.53598484848484851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142</v>
      </c>
      <c r="E19" s="53" t="s">
        <v>161</v>
      </c>
      <c r="F19" s="30" t="s">
        <v>134</v>
      </c>
      <c r="G19" s="33">
        <v>1</v>
      </c>
      <c r="H19" s="35">
        <v>24</v>
      </c>
      <c r="I19" s="7">
        <v>54000</v>
      </c>
      <c r="J19" s="14">
        <v>4887</v>
      </c>
      <c r="K19" s="15">
        <f>L19+5079+5307+3503+1179+3568+5398+5390+5307+4716+2400+323+2119+4726+5252+4548</f>
        <v>63702</v>
      </c>
      <c r="L19" s="15">
        <f>2187+2700</f>
        <v>4887</v>
      </c>
      <c r="M19" s="15">
        <f t="shared" si="0"/>
        <v>4887</v>
      </c>
      <c r="N19" s="15">
        <v>0</v>
      </c>
      <c r="O19" s="58">
        <f t="shared" si="1"/>
        <v>0</v>
      </c>
      <c r="P19" s="39">
        <f t="shared" si="2"/>
        <v>21</v>
      </c>
      <c r="Q19" s="40">
        <f t="shared" si="3"/>
        <v>3</v>
      </c>
      <c r="R19" s="7"/>
      <c r="S19" s="6">
        <v>3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0.875</v>
      </c>
      <c r="AD19" s="10">
        <f t="shared" si="6"/>
        <v>0.875</v>
      </c>
      <c r="AE19" s="36">
        <f t="shared" si="7"/>
        <v>0.53598484848484851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521</v>
      </c>
      <c r="F20" s="30" t="s">
        <v>131</v>
      </c>
      <c r="G20" s="12">
        <v>2</v>
      </c>
      <c r="H20" s="13">
        <v>24</v>
      </c>
      <c r="I20" s="7">
        <v>230000</v>
      </c>
      <c r="J20" s="14">
        <v>10676</v>
      </c>
      <c r="K20" s="15">
        <f>L20+7008+11154+9077+8768</f>
        <v>46683</v>
      </c>
      <c r="L20" s="15">
        <f>2717*2+2621*2</f>
        <v>10676</v>
      </c>
      <c r="M20" s="15">
        <f t="shared" si="0"/>
        <v>10676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0.53598484848484851</v>
      </c>
      <c r="AF20" s="84">
        <f t="shared" si="8"/>
        <v>15</v>
      </c>
    </row>
    <row r="21" spans="1:32" ht="27" customHeight="1">
      <c r="A21" s="96">
        <v>16</v>
      </c>
      <c r="B21" s="11" t="s">
        <v>57</v>
      </c>
      <c r="C21" s="11" t="s">
        <v>113</v>
      </c>
      <c r="D21" s="52"/>
      <c r="E21" s="53" t="s">
        <v>139</v>
      </c>
      <c r="F21" s="12" t="s">
        <v>114</v>
      </c>
      <c r="G21" s="12">
        <v>4</v>
      </c>
      <c r="H21" s="35">
        <v>20</v>
      </c>
      <c r="I21" s="7">
        <v>1000000</v>
      </c>
      <c r="J21" s="14">
        <v>61640</v>
      </c>
      <c r="K21" s="15">
        <f>L21+52608</f>
        <v>114248</v>
      </c>
      <c r="L21" s="15">
        <f>7855*4+7555*4</f>
        <v>61640</v>
      </c>
      <c r="M21" s="15">
        <f t="shared" si="0"/>
        <v>61640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0.53598484848484851</v>
      </c>
      <c r="AF21" s="84">
        <f t="shared" si="8"/>
        <v>16</v>
      </c>
    </row>
    <row r="22" spans="1:32" ht="27" customHeight="1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0.53598484848484851</v>
      </c>
      <c r="AF22" s="84">
        <f t="shared" si="8"/>
        <v>31</v>
      </c>
    </row>
    <row r="23" spans="1:32" ht="27" customHeight="1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0.53598484848484851</v>
      </c>
      <c r="AF23" s="84">
        <f t="shared" si="8"/>
        <v>32</v>
      </c>
    </row>
    <row r="24" spans="1:32" ht="27" customHeight="1">
      <c r="A24" s="96">
        <v>33</v>
      </c>
      <c r="B24" s="11" t="s">
        <v>57</v>
      </c>
      <c r="C24" s="11" t="s">
        <v>116</v>
      </c>
      <c r="D24" s="52" t="s">
        <v>150</v>
      </c>
      <c r="E24" s="53" t="s">
        <v>163</v>
      </c>
      <c r="F24" s="12" t="s">
        <v>145</v>
      </c>
      <c r="G24" s="12">
        <v>1</v>
      </c>
      <c r="H24" s="35">
        <v>20</v>
      </c>
      <c r="I24" s="7">
        <v>140000</v>
      </c>
      <c r="J24" s="14">
        <v>7026</v>
      </c>
      <c r="K24" s="15">
        <f>L24+4387+7770+5806+7905+7479+7369+7360+2397+6904+7208+7013+6976+6992+2652+6495</f>
        <v>101739</v>
      </c>
      <c r="L24" s="15">
        <f>4047+2979</f>
        <v>7026</v>
      </c>
      <c r="M24" s="15">
        <f t="shared" si="0"/>
        <v>7026</v>
      </c>
      <c r="N24" s="15">
        <v>0</v>
      </c>
      <c r="O24" s="58">
        <f t="shared" si="1"/>
        <v>0</v>
      </c>
      <c r="P24" s="39">
        <f t="shared" si="2"/>
        <v>24</v>
      </c>
      <c r="Q24" s="40">
        <f t="shared" si="3"/>
        <v>0</v>
      </c>
      <c r="R24" s="7"/>
      <c r="S24" s="6"/>
      <c r="T24" s="16"/>
      <c r="U24" s="16"/>
      <c r="V24" s="206"/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1</v>
      </c>
      <c r="AD24" s="10">
        <f t="shared" si="6"/>
        <v>1</v>
      </c>
      <c r="AE24" s="36">
        <f t="shared" si="7"/>
        <v>0.53598484848484851</v>
      </c>
      <c r="AF24" s="84">
        <f t="shared" si="8"/>
        <v>33</v>
      </c>
    </row>
    <row r="25" spans="1:32" ht="27" customHeight="1">
      <c r="A25" s="96">
        <v>34</v>
      </c>
      <c r="B25" s="11" t="s">
        <v>57</v>
      </c>
      <c r="C25" s="11" t="s">
        <v>116</v>
      </c>
      <c r="D25" s="52" t="s">
        <v>150</v>
      </c>
      <c r="E25" s="53" t="s">
        <v>165</v>
      </c>
      <c r="F25" s="12" t="s">
        <v>135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206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0.53598484848484851</v>
      </c>
      <c r="AF25" s="84">
        <f t="shared" si="8"/>
        <v>34</v>
      </c>
    </row>
    <row r="26" spans="1:32" ht="27" customHeight="1">
      <c r="A26" s="96">
        <v>35</v>
      </c>
      <c r="B26" s="11" t="s">
        <v>57</v>
      </c>
      <c r="C26" s="11" t="s">
        <v>116</v>
      </c>
      <c r="D26" s="52" t="s">
        <v>123</v>
      </c>
      <c r="E26" s="53" t="s">
        <v>137</v>
      </c>
      <c r="F26" s="12" t="s">
        <v>135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206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0.53598484848484851</v>
      </c>
      <c r="AF26" s="84">
        <f t="shared" si="8"/>
        <v>35</v>
      </c>
    </row>
    <row r="27" spans="1:32" ht="27" customHeight="1" thickBot="1">
      <c r="A27" s="96">
        <v>36</v>
      </c>
      <c r="B27" s="11" t="s">
        <v>57</v>
      </c>
      <c r="C27" s="11" t="s">
        <v>380</v>
      </c>
      <c r="D27" s="52"/>
      <c r="E27" s="53" t="s">
        <v>381</v>
      </c>
      <c r="F27" s="12" t="s">
        <v>382</v>
      </c>
      <c r="G27" s="12">
        <v>32</v>
      </c>
      <c r="H27" s="35">
        <v>20</v>
      </c>
      <c r="I27" s="7">
        <v>700000</v>
      </c>
      <c r="J27" s="14">
        <v>89792</v>
      </c>
      <c r="K27" s="15">
        <f>L27+326528+448864+89792</f>
        <v>865184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206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0.53598484848484851</v>
      </c>
      <c r="AF27" s="84">
        <f t="shared" si="8"/>
        <v>36</v>
      </c>
    </row>
    <row r="28" spans="1:32" ht="31.5" customHeight="1" thickBot="1">
      <c r="A28" s="464" t="s">
        <v>34</v>
      </c>
      <c r="B28" s="465"/>
      <c r="C28" s="465"/>
      <c r="D28" s="465"/>
      <c r="E28" s="465"/>
      <c r="F28" s="465"/>
      <c r="G28" s="465"/>
      <c r="H28" s="466"/>
      <c r="I28" s="22">
        <f t="shared" ref="I28:N28" si="9">SUM(I6:I27)</f>
        <v>3313500</v>
      </c>
      <c r="J28" s="19">
        <f t="shared" si="9"/>
        <v>281374</v>
      </c>
      <c r="K28" s="20">
        <f t="shared" si="9"/>
        <v>2004603</v>
      </c>
      <c r="L28" s="21">
        <f t="shared" si="9"/>
        <v>153776</v>
      </c>
      <c r="M28" s="20">
        <f t="shared" si="9"/>
        <v>153776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283</v>
      </c>
      <c r="Q28" s="43">
        <f t="shared" si="10"/>
        <v>245</v>
      </c>
      <c r="R28" s="23">
        <f t="shared" si="10"/>
        <v>0</v>
      </c>
      <c r="S28" s="24">
        <f t="shared" si="10"/>
        <v>63</v>
      </c>
      <c r="T28" s="24">
        <f t="shared" si="10"/>
        <v>6</v>
      </c>
      <c r="U28" s="24">
        <f t="shared" si="10"/>
        <v>0</v>
      </c>
      <c r="V28" s="25">
        <f t="shared" si="10"/>
        <v>48</v>
      </c>
      <c r="W28" s="26">
        <f t="shared" si="10"/>
        <v>128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0</v>
      </c>
      <c r="AB28" s="28">
        <f>AVERAGE(AB6:AB27)</f>
        <v>0.7</v>
      </c>
      <c r="AC28" s="4">
        <f>AVERAGE(AC6:AC27)</f>
        <v>0.53598484848484851</v>
      </c>
      <c r="AD28" s="4">
        <f>AVERAGE(AD6:AD27)</f>
        <v>0.53598484848484851</v>
      </c>
      <c r="AE28" s="29"/>
    </row>
    <row r="29" spans="1:32">
      <c r="T29" s="50" t="s">
        <v>157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160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67" t="s">
        <v>45</v>
      </c>
      <c r="B55" s="467"/>
      <c r="C55" s="467"/>
      <c r="D55" s="467"/>
      <c r="E55" s="467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68" t="s">
        <v>585</v>
      </c>
      <c r="B56" s="469"/>
      <c r="C56" s="469"/>
      <c r="D56" s="469"/>
      <c r="E56" s="469"/>
      <c r="F56" s="469"/>
      <c r="G56" s="469"/>
      <c r="H56" s="469"/>
      <c r="I56" s="469"/>
      <c r="J56" s="469"/>
      <c r="K56" s="469"/>
      <c r="L56" s="469"/>
      <c r="M56" s="470"/>
      <c r="N56" s="471" t="s">
        <v>588</v>
      </c>
      <c r="O56" s="472"/>
      <c r="P56" s="472"/>
      <c r="Q56" s="472"/>
      <c r="R56" s="472"/>
      <c r="S56" s="472"/>
      <c r="T56" s="472"/>
      <c r="U56" s="472"/>
      <c r="V56" s="472"/>
      <c r="W56" s="472"/>
      <c r="X56" s="472"/>
      <c r="Y56" s="472"/>
      <c r="Z56" s="472"/>
      <c r="AA56" s="472"/>
      <c r="AB56" s="472"/>
      <c r="AC56" s="472"/>
      <c r="AD56" s="473"/>
    </row>
    <row r="57" spans="1:32" ht="27" customHeight="1">
      <c r="A57" s="474" t="s">
        <v>2</v>
      </c>
      <c r="B57" s="475"/>
      <c r="C57" s="405" t="s">
        <v>46</v>
      </c>
      <c r="D57" s="405" t="s">
        <v>47</v>
      </c>
      <c r="E57" s="405" t="s">
        <v>107</v>
      </c>
      <c r="F57" s="476" t="s">
        <v>106</v>
      </c>
      <c r="G57" s="477"/>
      <c r="H57" s="477"/>
      <c r="I57" s="477"/>
      <c r="J57" s="477"/>
      <c r="K57" s="477"/>
      <c r="L57" s="477"/>
      <c r="M57" s="478"/>
      <c r="N57" s="67" t="s">
        <v>110</v>
      </c>
      <c r="O57" s="405" t="s">
        <v>46</v>
      </c>
      <c r="P57" s="476" t="s">
        <v>47</v>
      </c>
      <c r="Q57" s="479"/>
      <c r="R57" s="476" t="s">
        <v>38</v>
      </c>
      <c r="S57" s="477"/>
      <c r="T57" s="477"/>
      <c r="U57" s="479"/>
      <c r="V57" s="476" t="s">
        <v>48</v>
      </c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500" t="s">
        <v>241</v>
      </c>
      <c r="B58" s="501"/>
      <c r="C58" s="400" t="s">
        <v>175</v>
      </c>
      <c r="D58" s="400"/>
      <c r="E58" s="401" t="s">
        <v>383</v>
      </c>
      <c r="F58" s="492" t="s">
        <v>120</v>
      </c>
      <c r="G58" s="493"/>
      <c r="H58" s="493"/>
      <c r="I58" s="493"/>
      <c r="J58" s="493"/>
      <c r="K58" s="493"/>
      <c r="L58" s="493"/>
      <c r="M58" s="494"/>
      <c r="N58" s="404" t="s">
        <v>116</v>
      </c>
      <c r="O58" s="398" t="s">
        <v>193</v>
      </c>
      <c r="P58" s="495" t="s">
        <v>140</v>
      </c>
      <c r="Q58" s="496"/>
      <c r="R58" s="495" t="s">
        <v>323</v>
      </c>
      <c r="S58" s="497"/>
      <c r="T58" s="497"/>
      <c r="U58" s="496"/>
      <c r="V58" s="498" t="s">
        <v>120</v>
      </c>
      <c r="W58" s="498"/>
      <c r="X58" s="498"/>
      <c r="Y58" s="498"/>
      <c r="Z58" s="498"/>
      <c r="AA58" s="498"/>
      <c r="AB58" s="498"/>
      <c r="AC58" s="498"/>
      <c r="AD58" s="499"/>
    </row>
    <row r="59" spans="1:32" ht="27" customHeight="1">
      <c r="A59" s="500" t="s">
        <v>112</v>
      </c>
      <c r="B59" s="501"/>
      <c r="C59" s="400" t="s">
        <v>259</v>
      </c>
      <c r="D59" s="400" t="s">
        <v>115</v>
      </c>
      <c r="E59" s="401" t="s">
        <v>563</v>
      </c>
      <c r="F59" s="492" t="s">
        <v>586</v>
      </c>
      <c r="G59" s="493"/>
      <c r="H59" s="493"/>
      <c r="I59" s="493"/>
      <c r="J59" s="493"/>
      <c r="K59" s="493"/>
      <c r="L59" s="493"/>
      <c r="M59" s="494"/>
      <c r="N59" s="404" t="s">
        <v>112</v>
      </c>
      <c r="O59" s="398" t="s">
        <v>259</v>
      </c>
      <c r="P59" s="495" t="s">
        <v>140</v>
      </c>
      <c r="Q59" s="496"/>
      <c r="R59" s="495" t="s">
        <v>589</v>
      </c>
      <c r="S59" s="497"/>
      <c r="T59" s="497"/>
      <c r="U59" s="496"/>
      <c r="V59" s="498" t="s">
        <v>125</v>
      </c>
      <c r="W59" s="498"/>
      <c r="X59" s="498"/>
      <c r="Y59" s="498"/>
      <c r="Z59" s="498"/>
      <c r="AA59" s="498"/>
      <c r="AB59" s="498"/>
      <c r="AC59" s="498"/>
      <c r="AD59" s="499"/>
    </row>
    <row r="60" spans="1:32" ht="27" customHeight="1">
      <c r="A60" s="490" t="s">
        <v>112</v>
      </c>
      <c r="B60" s="491"/>
      <c r="C60" s="401" t="s">
        <v>206</v>
      </c>
      <c r="D60" s="401" t="s">
        <v>115</v>
      </c>
      <c r="E60" s="401" t="s">
        <v>574</v>
      </c>
      <c r="F60" s="492" t="s">
        <v>587</v>
      </c>
      <c r="G60" s="493"/>
      <c r="H60" s="493"/>
      <c r="I60" s="493"/>
      <c r="J60" s="493"/>
      <c r="K60" s="493"/>
      <c r="L60" s="493"/>
      <c r="M60" s="494"/>
      <c r="N60" s="404" t="s">
        <v>203</v>
      </c>
      <c r="O60" s="398" t="s">
        <v>206</v>
      </c>
      <c r="P60" s="495" t="s">
        <v>115</v>
      </c>
      <c r="Q60" s="496"/>
      <c r="R60" s="495" t="s">
        <v>553</v>
      </c>
      <c r="S60" s="497"/>
      <c r="T60" s="497"/>
      <c r="U60" s="496"/>
      <c r="V60" s="498" t="s">
        <v>125</v>
      </c>
      <c r="W60" s="498"/>
      <c r="X60" s="498"/>
      <c r="Y60" s="498"/>
      <c r="Z60" s="498"/>
      <c r="AA60" s="498"/>
      <c r="AB60" s="498"/>
      <c r="AC60" s="498"/>
      <c r="AD60" s="499"/>
    </row>
    <row r="61" spans="1:32" ht="27" customHeight="1">
      <c r="A61" s="500" t="s">
        <v>112</v>
      </c>
      <c r="B61" s="501"/>
      <c r="C61" s="400" t="s">
        <v>221</v>
      </c>
      <c r="D61" s="400" t="s">
        <v>142</v>
      </c>
      <c r="E61" s="401" t="s">
        <v>161</v>
      </c>
      <c r="F61" s="492" t="s">
        <v>368</v>
      </c>
      <c r="G61" s="493"/>
      <c r="H61" s="493"/>
      <c r="I61" s="493"/>
      <c r="J61" s="493"/>
      <c r="K61" s="493"/>
      <c r="L61" s="493"/>
      <c r="M61" s="494"/>
      <c r="N61" s="404" t="s">
        <v>241</v>
      </c>
      <c r="O61" s="398" t="s">
        <v>256</v>
      </c>
      <c r="P61" s="495"/>
      <c r="Q61" s="496"/>
      <c r="R61" s="495" t="s">
        <v>590</v>
      </c>
      <c r="S61" s="497"/>
      <c r="T61" s="497"/>
      <c r="U61" s="496"/>
      <c r="V61" s="498" t="s">
        <v>125</v>
      </c>
      <c r="W61" s="498"/>
      <c r="X61" s="498"/>
      <c r="Y61" s="498"/>
      <c r="Z61" s="498"/>
      <c r="AA61" s="498"/>
      <c r="AB61" s="498"/>
      <c r="AC61" s="498"/>
      <c r="AD61" s="499"/>
    </row>
    <row r="62" spans="1:32" ht="27" customHeight="1">
      <c r="A62" s="490" t="s">
        <v>116</v>
      </c>
      <c r="B62" s="491"/>
      <c r="C62" s="401" t="s">
        <v>256</v>
      </c>
      <c r="D62" s="401" t="s">
        <v>317</v>
      </c>
      <c r="E62" s="401" t="s">
        <v>584</v>
      </c>
      <c r="F62" s="492" t="s">
        <v>125</v>
      </c>
      <c r="G62" s="493"/>
      <c r="H62" s="493"/>
      <c r="I62" s="493"/>
      <c r="J62" s="493"/>
      <c r="K62" s="493"/>
      <c r="L62" s="493"/>
      <c r="M62" s="494"/>
      <c r="N62" s="404" t="s">
        <v>112</v>
      </c>
      <c r="O62" s="398" t="s">
        <v>221</v>
      </c>
      <c r="P62" s="495" t="s">
        <v>142</v>
      </c>
      <c r="Q62" s="496"/>
      <c r="R62" s="495" t="s">
        <v>161</v>
      </c>
      <c r="S62" s="497"/>
      <c r="T62" s="497"/>
      <c r="U62" s="496"/>
      <c r="V62" s="498" t="s">
        <v>120</v>
      </c>
      <c r="W62" s="498"/>
      <c r="X62" s="498"/>
      <c r="Y62" s="498"/>
      <c r="Z62" s="498"/>
      <c r="AA62" s="498"/>
      <c r="AB62" s="498"/>
      <c r="AC62" s="498"/>
      <c r="AD62" s="499"/>
    </row>
    <row r="63" spans="1:32" ht="27" customHeight="1">
      <c r="A63" s="490"/>
      <c r="B63" s="491"/>
      <c r="C63" s="401"/>
      <c r="D63" s="401"/>
      <c r="E63" s="401"/>
      <c r="F63" s="492"/>
      <c r="G63" s="493"/>
      <c r="H63" s="493"/>
      <c r="I63" s="493"/>
      <c r="J63" s="493"/>
      <c r="K63" s="493"/>
      <c r="L63" s="493"/>
      <c r="M63" s="494"/>
      <c r="N63" s="404"/>
      <c r="O63" s="398"/>
      <c r="P63" s="495"/>
      <c r="Q63" s="496"/>
      <c r="R63" s="495"/>
      <c r="S63" s="497"/>
      <c r="T63" s="497"/>
      <c r="U63" s="496"/>
      <c r="V63" s="498"/>
      <c r="W63" s="498"/>
      <c r="X63" s="498"/>
      <c r="Y63" s="498"/>
      <c r="Z63" s="498"/>
      <c r="AA63" s="498"/>
      <c r="AB63" s="498"/>
      <c r="AC63" s="498"/>
      <c r="AD63" s="499"/>
    </row>
    <row r="64" spans="1:32" ht="27" customHeight="1">
      <c r="A64" s="490"/>
      <c r="B64" s="491"/>
      <c r="C64" s="401"/>
      <c r="D64" s="401"/>
      <c r="E64" s="401"/>
      <c r="F64" s="492"/>
      <c r="G64" s="493"/>
      <c r="H64" s="493"/>
      <c r="I64" s="493"/>
      <c r="J64" s="493"/>
      <c r="K64" s="493"/>
      <c r="L64" s="493"/>
      <c r="M64" s="494"/>
      <c r="N64" s="404"/>
      <c r="O64" s="398"/>
      <c r="P64" s="495"/>
      <c r="Q64" s="496"/>
      <c r="R64" s="495"/>
      <c r="S64" s="497"/>
      <c r="T64" s="497"/>
      <c r="U64" s="496"/>
      <c r="V64" s="498"/>
      <c r="W64" s="498"/>
      <c r="X64" s="498"/>
      <c r="Y64" s="498"/>
      <c r="Z64" s="498"/>
      <c r="AA64" s="498"/>
      <c r="AB64" s="498"/>
      <c r="AC64" s="498"/>
      <c r="AD64" s="499"/>
    </row>
    <row r="65" spans="1:32" ht="27" customHeight="1">
      <c r="A65" s="500"/>
      <c r="B65" s="501"/>
      <c r="C65" s="400"/>
      <c r="D65" s="400"/>
      <c r="E65" s="401"/>
      <c r="F65" s="492"/>
      <c r="G65" s="493"/>
      <c r="H65" s="493"/>
      <c r="I65" s="493"/>
      <c r="J65" s="493"/>
      <c r="K65" s="493"/>
      <c r="L65" s="493"/>
      <c r="M65" s="494"/>
      <c r="N65" s="404"/>
      <c r="O65" s="398"/>
      <c r="P65" s="495"/>
      <c r="Q65" s="496"/>
      <c r="R65" s="495"/>
      <c r="S65" s="497"/>
      <c r="T65" s="497"/>
      <c r="U65" s="496"/>
      <c r="V65" s="498"/>
      <c r="W65" s="498"/>
      <c r="X65" s="498"/>
      <c r="Y65" s="498"/>
      <c r="Z65" s="498"/>
      <c r="AA65" s="498"/>
      <c r="AB65" s="498"/>
      <c r="AC65" s="498"/>
      <c r="AD65" s="499"/>
    </row>
    <row r="66" spans="1:32" ht="27" customHeight="1">
      <c r="A66" s="500"/>
      <c r="B66" s="501"/>
      <c r="C66" s="400"/>
      <c r="D66" s="400"/>
      <c r="E66" s="401"/>
      <c r="F66" s="492"/>
      <c r="G66" s="493"/>
      <c r="H66" s="493"/>
      <c r="I66" s="493"/>
      <c r="J66" s="493"/>
      <c r="K66" s="493"/>
      <c r="L66" s="493"/>
      <c r="M66" s="494"/>
      <c r="N66" s="404"/>
      <c r="O66" s="398"/>
      <c r="P66" s="491"/>
      <c r="Q66" s="491"/>
      <c r="R66" s="491"/>
      <c r="S66" s="491"/>
      <c r="T66" s="491"/>
      <c r="U66" s="491"/>
      <c r="V66" s="498"/>
      <c r="W66" s="498"/>
      <c r="X66" s="498"/>
      <c r="Y66" s="498"/>
      <c r="Z66" s="498"/>
      <c r="AA66" s="498"/>
      <c r="AB66" s="498"/>
      <c r="AC66" s="498"/>
      <c r="AD66" s="499"/>
      <c r="AF66" s="84">
        <f>8*3000</f>
        <v>24000</v>
      </c>
    </row>
    <row r="67" spans="1:32" ht="27" customHeight="1" thickBot="1">
      <c r="A67" s="502"/>
      <c r="B67" s="503"/>
      <c r="C67" s="402"/>
      <c r="D67" s="403"/>
      <c r="E67" s="402"/>
      <c r="F67" s="504"/>
      <c r="G67" s="505"/>
      <c r="H67" s="505"/>
      <c r="I67" s="505"/>
      <c r="J67" s="505"/>
      <c r="K67" s="505"/>
      <c r="L67" s="505"/>
      <c r="M67" s="506"/>
      <c r="N67" s="111"/>
      <c r="O67" s="103"/>
      <c r="P67" s="507"/>
      <c r="Q67" s="507"/>
      <c r="R67" s="507"/>
      <c r="S67" s="507"/>
      <c r="T67" s="507"/>
      <c r="U67" s="507"/>
      <c r="V67" s="508"/>
      <c r="W67" s="508"/>
      <c r="X67" s="508"/>
      <c r="Y67" s="508"/>
      <c r="Z67" s="508"/>
      <c r="AA67" s="508"/>
      <c r="AB67" s="508"/>
      <c r="AC67" s="508"/>
      <c r="AD67" s="509"/>
      <c r="AF67" s="84">
        <f>16*3000</f>
        <v>48000</v>
      </c>
    </row>
    <row r="68" spans="1:32" ht="27.75" thickBot="1">
      <c r="A68" s="510" t="s">
        <v>591</v>
      </c>
      <c r="B68" s="510"/>
      <c r="C68" s="510"/>
      <c r="D68" s="510"/>
      <c r="E68" s="51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11" t="s">
        <v>111</v>
      </c>
      <c r="B69" s="512"/>
      <c r="C69" s="399" t="s">
        <v>2</v>
      </c>
      <c r="D69" s="399" t="s">
        <v>37</v>
      </c>
      <c r="E69" s="399" t="s">
        <v>3</v>
      </c>
      <c r="F69" s="512" t="s">
        <v>109</v>
      </c>
      <c r="G69" s="512"/>
      <c r="H69" s="512"/>
      <c r="I69" s="512"/>
      <c r="J69" s="512"/>
      <c r="K69" s="512" t="s">
        <v>39</v>
      </c>
      <c r="L69" s="512"/>
      <c r="M69" s="399" t="s">
        <v>40</v>
      </c>
      <c r="N69" s="512" t="s">
        <v>41</v>
      </c>
      <c r="O69" s="512"/>
      <c r="P69" s="513" t="s">
        <v>42</v>
      </c>
      <c r="Q69" s="514"/>
      <c r="R69" s="513" t="s">
        <v>43</v>
      </c>
      <c r="S69" s="515"/>
      <c r="T69" s="515"/>
      <c r="U69" s="515"/>
      <c r="V69" s="515"/>
      <c r="W69" s="515"/>
      <c r="X69" s="515"/>
      <c r="Y69" s="515"/>
      <c r="Z69" s="515"/>
      <c r="AA69" s="514"/>
      <c r="AB69" s="512" t="s">
        <v>44</v>
      </c>
      <c r="AC69" s="512"/>
      <c r="AD69" s="516"/>
      <c r="AF69" s="84">
        <f>SUM(AF66:AF68)</f>
        <v>96000</v>
      </c>
    </row>
    <row r="70" spans="1:32" ht="25.5" customHeight="1">
      <c r="A70" s="517">
        <v>1</v>
      </c>
      <c r="B70" s="518"/>
      <c r="C70" s="104"/>
      <c r="D70" s="394"/>
      <c r="E70" s="397"/>
      <c r="F70" s="519"/>
      <c r="G70" s="520"/>
      <c r="H70" s="520"/>
      <c r="I70" s="520"/>
      <c r="J70" s="521"/>
      <c r="K70" s="522"/>
      <c r="L70" s="522"/>
      <c r="M70" s="51"/>
      <c r="N70" s="523"/>
      <c r="O70" s="523"/>
      <c r="P70" s="524"/>
      <c r="Q70" s="524"/>
      <c r="R70" s="498"/>
      <c r="S70" s="498"/>
      <c r="T70" s="498"/>
      <c r="U70" s="498"/>
      <c r="V70" s="498"/>
      <c r="W70" s="498"/>
      <c r="X70" s="498"/>
      <c r="Y70" s="498"/>
      <c r="Z70" s="498"/>
      <c r="AA70" s="498"/>
      <c r="AB70" s="522"/>
      <c r="AC70" s="522"/>
      <c r="AD70" s="525"/>
      <c r="AF70" s="50"/>
    </row>
    <row r="71" spans="1:32" ht="25.5" customHeight="1">
      <c r="A71" s="517">
        <v>2</v>
      </c>
      <c r="B71" s="518"/>
      <c r="C71" s="104"/>
      <c r="D71" s="394"/>
      <c r="E71" s="397"/>
      <c r="F71" s="519"/>
      <c r="G71" s="520"/>
      <c r="H71" s="520"/>
      <c r="I71" s="520"/>
      <c r="J71" s="521"/>
      <c r="K71" s="522"/>
      <c r="L71" s="522"/>
      <c r="M71" s="51"/>
      <c r="N71" s="523"/>
      <c r="O71" s="523"/>
      <c r="P71" s="524"/>
      <c r="Q71" s="524"/>
      <c r="R71" s="498"/>
      <c r="S71" s="498"/>
      <c r="T71" s="498"/>
      <c r="U71" s="498"/>
      <c r="V71" s="498"/>
      <c r="W71" s="498"/>
      <c r="X71" s="498"/>
      <c r="Y71" s="498"/>
      <c r="Z71" s="498"/>
      <c r="AA71" s="498"/>
      <c r="AB71" s="522"/>
      <c r="AC71" s="522"/>
      <c r="AD71" s="525"/>
      <c r="AF71" s="50"/>
    </row>
    <row r="72" spans="1:32" ht="25.5" customHeight="1">
      <c r="A72" s="517">
        <v>3</v>
      </c>
      <c r="B72" s="518"/>
      <c r="C72" s="104"/>
      <c r="D72" s="394"/>
      <c r="E72" s="397"/>
      <c r="F72" s="519"/>
      <c r="G72" s="520"/>
      <c r="H72" s="520"/>
      <c r="I72" s="520"/>
      <c r="J72" s="521"/>
      <c r="K72" s="522"/>
      <c r="L72" s="522"/>
      <c r="M72" s="51"/>
      <c r="N72" s="523"/>
      <c r="O72" s="523"/>
      <c r="P72" s="524"/>
      <c r="Q72" s="524"/>
      <c r="R72" s="498"/>
      <c r="S72" s="498"/>
      <c r="T72" s="498"/>
      <c r="U72" s="498"/>
      <c r="V72" s="498"/>
      <c r="W72" s="498"/>
      <c r="X72" s="498"/>
      <c r="Y72" s="498"/>
      <c r="Z72" s="498"/>
      <c r="AA72" s="498"/>
      <c r="AB72" s="522"/>
      <c r="AC72" s="522"/>
      <c r="AD72" s="525"/>
      <c r="AF72" s="50"/>
    </row>
    <row r="73" spans="1:32" ht="25.5" customHeight="1">
      <c r="A73" s="517">
        <v>4</v>
      </c>
      <c r="B73" s="518"/>
      <c r="C73" s="104"/>
      <c r="D73" s="394"/>
      <c r="E73" s="397"/>
      <c r="F73" s="519"/>
      <c r="G73" s="520"/>
      <c r="H73" s="520"/>
      <c r="I73" s="520"/>
      <c r="J73" s="521"/>
      <c r="K73" s="522"/>
      <c r="L73" s="522"/>
      <c r="M73" s="51"/>
      <c r="N73" s="523"/>
      <c r="O73" s="523"/>
      <c r="P73" s="524"/>
      <c r="Q73" s="524"/>
      <c r="R73" s="498"/>
      <c r="S73" s="498"/>
      <c r="T73" s="498"/>
      <c r="U73" s="498"/>
      <c r="V73" s="498"/>
      <c r="W73" s="498"/>
      <c r="X73" s="498"/>
      <c r="Y73" s="498"/>
      <c r="Z73" s="498"/>
      <c r="AA73" s="498"/>
      <c r="AB73" s="522"/>
      <c r="AC73" s="522"/>
      <c r="AD73" s="525"/>
      <c r="AF73" s="50"/>
    </row>
    <row r="74" spans="1:32" ht="25.5" customHeight="1">
      <c r="A74" s="517">
        <v>5</v>
      </c>
      <c r="B74" s="518"/>
      <c r="C74" s="104"/>
      <c r="D74" s="394"/>
      <c r="E74" s="397"/>
      <c r="F74" s="519"/>
      <c r="G74" s="520"/>
      <c r="H74" s="520"/>
      <c r="I74" s="520"/>
      <c r="J74" s="521"/>
      <c r="K74" s="522"/>
      <c r="L74" s="522"/>
      <c r="M74" s="51"/>
      <c r="N74" s="523"/>
      <c r="O74" s="523"/>
      <c r="P74" s="524"/>
      <c r="Q74" s="524"/>
      <c r="R74" s="498"/>
      <c r="S74" s="498"/>
      <c r="T74" s="498"/>
      <c r="U74" s="498"/>
      <c r="V74" s="498"/>
      <c r="W74" s="498"/>
      <c r="X74" s="498"/>
      <c r="Y74" s="498"/>
      <c r="Z74" s="498"/>
      <c r="AA74" s="498"/>
      <c r="AB74" s="522"/>
      <c r="AC74" s="522"/>
      <c r="AD74" s="525"/>
      <c r="AF74" s="50"/>
    </row>
    <row r="75" spans="1:32" ht="25.5" customHeight="1">
      <c r="A75" s="517">
        <v>6</v>
      </c>
      <c r="B75" s="518"/>
      <c r="C75" s="104"/>
      <c r="D75" s="394"/>
      <c r="E75" s="397"/>
      <c r="F75" s="519"/>
      <c r="G75" s="520"/>
      <c r="H75" s="520"/>
      <c r="I75" s="520"/>
      <c r="J75" s="521"/>
      <c r="K75" s="522"/>
      <c r="L75" s="522"/>
      <c r="M75" s="51"/>
      <c r="N75" s="523"/>
      <c r="O75" s="523"/>
      <c r="P75" s="524"/>
      <c r="Q75" s="524"/>
      <c r="R75" s="498"/>
      <c r="S75" s="498"/>
      <c r="T75" s="498"/>
      <c r="U75" s="498"/>
      <c r="V75" s="498"/>
      <c r="W75" s="498"/>
      <c r="X75" s="498"/>
      <c r="Y75" s="498"/>
      <c r="Z75" s="498"/>
      <c r="AA75" s="498"/>
      <c r="AB75" s="522"/>
      <c r="AC75" s="522"/>
      <c r="AD75" s="525"/>
      <c r="AF75" s="50"/>
    </row>
    <row r="76" spans="1:32" ht="25.5" customHeight="1">
      <c r="A76" s="517">
        <v>7</v>
      </c>
      <c r="B76" s="518"/>
      <c r="C76" s="104"/>
      <c r="D76" s="394"/>
      <c r="E76" s="397"/>
      <c r="F76" s="519"/>
      <c r="G76" s="520"/>
      <c r="H76" s="520"/>
      <c r="I76" s="520"/>
      <c r="J76" s="521"/>
      <c r="K76" s="522"/>
      <c r="L76" s="522"/>
      <c r="M76" s="51"/>
      <c r="N76" s="523"/>
      <c r="O76" s="523"/>
      <c r="P76" s="524"/>
      <c r="Q76" s="524"/>
      <c r="R76" s="498"/>
      <c r="S76" s="498"/>
      <c r="T76" s="498"/>
      <c r="U76" s="498"/>
      <c r="V76" s="498"/>
      <c r="W76" s="498"/>
      <c r="X76" s="498"/>
      <c r="Y76" s="498"/>
      <c r="Z76" s="498"/>
      <c r="AA76" s="498"/>
      <c r="AB76" s="522"/>
      <c r="AC76" s="522"/>
      <c r="AD76" s="525"/>
      <c r="AF76" s="50"/>
    </row>
    <row r="77" spans="1:32" ht="25.5" customHeight="1">
      <c r="A77" s="517">
        <v>8</v>
      </c>
      <c r="B77" s="518"/>
      <c r="C77" s="104"/>
      <c r="D77" s="394"/>
      <c r="E77" s="397"/>
      <c r="F77" s="526"/>
      <c r="G77" s="522"/>
      <c r="H77" s="522"/>
      <c r="I77" s="522"/>
      <c r="J77" s="522"/>
      <c r="K77" s="522"/>
      <c r="L77" s="522"/>
      <c r="M77" s="51"/>
      <c r="N77" s="523"/>
      <c r="O77" s="523"/>
      <c r="P77" s="524"/>
      <c r="Q77" s="524"/>
      <c r="R77" s="498"/>
      <c r="S77" s="498"/>
      <c r="T77" s="498"/>
      <c r="U77" s="498"/>
      <c r="V77" s="498"/>
      <c r="W77" s="498"/>
      <c r="X77" s="498"/>
      <c r="Y77" s="498"/>
      <c r="Z77" s="498"/>
      <c r="AA77" s="498"/>
      <c r="AB77" s="522"/>
      <c r="AC77" s="522"/>
      <c r="AD77" s="525"/>
      <c r="AF77" s="50"/>
    </row>
    <row r="78" spans="1:32" ht="25.5" customHeight="1">
      <c r="A78" s="517">
        <v>9</v>
      </c>
      <c r="B78" s="518"/>
      <c r="C78" s="104"/>
      <c r="D78" s="394"/>
      <c r="E78" s="397"/>
      <c r="F78" s="526"/>
      <c r="G78" s="522"/>
      <c r="H78" s="522"/>
      <c r="I78" s="522"/>
      <c r="J78" s="522"/>
      <c r="K78" s="522"/>
      <c r="L78" s="522"/>
      <c r="M78" s="51"/>
      <c r="N78" s="523"/>
      <c r="O78" s="523"/>
      <c r="P78" s="524"/>
      <c r="Q78" s="524"/>
      <c r="R78" s="498"/>
      <c r="S78" s="498"/>
      <c r="T78" s="498"/>
      <c r="U78" s="498"/>
      <c r="V78" s="498"/>
      <c r="W78" s="498"/>
      <c r="X78" s="498"/>
      <c r="Y78" s="498"/>
      <c r="Z78" s="498"/>
      <c r="AA78" s="498"/>
      <c r="AB78" s="522"/>
      <c r="AC78" s="522"/>
      <c r="AD78" s="525"/>
      <c r="AF78" s="50"/>
    </row>
    <row r="79" spans="1:32" ht="25.5" customHeight="1">
      <c r="A79" s="517">
        <v>10</v>
      </c>
      <c r="B79" s="518"/>
      <c r="C79" s="104"/>
      <c r="D79" s="394"/>
      <c r="E79" s="397"/>
      <c r="F79" s="526"/>
      <c r="G79" s="522"/>
      <c r="H79" s="522"/>
      <c r="I79" s="522"/>
      <c r="J79" s="522"/>
      <c r="K79" s="522"/>
      <c r="L79" s="522"/>
      <c r="M79" s="51"/>
      <c r="N79" s="523"/>
      <c r="O79" s="523"/>
      <c r="P79" s="524"/>
      <c r="Q79" s="524"/>
      <c r="R79" s="498"/>
      <c r="S79" s="498"/>
      <c r="T79" s="498"/>
      <c r="U79" s="498"/>
      <c r="V79" s="498"/>
      <c r="W79" s="498"/>
      <c r="X79" s="498"/>
      <c r="Y79" s="498"/>
      <c r="Z79" s="498"/>
      <c r="AA79" s="498"/>
      <c r="AB79" s="522"/>
      <c r="AC79" s="522"/>
      <c r="AD79" s="525"/>
      <c r="AF79" s="50"/>
    </row>
    <row r="80" spans="1:32" ht="26.25" customHeight="1" thickBot="1">
      <c r="A80" s="527" t="s">
        <v>592</v>
      </c>
      <c r="B80" s="527"/>
      <c r="C80" s="527"/>
      <c r="D80" s="527"/>
      <c r="E80" s="527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528" t="s">
        <v>111</v>
      </c>
      <c r="B81" s="529"/>
      <c r="C81" s="396" t="s">
        <v>2</v>
      </c>
      <c r="D81" s="396" t="s">
        <v>37</v>
      </c>
      <c r="E81" s="396" t="s">
        <v>121</v>
      </c>
      <c r="F81" s="530" t="s">
        <v>38</v>
      </c>
      <c r="G81" s="530"/>
      <c r="H81" s="530"/>
      <c r="I81" s="530"/>
      <c r="J81" s="530"/>
      <c r="K81" s="531" t="s">
        <v>58</v>
      </c>
      <c r="L81" s="532"/>
      <c r="M81" s="532"/>
      <c r="N81" s="532"/>
      <c r="O81" s="532"/>
      <c r="P81" s="532"/>
      <c r="Q81" s="532"/>
      <c r="R81" s="532"/>
      <c r="S81" s="533"/>
      <c r="T81" s="530" t="s">
        <v>49</v>
      </c>
      <c r="U81" s="530"/>
      <c r="V81" s="531" t="s">
        <v>50</v>
      </c>
      <c r="W81" s="533"/>
      <c r="X81" s="532" t="s">
        <v>51</v>
      </c>
      <c r="Y81" s="532"/>
      <c r="Z81" s="532"/>
      <c r="AA81" s="532"/>
      <c r="AB81" s="532"/>
      <c r="AC81" s="532"/>
      <c r="AD81" s="534"/>
      <c r="AF81" s="50"/>
    </row>
    <row r="82" spans="1:32" ht="33.75" customHeight="1">
      <c r="A82" s="543">
        <v>1</v>
      </c>
      <c r="B82" s="544"/>
      <c r="C82" s="395"/>
      <c r="D82" s="395"/>
      <c r="E82" s="65"/>
      <c r="F82" s="545"/>
      <c r="G82" s="546"/>
      <c r="H82" s="546"/>
      <c r="I82" s="546"/>
      <c r="J82" s="547"/>
      <c r="K82" s="548"/>
      <c r="L82" s="549"/>
      <c r="M82" s="549"/>
      <c r="N82" s="549"/>
      <c r="O82" s="549"/>
      <c r="P82" s="549"/>
      <c r="Q82" s="549"/>
      <c r="R82" s="549"/>
      <c r="S82" s="550"/>
      <c r="T82" s="551"/>
      <c r="U82" s="552"/>
      <c r="V82" s="553"/>
      <c r="W82" s="553"/>
      <c r="X82" s="554"/>
      <c r="Y82" s="554"/>
      <c r="Z82" s="554"/>
      <c r="AA82" s="554"/>
      <c r="AB82" s="554"/>
      <c r="AC82" s="554"/>
      <c r="AD82" s="555"/>
      <c r="AF82" s="50"/>
    </row>
    <row r="83" spans="1:32" ht="30" customHeight="1">
      <c r="A83" s="535">
        <f>A82+1</f>
        <v>2</v>
      </c>
      <c r="B83" s="536"/>
      <c r="C83" s="394"/>
      <c r="D83" s="394"/>
      <c r="E83" s="32"/>
      <c r="F83" s="536"/>
      <c r="G83" s="536"/>
      <c r="H83" s="536"/>
      <c r="I83" s="536"/>
      <c r="J83" s="536"/>
      <c r="K83" s="537"/>
      <c r="L83" s="538"/>
      <c r="M83" s="538"/>
      <c r="N83" s="538"/>
      <c r="O83" s="538"/>
      <c r="P83" s="538"/>
      <c r="Q83" s="538"/>
      <c r="R83" s="538"/>
      <c r="S83" s="539"/>
      <c r="T83" s="540"/>
      <c r="U83" s="540"/>
      <c r="V83" s="540"/>
      <c r="W83" s="540"/>
      <c r="X83" s="541"/>
      <c r="Y83" s="541"/>
      <c r="Z83" s="541"/>
      <c r="AA83" s="541"/>
      <c r="AB83" s="541"/>
      <c r="AC83" s="541"/>
      <c r="AD83" s="542"/>
      <c r="AF83" s="50"/>
    </row>
    <row r="84" spans="1:32" ht="30" customHeight="1">
      <c r="A84" s="535">
        <f t="shared" ref="A84:A88" si="11">A83+1</f>
        <v>3</v>
      </c>
      <c r="B84" s="536"/>
      <c r="C84" s="394"/>
      <c r="D84" s="394"/>
      <c r="E84" s="32"/>
      <c r="F84" s="536"/>
      <c r="G84" s="536"/>
      <c r="H84" s="536"/>
      <c r="I84" s="536"/>
      <c r="J84" s="536"/>
      <c r="K84" s="537"/>
      <c r="L84" s="538"/>
      <c r="M84" s="538"/>
      <c r="N84" s="538"/>
      <c r="O84" s="538"/>
      <c r="P84" s="538"/>
      <c r="Q84" s="538"/>
      <c r="R84" s="538"/>
      <c r="S84" s="539"/>
      <c r="T84" s="540"/>
      <c r="U84" s="540"/>
      <c r="V84" s="540"/>
      <c r="W84" s="540"/>
      <c r="X84" s="541"/>
      <c r="Y84" s="541"/>
      <c r="Z84" s="541"/>
      <c r="AA84" s="541"/>
      <c r="AB84" s="541"/>
      <c r="AC84" s="541"/>
      <c r="AD84" s="542"/>
      <c r="AF84" s="50"/>
    </row>
    <row r="85" spans="1:32" ht="30" customHeight="1">
      <c r="A85" s="535">
        <f t="shared" si="11"/>
        <v>4</v>
      </c>
      <c r="B85" s="536"/>
      <c r="C85" s="394"/>
      <c r="D85" s="394"/>
      <c r="E85" s="32"/>
      <c r="F85" s="536"/>
      <c r="G85" s="536"/>
      <c r="H85" s="536"/>
      <c r="I85" s="536"/>
      <c r="J85" s="536"/>
      <c r="K85" s="537"/>
      <c r="L85" s="538"/>
      <c r="M85" s="538"/>
      <c r="N85" s="538"/>
      <c r="O85" s="538"/>
      <c r="P85" s="538"/>
      <c r="Q85" s="538"/>
      <c r="R85" s="538"/>
      <c r="S85" s="539"/>
      <c r="T85" s="540"/>
      <c r="U85" s="540"/>
      <c r="V85" s="540"/>
      <c r="W85" s="540"/>
      <c r="X85" s="541"/>
      <c r="Y85" s="541"/>
      <c r="Z85" s="541"/>
      <c r="AA85" s="541"/>
      <c r="AB85" s="541"/>
      <c r="AC85" s="541"/>
      <c r="AD85" s="542"/>
      <c r="AF85" s="50"/>
    </row>
    <row r="86" spans="1:32" ht="30" customHeight="1">
      <c r="A86" s="535">
        <f t="shared" si="11"/>
        <v>5</v>
      </c>
      <c r="B86" s="536"/>
      <c r="C86" s="394"/>
      <c r="D86" s="394"/>
      <c r="E86" s="32"/>
      <c r="F86" s="536"/>
      <c r="G86" s="536"/>
      <c r="H86" s="536"/>
      <c r="I86" s="536"/>
      <c r="J86" s="536"/>
      <c r="K86" s="537"/>
      <c r="L86" s="538"/>
      <c r="M86" s="538"/>
      <c r="N86" s="538"/>
      <c r="O86" s="538"/>
      <c r="P86" s="538"/>
      <c r="Q86" s="538"/>
      <c r="R86" s="538"/>
      <c r="S86" s="539"/>
      <c r="T86" s="540"/>
      <c r="U86" s="540"/>
      <c r="V86" s="540"/>
      <c r="W86" s="540"/>
      <c r="X86" s="541"/>
      <c r="Y86" s="541"/>
      <c r="Z86" s="541"/>
      <c r="AA86" s="541"/>
      <c r="AB86" s="541"/>
      <c r="AC86" s="541"/>
      <c r="AD86" s="542"/>
      <c r="AF86" s="50"/>
    </row>
    <row r="87" spans="1:32" ht="30" customHeight="1">
      <c r="A87" s="535">
        <f t="shared" si="11"/>
        <v>6</v>
      </c>
      <c r="B87" s="536"/>
      <c r="C87" s="394"/>
      <c r="D87" s="394"/>
      <c r="E87" s="32"/>
      <c r="F87" s="536"/>
      <c r="G87" s="536"/>
      <c r="H87" s="536"/>
      <c r="I87" s="536"/>
      <c r="J87" s="536"/>
      <c r="K87" s="537"/>
      <c r="L87" s="538"/>
      <c r="M87" s="538"/>
      <c r="N87" s="538"/>
      <c r="O87" s="538"/>
      <c r="P87" s="538"/>
      <c r="Q87" s="538"/>
      <c r="R87" s="538"/>
      <c r="S87" s="539"/>
      <c r="T87" s="540"/>
      <c r="U87" s="540"/>
      <c r="V87" s="540"/>
      <c r="W87" s="540"/>
      <c r="X87" s="541"/>
      <c r="Y87" s="541"/>
      <c r="Z87" s="541"/>
      <c r="AA87" s="541"/>
      <c r="AB87" s="541"/>
      <c r="AC87" s="541"/>
      <c r="AD87" s="542"/>
      <c r="AF87" s="50"/>
    </row>
    <row r="88" spans="1:32" ht="30" customHeight="1">
      <c r="A88" s="535">
        <f t="shared" si="11"/>
        <v>7</v>
      </c>
      <c r="B88" s="536"/>
      <c r="C88" s="394"/>
      <c r="D88" s="394"/>
      <c r="E88" s="32"/>
      <c r="F88" s="536"/>
      <c r="G88" s="536"/>
      <c r="H88" s="536"/>
      <c r="I88" s="536"/>
      <c r="J88" s="536"/>
      <c r="K88" s="537"/>
      <c r="L88" s="538"/>
      <c r="M88" s="538"/>
      <c r="N88" s="538"/>
      <c r="O88" s="538"/>
      <c r="P88" s="538"/>
      <c r="Q88" s="538"/>
      <c r="R88" s="538"/>
      <c r="S88" s="539"/>
      <c r="T88" s="540"/>
      <c r="U88" s="540"/>
      <c r="V88" s="540"/>
      <c r="W88" s="540"/>
      <c r="X88" s="541"/>
      <c r="Y88" s="541"/>
      <c r="Z88" s="541"/>
      <c r="AA88" s="541"/>
      <c r="AB88" s="541"/>
      <c r="AC88" s="541"/>
      <c r="AD88" s="542"/>
      <c r="AF88" s="50"/>
    </row>
    <row r="89" spans="1:32" ht="36" thickBot="1">
      <c r="A89" s="527" t="s">
        <v>593</v>
      </c>
      <c r="B89" s="527"/>
      <c r="C89" s="527"/>
      <c r="D89" s="527"/>
      <c r="E89" s="527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56" t="s">
        <v>111</v>
      </c>
      <c r="B90" s="530"/>
      <c r="C90" s="557" t="s">
        <v>52</v>
      </c>
      <c r="D90" s="557"/>
      <c r="E90" s="557" t="s">
        <v>53</v>
      </c>
      <c r="F90" s="557"/>
      <c r="G90" s="557"/>
      <c r="H90" s="557"/>
      <c r="I90" s="557"/>
      <c r="J90" s="557"/>
      <c r="K90" s="557" t="s">
        <v>54</v>
      </c>
      <c r="L90" s="557"/>
      <c r="M90" s="557"/>
      <c r="N90" s="557"/>
      <c r="O90" s="557"/>
      <c r="P90" s="557"/>
      <c r="Q90" s="557"/>
      <c r="R90" s="557"/>
      <c r="S90" s="557"/>
      <c r="T90" s="557" t="s">
        <v>55</v>
      </c>
      <c r="U90" s="557"/>
      <c r="V90" s="557" t="s">
        <v>56</v>
      </c>
      <c r="W90" s="557"/>
      <c r="X90" s="557"/>
      <c r="Y90" s="557" t="s">
        <v>51</v>
      </c>
      <c r="Z90" s="557"/>
      <c r="AA90" s="557"/>
      <c r="AB90" s="557"/>
      <c r="AC90" s="557"/>
      <c r="AD90" s="558"/>
      <c r="AF90" s="50"/>
    </row>
    <row r="91" spans="1:32" ht="30.75" customHeight="1">
      <c r="A91" s="543">
        <v>1</v>
      </c>
      <c r="B91" s="544"/>
      <c r="C91" s="559">
        <v>9</v>
      </c>
      <c r="D91" s="559"/>
      <c r="E91" s="559" t="s">
        <v>127</v>
      </c>
      <c r="F91" s="559"/>
      <c r="G91" s="559"/>
      <c r="H91" s="559"/>
      <c r="I91" s="559"/>
      <c r="J91" s="559"/>
      <c r="K91" s="559" t="s">
        <v>136</v>
      </c>
      <c r="L91" s="559"/>
      <c r="M91" s="559"/>
      <c r="N91" s="559"/>
      <c r="O91" s="559"/>
      <c r="P91" s="559"/>
      <c r="Q91" s="559"/>
      <c r="R91" s="559"/>
      <c r="S91" s="559"/>
      <c r="T91" s="559" t="s">
        <v>128</v>
      </c>
      <c r="U91" s="559"/>
      <c r="V91" s="560" t="s">
        <v>133</v>
      </c>
      <c r="W91" s="560"/>
      <c r="X91" s="560"/>
      <c r="Y91" s="561"/>
      <c r="Z91" s="561"/>
      <c r="AA91" s="561"/>
      <c r="AB91" s="561"/>
      <c r="AC91" s="561"/>
      <c r="AD91" s="562"/>
      <c r="AF91" s="50"/>
    </row>
    <row r="92" spans="1:32" ht="30.75" customHeight="1">
      <c r="A92" s="535">
        <v>2</v>
      </c>
      <c r="B92" s="536"/>
      <c r="C92" s="570"/>
      <c r="D92" s="570"/>
      <c r="E92" s="570"/>
      <c r="F92" s="570"/>
      <c r="G92" s="570"/>
      <c r="H92" s="570"/>
      <c r="I92" s="570"/>
      <c r="J92" s="570"/>
      <c r="K92" s="570"/>
      <c r="L92" s="570"/>
      <c r="M92" s="570"/>
      <c r="N92" s="570"/>
      <c r="O92" s="570"/>
      <c r="P92" s="570"/>
      <c r="Q92" s="570"/>
      <c r="R92" s="570"/>
      <c r="S92" s="570"/>
      <c r="T92" s="571"/>
      <c r="U92" s="571"/>
      <c r="V92" s="572"/>
      <c r="W92" s="572"/>
      <c r="X92" s="572"/>
      <c r="Y92" s="563"/>
      <c r="Z92" s="563"/>
      <c r="AA92" s="563"/>
      <c r="AB92" s="563"/>
      <c r="AC92" s="563"/>
      <c r="AD92" s="564"/>
      <c r="AF92" s="50"/>
    </row>
    <row r="93" spans="1:32" ht="30.75" customHeight="1" thickBot="1">
      <c r="A93" s="565">
        <v>3</v>
      </c>
      <c r="B93" s="566"/>
      <c r="C93" s="567"/>
      <c r="D93" s="567"/>
      <c r="E93" s="567"/>
      <c r="F93" s="567"/>
      <c r="G93" s="567"/>
      <c r="H93" s="567"/>
      <c r="I93" s="567"/>
      <c r="J93" s="567"/>
      <c r="K93" s="567"/>
      <c r="L93" s="567"/>
      <c r="M93" s="567"/>
      <c r="N93" s="567"/>
      <c r="O93" s="567"/>
      <c r="P93" s="567"/>
      <c r="Q93" s="567"/>
      <c r="R93" s="567"/>
      <c r="S93" s="567"/>
      <c r="T93" s="567"/>
      <c r="U93" s="567"/>
      <c r="V93" s="573"/>
      <c r="W93" s="573"/>
      <c r="X93" s="573"/>
      <c r="Y93" s="568"/>
      <c r="Z93" s="568"/>
      <c r="AA93" s="568"/>
      <c r="AB93" s="568"/>
      <c r="AC93" s="568"/>
      <c r="AD93" s="569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3" max="29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29A2-06DD-45BC-9F5A-B960F3626FEC}">
  <dimension ref="A1:AF93"/>
  <sheetViews>
    <sheetView view="pageBreakPreview" zoomScale="70" zoomScaleNormal="72" zoomScaleSheetLayoutView="70" workbookViewId="0">
      <selection activeCell="U12" sqref="U1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50" t="s">
        <v>594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1"/>
      <c r="B3" s="451"/>
      <c r="C3" s="451"/>
      <c r="D3" s="451"/>
      <c r="E3" s="451"/>
      <c r="F3" s="451"/>
      <c r="G3" s="45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52" t="s">
        <v>0</v>
      </c>
      <c r="B4" s="454" t="s">
        <v>1</v>
      </c>
      <c r="C4" s="454" t="s">
        <v>2</v>
      </c>
      <c r="D4" s="457" t="s">
        <v>3</v>
      </c>
      <c r="E4" s="459" t="s">
        <v>4</v>
      </c>
      <c r="F4" s="457" t="s">
        <v>5</v>
      </c>
      <c r="G4" s="454" t="s">
        <v>6</v>
      </c>
      <c r="H4" s="460" t="s">
        <v>7</v>
      </c>
      <c r="I4" s="480" t="s">
        <v>8</v>
      </c>
      <c r="J4" s="481"/>
      <c r="K4" s="481"/>
      <c r="L4" s="481"/>
      <c r="M4" s="481"/>
      <c r="N4" s="481"/>
      <c r="O4" s="482"/>
      <c r="P4" s="483" t="s">
        <v>9</v>
      </c>
      <c r="Q4" s="484"/>
      <c r="R4" s="486" t="s">
        <v>10</v>
      </c>
      <c r="S4" s="485"/>
      <c r="T4" s="485"/>
      <c r="U4" s="485"/>
      <c r="V4" s="487"/>
      <c r="W4" s="485" t="s">
        <v>11</v>
      </c>
      <c r="X4" s="485"/>
      <c r="Y4" s="485"/>
      <c r="Z4" s="485"/>
      <c r="AA4" s="487"/>
      <c r="AB4" s="488" t="s">
        <v>12</v>
      </c>
      <c r="AC4" s="462" t="s">
        <v>13</v>
      </c>
      <c r="AD4" s="462" t="s">
        <v>14</v>
      </c>
      <c r="AE4" s="54"/>
    </row>
    <row r="5" spans="1:32" ht="51" customHeight="1" thickBot="1">
      <c r="A5" s="453"/>
      <c r="B5" s="455"/>
      <c r="C5" s="456"/>
      <c r="D5" s="458"/>
      <c r="E5" s="458"/>
      <c r="F5" s="458"/>
      <c r="G5" s="455"/>
      <c r="H5" s="461"/>
      <c r="I5" s="55" t="s">
        <v>15</v>
      </c>
      <c r="J5" s="56" t="s">
        <v>16</v>
      </c>
      <c r="K5" s="407" t="s">
        <v>17</v>
      </c>
      <c r="L5" s="407" t="s">
        <v>18</v>
      </c>
      <c r="M5" s="407" t="s">
        <v>19</v>
      </c>
      <c r="N5" s="40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89"/>
      <c r="AC5" s="463"/>
      <c r="AD5" s="463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130</v>
      </c>
      <c r="E6" s="53" t="s">
        <v>564</v>
      </c>
      <c r="F6" s="30" t="s">
        <v>147</v>
      </c>
      <c r="G6" s="12">
        <v>2</v>
      </c>
      <c r="H6" s="13">
        <v>24</v>
      </c>
      <c r="I6" s="31">
        <v>185000</v>
      </c>
      <c r="J6" s="14">
        <v>11434</v>
      </c>
      <c r="K6" s="15">
        <f>L6+5840+11504</f>
        <v>28778</v>
      </c>
      <c r="L6" s="15">
        <f>2923*2+2794*2</f>
        <v>11434</v>
      </c>
      <c r="M6" s="15">
        <f t="shared" ref="M6:M27" si="0">L6-N6</f>
        <v>11434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24</v>
      </c>
      <c r="Q6" s="40">
        <f t="shared" ref="Q6:Q27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1</v>
      </c>
      <c r="AD6" s="10">
        <f t="shared" ref="AD6:AD27" si="6">AC6*AB6*(1-O6)</f>
        <v>1</v>
      </c>
      <c r="AE6" s="36">
        <f t="shared" ref="AE6:AE27" si="7">$AD$28</f>
        <v>0.43560606060606055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116</v>
      </c>
      <c r="D7" s="52" t="s">
        <v>150</v>
      </c>
      <c r="E7" s="53" t="s">
        <v>529</v>
      </c>
      <c r="F7" s="30" t="s">
        <v>135</v>
      </c>
      <c r="G7" s="12">
        <v>4</v>
      </c>
      <c r="H7" s="13">
        <v>24</v>
      </c>
      <c r="I7" s="31">
        <v>17000</v>
      </c>
      <c r="J7" s="14">
        <v>1252</v>
      </c>
      <c r="K7" s="15">
        <f>L7+18072+1252</f>
        <v>19324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0.43560606060606055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116</v>
      </c>
      <c r="D8" s="52" t="s">
        <v>124</v>
      </c>
      <c r="E8" s="53" t="s">
        <v>323</v>
      </c>
      <c r="F8" s="30" t="s">
        <v>268</v>
      </c>
      <c r="G8" s="12">
        <v>1</v>
      </c>
      <c r="H8" s="13">
        <v>24</v>
      </c>
      <c r="I8" s="7">
        <v>40000</v>
      </c>
      <c r="J8" s="14">
        <v>3374</v>
      </c>
      <c r="K8" s="15">
        <f>L8</f>
        <v>3374</v>
      </c>
      <c r="L8" s="15">
        <f>2981+393</f>
        <v>3374</v>
      </c>
      <c r="M8" s="15">
        <f t="shared" si="0"/>
        <v>3374</v>
      </c>
      <c r="N8" s="15">
        <v>0</v>
      </c>
      <c r="O8" s="58">
        <f t="shared" si="1"/>
        <v>0</v>
      </c>
      <c r="P8" s="39">
        <f t="shared" si="2"/>
        <v>13</v>
      </c>
      <c r="Q8" s="40">
        <f t="shared" si="3"/>
        <v>11</v>
      </c>
      <c r="R8" s="7"/>
      <c r="S8" s="6">
        <v>11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0.54166666666666663</v>
      </c>
      <c r="AD8" s="10">
        <f t="shared" si="6"/>
        <v>0.54166666666666663</v>
      </c>
      <c r="AE8" s="36">
        <f t="shared" si="7"/>
        <v>0.43560606060606055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241</v>
      </c>
      <c r="D9" s="52"/>
      <c r="E9" s="53" t="s">
        <v>383</v>
      </c>
      <c r="F9" s="30" t="s">
        <v>268</v>
      </c>
      <c r="G9" s="12">
        <v>2</v>
      </c>
      <c r="H9" s="13">
        <v>24</v>
      </c>
      <c r="I9" s="7">
        <v>38500</v>
      </c>
      <c r="J9" s="14">
        <v>11348</v>
      </c>
      <c r="K9" s="15">
        <f>L9+10102+11394+5542+6042</f>
        <v>44428</v>
      </c>
      <c r="L9" s="15">
        <f>2894*2+2780*2</f>
        <v>11348</v>
      </c>
      <c r="M9" s="15">
        <f t="shared" si="0"/>
        <v>11348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0.43560606060606055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241</v>
      </c>
      <c r="D10" s="52"/>
      <c r="E10" s="53" t="s">
        <v>408</v>
      </c>
      <c r="F10" s="30" t="s">
        <v>144</v>
      </c>
      <c r="G10" s="33">
        <v>2</v>
      </c>
      <c r="H10" s="35">
        <v>24</v>
      </c>
      <c r="I10" s="7">
        <v>38500</v>
      </c>
      <c r="J10" s="14">
        <v>8768</v>
      </c>
      <c r="K10" s="15">
        <f>L10+8004+11244+11966</f>
        <v>39982</v>
      </c>
      <c r="L10" s="15">
        <f>2854*2+1530*2</f>
        <v>8768</v>
      </c>
      <c r="M10" s="15">
        <f t="shared" si="0"/>
        <v>8768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0.43560606060606055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124</v>
      </c>
      <c r="E11" s="53" t="s">
        <v>530</v>
      </c>
      <c r="F11" s="30" t="s">
        <v>131</v>
      </c>
      <c r="G11" s="33">
        <v>2</v>
      </c>
      <c r="H11" s="35">
        <v>24</v>
      </c>
      <c r="I11" s="7">
        <v>230000</v>
      </c>
      <c r="J11" s="14">
        <v>1460</v>
      </c>
      <c r="K11" s="15">
        <f>L11+10954+11864+11140+11874</f>
        <v>47292</v>
      </c>
      <c r="L11" s="15">
        <f>730*2</f>
        <v>1460</v>
      </c>
      <c r="M11" s="15">
        <f t="shared" si="0"/>
        <v>1460</v>
      </c>
      <c r="N11" s="15">
        <v>0</v>
      </c>
      <c r="O11" s="58">
        <f t="shared" si="1"/>
        <v>0</v>
      </c>
      <c r="P11" s="39">
        <f t="shared" si="2"/>
        <v>4</v>
      </c>
      <c r="Q11" s="40">
        <f t="shared" si="3"/>
        <v>20</v>
      </c>
      <c r="R11" s="7"/>
      <c r="S11" s="6">
        <v>20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0.16666666666666666</v>
      </c>
      <c r="AD11" s="10">
        <f t="shared" si="6"/>
        <v>0.16666666666666666</v>
      </c>
      <c r="AE11" s="36">
        <f t="shared" si="7"/>
        <v>0.43560606060606055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403</v>
      </c>
      <c r="F12" s="30" t="s">
        <v>167</v>
      </c>
      <c r="G12" s="12">
        <v>1</v>
      </c>
      <c r="H12" s="13">
        <v>22</v>
      </c>
      <c r="I12" s="31">
        <v>80000</v>
      </c>
      <c r="J12" s="5">
        <v>5475</v>
      </c>
      <c r="K12" s="15">
        <f>L12+3050+5463+5497+6377+5244+5460+5580+5482+5489+5556+3742+5513</f>
        <v>67928</v>
      </c>
      <c r="L12" s="15">
        <f>2794+2681</f>
        <v>5475</v>
      </c>
      <c r="M12" s="15">
        <f t="shared" si="0"/>
        <v>5475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0.43560606060606055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124</v>
      </c>
      <c r="E13" s="53" t="s">
        <v>589</v>
      </c>
      <c r="F13" s="30" t="s">
        <v>134</v>
      </c>
      <c r="G13" s="33">
        <v>1</v>
      </c>
      <c r="H13" s="35">
        <v>35</v>
      </c>
      <c r="I13" s="7">
        <v>1000</v>
      </c>
      <c r="J13" s="14">
        <v>927</v>
      </c>
      <c r="K13" s="15">
        <f>L13+631+927</f>
        <v>1558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>
        <v>24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0.43560606060606055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203</v>
      </c>
      <c r="D14" s="52" t="s">
        <v>115</v>
      </c>
      <c r="E14" s="53" t="s">
        <v>553</v>
      </c>
      <c r="F14" s="30" t="s">
        <v>350</v>
      </c>
      <c r="G14" s="33">
        <v>1</v>
      </c>
      <c r="H14" s="35">
        <v>50</v>
      </c>
      <c r="I14" s="7">
        <v>700</v>
      </c>
      <c r="J14" s="5">
        <v>747</v>
      </c>
      <c r="K14" s="15">
        <f>L14</f>
        <v>747</v>
      </c>
      <c r="L14" s="15">
        <f>724+23</f>
        <v>747</v>
      </c>
      <c r="M14" s="15">
        <f t="shared" si="0"/>
        <v>747</v>
      </c>
      <c r="N14" s="15">
        <v>0</v>
      </c>
      <c r="O14" s="58">
        <f t="shared" si="1"/>
        <v>0</v>
      </c>
      <c r="P14" s="39">
        <f t="shared" si="2"/>
        <v>11</v>
      </c>
      <c r="Q14" s="40">
        <f t="shared" si="3"/>
        <v>13</v>
      </c>
      <c r="R14" s="7"/>
      <c r="S14" s="6"/>
      <c r="T14" s="16"/>
      <c r="U14" s="16"/>
      <c r="V14" s="17"/>
      <c r="W14" s="5">
        <v>13</v>
      </c>
      <c r="X14" s="16"/>
      <c r="Y14" s="16"/>
      <c r="Z14" s="16"/>
      <c r="AA14" s="18"/>
      <c r="AB14" s="8">
        <f t="shared" si="4"/>
        <v>1</v>
      </c>
      <c r="AC14" s="9">
        <f t="shared" si="5"/>
        <v>0.45833333333333331</v>
      </c>
      <c r="AD14" s="10">
        <f t="shared" si="6"/>
        <v>0.45833333333333331</v>
      </c>
      <c r="AE14" s="36">
        <f t="shared" si="7"/>
        <v>0.43560606060606055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123</v>
      </c>
      <c r="E15" s="53" t="s">
        <v>141</v>
      </c>
      <c r="F15" s="30" t="s">
        <v>135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0.43560606060606055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241</v>
      </c>
      <c r="D16" s="52" t="s">
        <v>115</v>
      </c>
      <c r="E16" s="53" t="s">
        <v>325</v>
      </c>
      <c r="F16" s="30" t="s">
        <v>268</v>
      </c>
      <c r="G16" s="12">
        <v>2</v>
      </c>
      <c r="H16" s="13">
        <v>24</v>
      </c>
      <c r="I16" s="7">
        <v>38500</v>
      </c>
      <c r="J16" s="14">
        <v>8562</v>
      </c>
      <c r="K16" s="15">
        <f>L16+7214+11960</f>
        <v>27736</v>
      </c>
      <c r="L16" s="15">
        <f>2947*2+1334*2</f>
        <v>8562</v>
      </c>
      <c r="M16" s="15">
        <f t="shared" si="0"/>
        <v>8562</v>
      </c>
      <c r="N16" s="15">
        <v>0</v>
      </c>
      <c r="O16" s="58">
        <f t="shared" si="1"/>
        <v>0</v>
      </c>
      <c r="P16" s="39">
        <f t="shared" si="2"/>
        <v>20</v>
      </c>
      <c r="Q16" s="40">
        <f t="shared" si="3"/>
        <v>4</v>
      </c>
      <c r="R16" s="7"/>
      <c r="S16" s="6">
        <v>4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0.83333333333333337</v>
      </c>
      <c r="AD16" s="10">
        <f t="shared" si="6"/>
        <v>0.83333333333333337</v>
      </c>
      <c r="AE16" s="36">
        <f t="shared" si="7"/>
        <v>0.43560606060606055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241</v>
      </c>
      <c r="D17" s="52"/>
      <c r="E17" s="53" t="s">
        <v>590</v>
      </c>
      <c r="F17" s="30" t="s">
        <v>302</v>
      </c>
      <c r="G17" s="12">
        <v>1</v>
      </c>
      <c r="H17" s="13">
        <v>24</v>
      </c>
      <c r="I17" s="7">
        <v>500</v>
      </c>
      <c r="J17" s="14">
        <v>1472</v>
      </c>
      <c r="K17" s="15">
        <f>L17</f>
        <v>1472</v>
      </c>
      <c r="L17" s="15">
        <v>1472</v>
      </c>
      <c r="M17" s="15">
        <f t="shared" si="0"/>
        <v>1472</v>
      </c>
      <c r="N17" s="15">
        <v>0</v>
      </c>
      <c r="O17" s="58">
        <f t="shared" si="1"/>
        <v>0</v>
      </c>
      <c r="P17" s="39">
        <f t="shared" si="2"/>
        <v>8</v>
      </c>
      <c r="Q17" s="40">
        <f t="shared" si="3"/>
        <v>16</v>
      </c>
      <c r="R17" s="7"/>
      <c r="S17" s="6"/>
      <c r="T17" s="16"/>
      <c r="U17" s="16"/>
      <c r="V17" s="17"/>
      <c r="W17" s="5">
        <v>16</v>
      </c>
      <c r="X17" s="16"/>
      <c r="Y17" s="16"/>
      <c r="Z17" s="16"/>
      <c r="AA17" s="18"/>
      <c r="AB17" s="8">
        <f t="shared" si="4"/>
        <v>1</v>
      </c>
      <c r="AC17" s="9">
        <f t="shared" si="5"/>
        <v>0.33333333333333331</v>
      </c>
      <c r="AD17" s="10">
        <f t="shared" si="6"/>
        <v>0.33333333333333331</v>
      </c>
      <c r="AE17" s="36">
        <f t="shared" si="7"/>
        <v>0.43560606060606055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480</v>
      </c>
      <c r="F18" s="30" t="s">
        <v>350</v>
      </c>
      <c r="G18" s="33">
        <v>1</v>
      </c>
      <c r="H18" s="35">
        <v>24</v>
      </c>
      <c r="I18" s="7">
        <v>18000</v>
      </c>
      <c r="J18" s="14">
        <v>5090</v>
      </c>
      <c r="K18" s="15">
        <f>L18+3408+5170+5124+4945+5090</f>
        <v>23737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0.43560606060606055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142</v>
      </c>
      <c r="E19" s="53" t="s">
        <v>161</v>
      </c>
      <c r="F19" s="30" t="s">
        <v>134</v>
      </c>
      <c r="G19" s="33">
        <v>1</v>
      </c>
      <c r="H19" s="35">
        <v>24</v>
      </c>
      <c r="I19" s="7">
        <v>54000</v>
      </c>
      <c r="J19" s="14">
        <v>1332</v>
      </c>
      <c r="K19" s="15">
        <f>L19+5079+5307+3503+1179+3568+5398+5390+5307+4716+2400+323+2119+4726+5252+4548+4887</f>
        <v>65034</v>
      </c>
      <c r="L19" s="15">
        <f>1332</f>
        <v>1332</v>
      </c>
      <c r="M19" s="15">
        <f t="shared" si="0"/>
        <v>1332</v>
      </c>
      <c r="N19" s="15">
        <v>0</v>
      </c>
      <c r="O19" s="58">
        <f t="shared" si="1"/>
        <v>0</v>
      </c>
      <c r="P19" s="39">
        <f t="shared" si="2"/>
        <v>6</v>
      </c>
      <c r="Q19" s="40">
        <f t="shared" si="3"/>
        <v>18</v>
      </c>
      <c r="R19" s="7"/>
      <c r="S19" s="6">
        <v>18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0.25</v>
      </c>
      <c r="AD19" s="10">
        <f t="shared" si="6"/>
        <v>0.25</v>
      </c>
      <c r="AE19" s="36">
        <f t="shared" si="7"/>
        <v>0.43560606060606055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521</v>
      </c>
      <c r="F20" s="30" t="s">
        <v>131</v>
      </c>
      <c r="G20" s="12">
        <v>2</v>
      </c>
      <c r="H20" s="13">
        <v>24</v>
      </c>
      <c r="I20" s="7">
        <v>230000</v>
      </c>
      <c r="J20" s="14">
        <v>10588</v>
      </c>
      <c r="K20" s="15">
        <f>L20+7008+11154+9077+8768+10676</f>
        <v>57271</v>
      </c>
      <c r="L20" s="15">
        <f>2698*2+2596*2</f>
        <v>10588</v>
      </c>
      <c r="M20" s="15">
        <f t="shared" si="0"/>
        <v>10588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0.43560606060606055</v>
      </c>
      <c r="AF20" s="84">
        <f t="shared" si="8"/>
        <v>15</v>
      </c>
    </row>
    <row r="21" spans="1:32" ht="27" customHeight="1">
      <c r="A21" s="96">
        <v>16</v>
      </c>
      <c r="B21" s="11" t="s">
        <v>57</v>
      </c>
      <c r="C21" s="11" t="s">
        <v>113</v>
      </c>
      <c r="D21" s="52"/>
      <c r="E21" s="53" t="s">
        <v>139</v>
      </c>
      <c r="F21" s="12" t="s">
        <v>114</v>
      </c>
      <c r="G21" s="12">
        <v>4</v>
      </c>
      <c r="H21" s="35">
        <v>20</v>
      </c>
      <c r="I21" s="7">
        <v>1000000</v>
      </c>
      <c r="J21" s="14">
        <v>61384</v>
      </c>
      <c r="K21" s="15">
        <f>L21+52608+61640</f>
        <v>175632</v>
      </c>
      <c r="L21" s="15">
        <f>7519*4+7827*4</f>
        <v>61384</v>
      </c>
      <c r="M21" s="15">
        <f t="shared" si="0"/>
        <v>61384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0.43560606060606055</v>
      </c>
      <c r="AF21" s="84">
        <f t="shared" si="8"/>
        <v>16</v>
      </c>
    </row>
    <row r="22" spans="1:32" ht="27" customHeight="1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0.43560606060606055</v>
      </c>
      <c r="AF22" s="84">
        <f t="shared" si="8"/>
        <v>31</v>
      </c>
    </row>
    <row r="23" spans="1:32" ht="27" customHeight="1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0.43560606060606055</v>
      </c>
      <c r="AF23" s="84">
        <f t="shared" si="8"/>
        <v>32</v>
      </c>
    </row>
    <row r="24" spans="1:32" ht="27" customHeight="1">
      <c r="A24" s="96">
        <v>33</v>
      </c>
      <c r="B24" s="11" t="s">
        <v>57</v>
      </c>
      <c r="C24" s="11" t="s">
        <v>116</v>
      </c>
      <c r="D24" s="52" t="s">
        <v>150</v>
      </c>
      <c r="E24" s="53" t="s">
        <v>163</v>
      </c>
      <c r="F24" s="12" t="s">
        <v>145</v>
      </c>
      <c r="G24" s="12">
        <v>1</v>
      </c>
      <c r="H24" s="35">
        <v>20</v>
      </c>
      <c r="I24" s="7">
        <v>140000</v>
      </c>
      <c r="J24" s="14">
        <v>7051</v>
      </c>
      <c r="K24" s="15">
        <f>L24+4387+7770+5806+7905+7479+7369+7360+2397+6904+7208+7013+6976+6992+2652+6495+7026</f>
        <v>108790</v>
      </c>
      <c r="L24" s="15">
        <f>4064+2987</f>
        <v>7051</v>
      </c>
      <c r="M24" s="15">
        <f t="shared" si="0"/>
        <v>7051</v>
      </c>
      <c r="N24" s="15">
        <v>0</v>
      </c>
      <c r="O24" s="58">
        <f t="shared" si="1"/>
        <v>0</v>
      </c>
      <c r="P24" s="39">
        <f t="shared" si="2"/>
        <v>24</v>
      </c>
      <c r="Q24" s="40">
        <f t="shared" si="3"/>
        <v>0</v>
      </c>
      <c r="R24" s="7"/>
      <c r="S24" s="6"/>
      <c r="T24" s="16"/>
      <c r="U24" s="16"/>
      <c r="V24" s="206"/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1</v>
      </c>
      <c r="AD24" s="10">
        <f t="shared" si="6"/>
        <v>1</v>
      </c>
      <c r="AE24" s="36">
        <f t="shared" si="7"/>
        <v>0.43560606060606055</v>
      </c>
      <c r="AF24" s="84">
        <f t="shared" si="8"/>
        <v>33</v>
      </c>
    </row>
    <row r="25" spans="1:32" ht="27" customHeight="1">
      <c r="A25" s="96">
        <v>34</v>
      </c>
      <c r="B25" s="11" t="s">
        <v>57</v>
      </c>
      <c r="C25" s="11" t="s">
        <v>116</v>
      </c>
      <c r="D25" s="52" t="s">
        <v>150</v>
      </c>
      <c r="E25" s="53" t="s">
        <v>165</v>
      </c>
      <c r="F25" s="12" t="s">
        <v>135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206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0.43560606060606055</v>
      </c>
      <c r="AF25" s="84">
        <f t="shared" si="8"/>
        <v>34</v>
      </c>
    </row>
    <row r="26" spans="1:32" ht="27" customHeight="1">
      <c r="A26" s="96">
        <v>35</v>
      </c>
      <c r="B26" s="11" t="s">
        <v>57</v>
      </c>
      <c r="C26" s="11" t="s">
        <v>116</v>
      </c>
      <c r="D26" s="52" t="s">
        <v>123</v>
      </c>
      <c r="E26" s="53" t="s">
        <v>137</v>
      </c>
      <c r="F26" s="12" t="s">
        <v>135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206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0.43560606060606055</v>
      </c>
      <c r="AF26" s="84">
        <f t="shared" si="8"/>
        <v>35</v>
      </c>
    </row>
    <row r="27" spans="1:32" ht="27" customHeight="1" thickBot="1">
      <c r="A27" s="96">
        <v>36</v>
      </c>
      <c r="B27" s="11" t="s">
        <v>57</v>
      </c>
      <c r="C27" s="11" t="s">
        <v>380</v>
      </c>
      <c r="D27" s="52"/>
      <c r="E27" s="53" t="s">
        <v>381</v>
      </c>
      <c r="F27" s="12" t="s">
        <v>382</v>
      </c>
      <c r="G27" s="12">
        <v>32</v>
      </c>
      <c r="H27" s="35">
        <v>20</v>
      </c>
      <c r="I27" s="7">
        <v>700000</v>
      </c>
      <c r="J27" s="14">
        <v>89792</v>
      </c>
      <c r="K27" s="15">
        <f>L27+326528+448864+89792</f>
        <v>865184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206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0.43560606060606055</v>
      </c>
      <c r="AF27" s="84">
        <f t="shared" si="8"/>
        <v>36</v>
      </c>
    </row>
    <row r="28" spans="1:32" ht="31.5" customHeight="1" thickBot="1">
      <c r="A28" s="464" t="s">
        <v>34</v>
      </c>
      <c r="B28" s="465"/>
      <c r="C28" s="465"/>
      <c r="D28" s="465"/>
      <c r="E28" s="465"/>
      <c r="F28" s="465"/>
      <c r="G28" s="465"/>
      <c r="H28" s="466"/>
      <c r="I28" s="22">
        <f t="shared" ref="I28:N28" si="9">SUM(I6:I27)</f>
        <v>3303700</v>
      </c>
      <c r="J28" s="19">
        <f t="shared" si="9"/>
        <v>264000</v>
      </c>
      <c r="K28" s="20">
        <f t="shared" si="9"/>
        <v>2130267</v>
      </c>
      <c r="L28" s="21">
        <f t="shared" si="9"/>
        <v>132995</v>
      </c>
      <c r="M28" s="20">
        <f t="shared" si="9"/>
        <v>132995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230</v>
      </c>
      <c r="Q28" s="43">
        <f t="shared" si="10"/>
        <v>298</v>
      </c>
      <c r="R28" s="23">
        <f t="shared" si="10"/>
        <v>0</v>
      </c>
      <c r="S28" s="24">
        <f t="shared" si="10"/>
        <v>77</v>
      </c>
      <c r="T28" s="24">
        <f t="shared" si="10"/>
        <v>0</v>
      </c>
      <c r="U28" s="24">
        <f t="shared" si="10"/>
        <v>0</v>
      </c>
      <c r="V28" s="25">
        <f t="shared" si="10"/>
        <v>48</v>
      </c>
      <c r="W28" s="26">
        <f t="shared" si="10"/>
        <v>125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48</v>
      </c>
      <c r="AB28" s="28">
        <f>AVERAGE(AB6:AB27)</f>
        <v>0.65</v>
      </c>
      <c r="AC28" s="4">
        <f>AVERAGE(AC6:AC27)</f>
        <v>0.43560606060606055</v>
      </c>
      <c r="AD28" s="4">
        <f>AVERAGE(AD6:AD27)</f>
        <v>0.43560606060606055</v>
      </c>
      <c r="AE28" s="29"/>
    </row>
    <row r="29" spans="1:32">
      <c r="T29" s="50" t="s">
        <v>157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160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67" t="s">
        <v>45</v>
      </c>
      <c r="B55" s="467"/>
      <c r="C55" s="467"/>
      <c r="D55" s="467"/>
      <c r="E55" s="467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68" t="s">
        <v>595</v>
      </c>
      <c r="B56" s="469"/>
      <c r="C56" s="469"/>
      <c r="D56" s="469"/>
      <c r="E56" s="469"/>
      <c r="F56" s="469"/>
      <c r="G56" s="469"/>
      <c r="H56" s="469"/>
      <c r="I56" s="469"/>
      <c r="J56" s="469"/>
      <c r="K56" s="469"/>
      <c r="L56" s="469"/>
      <c r="M56" s="470"/>
      <c r="N56" s="471" t="s">
        <v>597</v>
      </c>
      <c r="O56" s="472"/>
      <c r="P56" s="472"/>
      <c r="Q56" s="472"/>
      <c r="R56" s="472"/>
      <c r="S56" s="472"/>
      <c r="T56" s="472"/>
      <c r="U56" s="472"/>
      <c r="V56" s="472"/>
      <c r="W56" s="472"/>
      <c r="X56" s="472"/>
      <c r="Y56" s="472"/>
      <c r="Z56" s="472"/>
      <c r="AA56" s="472"/>
      <c r="AB56" s="472"/>
      <c r="AC56" s="472"/>
      <c r="AD56" s="473"/>
    </row>
    <row r="57" spans="1:32" ht="27" customHeight="1">
      <c r="A57" s="474" t="s">
        <v>2</v>
      </c>
      <c r="B57" s="475"/>
      <c r="C57" s="408" t="s">
        <v>46</v>
      </c>
      <c r="D57" s="408" t="s">
        <v>47</v>
      </c>
      <c r="E57" s="408" t="s">
        <v>107</v>
      </c>
      <c r="F57" s="476" t="s">
        <v>106</v>
      </c>
      <c r="G57" s="477"/>
      <c r="H57" s="477"/>
      <c r="I57" s="477"/>
      <c r="J57" s="477"/>
      <c r="K57" s="477"/>
      <c r="L57" s="477"/>
      <c r="M57" s="478"/>
      <c r="N57" s="67" t="s">
        <v>110</v>
      </c>
      <c r="O57" s="408" t="s">
        <v>46</v>
      </c>
      <c r="P57" s="476" t="s">
        <v>47</v>
      </c>
      <c r="Q57" s="479"/>
      <c r="R57" s="476" t="s">
        <v>38</v>
      </c>
      <c r="S57" s="477"/>
      <c r="T57" s="477"/>
      <c r="U57" s="479"/>
      <c r="V57" s="476" t="s">
        <v>48</v>
      </c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500" t="s">
        <v>241</v>
      </c>
      <c r="B58" s="501"/>
      <c r="C58" s="411" t="s">
        <v>277</v>
      </c>
      <c r="D58" s="411"/>
      <c r="E58" s="410" t="s">
        <v>408</v>
      </c>
      <c r="F58" s="492" t="s">
        <v>238</v>
      </c>
      <c r="G58" s="493"/>
      <c r="H58" s="493"/>
      <c r="I58" s="493"/>
      <c r="J58" s="493"/>
      <c r="K58" s="493"/>
      <c r="L58" s="493"/>
      <c r="M58" s="494"/>
      <c r="N58" s="409" t="s">
        <v>112</v>
      </c>
      <c r="O58" s="416" t="s">
        <v>259</v>
      </c>
      <c r="P58" s="495" t="s">
        <v>140</v>
      </c>
      <c r="Q58" s="496"/>
      <c r="R58" s="495" t="s">
        <v>589</v>
      </c>
      <c r="S58" s="497"/>
      <c r="T58" s="497"/>
      <c r="U58" s="496"/>
      <c r="V58" s="498" t="s">
        <v>599</v>
      </c>
      <c r="W58" s="498"/>
      <c r="X58" s="498"/>
      <c r="Y58" s="498"/>
      <c r="Z58" s="498"/>
      <c r="AA58" s="498"/>
      <c r="AB58" s="498"/>
      <c r="AC58" s="498"/>
      <c r="AD58" s="499"/>
    </row>
    <row r="59" spans="1:32" ht="27" customHeight="1">
      <c r="A59" s="500" t="s">
        <v>112</v>
      </c>
      <c r="B59" s="501"/>
      <c r="C59" s="411" t="s">
        <v>259</v>
      </c>
      <c r="D59" s="411" t="s">
        <v>140</v>
      </c>
      <c r="E59" s="410" t="s">
        <v>589</v>
      </c>
      <c r="F59" s="492" t="s">
        <v>596</v>
      </c>
      <c r="G59" s="493"/>
      <c r="H59" s="493"/>
      <c r="I59" s="493"/>
      <c r="J59" s="493"/>
      <c r="K59" s="493"/>
      <c r="L59" s="493"/>
      <c r="M59" s="494"/>
      <c r="N59" s="409" t="s">
        <v>203</v>
      </c>
      <c r="O59" s="416" t="s">
        <v>206</v>
      </c>
      <c r="P59" s="495" t="s">
        <v>204</v>
      </c>
      <c r="Q59" s="496"/>
      <c r="R59" s="495" t="s">
        <v>600</v>
      </c>
      <c r="S59" s="497"/>
      <c r="T59" s="497"/>
      <c r="U59" s="496"/>
      <c r="V59" s="498" t="s">
        <v>125</v>
      </c>
      <c r="W59" s="498"/>
      <c r="X59" s="498"/>
      <c r="Y59" s="498"/>
      <c r="Z59" s="498"/>
      <c r="AA59" s="498"/>
      <c r="AB59" s="498"/>
      <c r="AC59" s="498"/>
      <c r="AD59" s="499"/>
    </row>
    <row r="60" spans="1:32" ht="27" customHeight="1">
      <c r="A60" s="490" t="s">
        <v>203</v>
      </c>
      <c r="B60" s="491"/>
      <c r="C60" s="410" t="s">
        <v>206</v>
      </c>
      <c r="D60" s="410" t="s">
        <v>115</v>
      </c>
      <c r="E60" s="410" t="s">
        <v>553</v>
      </c>
      <c r="F60" s="492" t="s">
        <v>125</v>
      </c>
      <c r="G60" s="493"/>
      <c r="H60" s="493"/>
      <c r="I60" s="493"/>
      <c r="J60" s="493"/>
      <c r="K60" s="493"/>
      <c r="L60" s="493"/>
      <c r="M60" s="494"/>
      <c r="N60" s="409" t="s">
        <v>112</v>
      </c>
      <c r="O60" s="416" t="s">
        <v>221</v>
      </c>
      <c r="P60" s="495" t="s">
        <v>142</v>
      </c>
      <c r="Q60" s="496"/>
      <c r="R60" s="495" t="s">
        <v>161</v>
      </c>
      <c r="S60" s="497"/>
      <c r="T60" s="497"/>
      <c r="U60" s="496"/>
      <c r="V60" s="498" t="s">
        <v>120</v>
      </c>
      <c r="W60" s="498"/>
      <c r="X60" s="498"/>
      <c r="Y60" s="498"/>
      <c r="Z60" s="498"/>
      <c r="AA60" s="498"/>
      <c r="AB60" s="498"/>
      <c r="AC60" s="498"/>
      <c r="AD60" s="499"/>
    </row>
    <row r="61" spans="1:32" ht="27" customHeight="1">
      <c r="A61" s="500" t="s">
        <v>112</v>
      </c>
      <c r="B61" s="501"/>
      <c r="C61" s="411" t="s">
        <v>221</v>
      </c>
      <c r="D61" s="411" t="s">
        <v>142</v>
      </c>
      <c r="E61" s="410" t="s">
        <v>161</v>
      </c>
      <c r="F61" s="492" t="s">
        <v>540</v>
      </c>
      <c r="G61" s="493"/>
      <c r="H61" s="493"/>
      <c r="I61" s="493"/>
      <c r="J61" s="493"/>
      <c r="K61" s="493"/>
      <c r="L61" s="493"/>
      <c r="M61" s="494"/>
      <c r="N61" s="409" t="s">
        <v>241</v>
      </c>
      <c r="O61" s="416" t="s">
        <v>239</v>
      </c>
      <c r="P61" s="495"/>
      <c r="Q61" s="496"/>
      <c r="R61" s="495" t="s">
        <v>325</v>
      </c>
      <c r="S61" s="497"/>
      <c r="T61" s="497"/>
      <c r="U61" s="496"/>
      <c r="V61" s="498" t="s">
        <v>120</v>
      </c>
      <c r="W61" s="498"/>
      <c r="X61" s="498"/>
      <c r="Y61" s="498"/>
      <c r="Z61" s="498"/>
      <c r="AA61" s="498"/>
      <c r="AB61" s="498"/>
      <c r="AC61" s="498"/>
      <c r="AD61" s="499"/>
    </row>
    <row r="62" spans="1:32" ht="27" customHeight="1">
      <c r="A62" s="490" t="s">
        <v>241</v>
      </c>
      <c r="B62" s="491"/>
      <c r="C62" s="410" t="s">
        <v>256</v>
      </c>
      <c r="D62" s="410"/>
      <c r="E62" s="410" t="s">
        <v>590</v>
      </c>
      <c r="F62" s="492" t="s">
        <v>125</v>
      </c>
      <c r="G62" s="493"/>
      <c r="H62" s="493"/>
      <c r="I62" s="493"/>
      <c r="J62" s="493"/>
      <c r="K62" s="493"/>
      <c r="L62" s="493"/>
      <c r="M62" s="494"/>
      <c r="N62" s="409"/>
      <c r="O62" s="416"/>
      <c r="P62" s="495"/>
      <c r="Q62" s="496"/>
      <c r="R62" s="495"/>
      <c r="S62" s="497"/>
      <c r="T62" s="497"/>
      <c r="U62" s="496"/>
      <c r="V62" s="498"/>
      <c r="W62" s="498"/>
      <c r="X62" s="498"/>
      <c r="Y62" s="498"/>
      <c r="Z62" s="498"/>
      <c r="AA62" s="498"/>
      <c r="AB62" s="498"/>
      <c r="AC62" s="498"/>
      <c r="AD62" s="499"/>
    </row>
    <row r="63" spans="1:32" ht="27" customHeight="1">
      <c r="A63" s="490" t="s">
        <v>116</v>
      </c>
      <c r="B63" s="491"/>
      <c r="C63" s="410" t="s">
        <v>193</v>
      </c>
      <c r="D63" s="410" t="s">
        <v>140</v>
      </c>
      <c r="E63" s="410" t="s">
        <v>323</v>
      </c>
      <c r="F63" s="492" t="s">
        <v>598</v>
      </c>
      <c r="G63" s="493"/>
      <c r="H63" s="493"/>
      <c r="I63" s="493"/>
      <c r="J63" s="493"/>
      <c r="K63" s="493"/>
      <c r="L63" s="493"/>
      <c r="M63" s="494"/>
      <c r="N63" s="409"/>
      <c r="O63" s="416"/>
      <c r="P63" s="495"/>
      <c r="Q63" s="496"/>
      <c r="R63" s="495"/>
      <c r="S63" s="497"/>
      <c r="T63" s="497"/>
      <c r="U63" s="496"/>
      <c r="V63" s="498"/>
      <c r="W63" s="498"/>
      <c r="X63" s="498"/>
      <c r="Y63" s="498"/>
      <c r="Z63" s="498"/>
      <c r="AA63" s="498"/>
      <c r="AB63" s="498"/>
      <c r="AC63" s="498"/>
      <c r="AD63" s="499"/>
    </row>
    <row r="64" spans="1:32" ht="27" customHeight="1">
      <c r="A64" s="490" t="s">
        <v>241</v>
      </c>
      <c r="B64" s="491"/>
      <c r="C64" s="410" t="s">
        <v>239</v>
      </c>
      <c r="D64" s="410"/>
      <c r="E64" s="410" t="s">
        <v>325</v>
      </c>
      <c r="F64" s="492" t="s">
        <v>368</v>
      </c>
      <c r="G64" s="493"/>
      <c r="H64" s="493"/>
      <c r="I64" s="493"/>
      <c r="J64" s="493"/>
      <c r="K64" s="493"/>
      <c r="L64" s="493"/>
      <c r="M64" s="494"/>
      <c r="N64" s="409"/>
      <c r="O64" s="416"/>
      <c r="P64" s="495"/>
      <c r="Q64" s="496"/>
      <c r="R64" s="495"/>
      <c r="S64" s="497"/>
      <c r="T64" s="497"/>
      <c r="U64" s="496"/>
      <c r="V64" s="498"/>
      <c r="W64" s="498"/>
      <c r="X64" s="498"/>
      <c r="Y64" s="498"/>
      <c r="Z64" s="498"/>
      <c r="AA64" s="498"/>
      <c r="AB64" s="498"/>
      <c r="AC64" s="498"/>
      <c r="AD64" s="499"/>
    </row>
    <row r="65" spans="1:32" ht="27" customHeight="1">
      <c r="A65" s="500"/>
      <c r="B65" s="501"/>
      <c r="C65" s="411"/>
      <c r="D65" s="411"/>
      <c r="E65" s="410"/>
      <c r="F65" s="492"/>
      <c r="G65" s="493"/>
      <c r="H65" s="493"/>
      <c r="I65" s="493"/>
      <c r="J65" s="493"/>
      <c r="K65" s="493"/>
      <c r="L65" s="493"/>
      <c r="M65" s="494"/>
      <c r="N65" s="409"/>
      <c r="O65" s="416"/>
      <c r="P65" s="495"/>
      <c r="Q65" s="496"/>
      <c r="R65" s="495"/>
      <c r="S65" s="497"/>
      <c r="T65" s="497"/>
      <c r="U65" s="496"/>
      <c r="V65" s="498"/>
      <c r="W65" s="498"/>
      <c r="X65" s="498"/>
      <c r="Y65" s="498"/>
      <c r="Z65" s="498"/>
      <c r="AA65" s="498"/>
      <c r="AB65" s="498"/>
      <c r="AC65" s="498"/>
      <c r="AD65" s="499"/>
    </row>
    <row r="66" spans="1:32" ht="27" customHeight="1">
      <c r="A66" s="500"/>
      <c r="B66" s="501"/>
      <c r="C66" s="411"/>
      <c r="D66" s="411"/>
      <c r="E66" s="410"/>
      <c r="F66" s="492"/>
      <c r="G66" s="493"/>
      <c r="H66" s="493"/>
      <c r="I66" s="493"/>
      <c r="J66" s="493"/>
      <c r="K66" s="493"/>
      <c r="L66" s="493"/>
      <c r="M66" s="494"/>
      <c r="N66" s="409"/>
      <c r="O66" s="416"/>
      <c r="P66" s="491"/>
      <c r="Q66" s="491"/>
      <c r="R66" s="491"/>
      <c r="S66" s="491"/>
      <c r="T66" s="491"/>
      <c r="U66" s="491"/>
      <c r="V66" s="498"/>
      <c r="W66" s="498"/>
      <c r="X66" s="498"/>
      <c r="Y66" s="498"/>
      <c r="Z66" s="498"/>
      <c r="AA66" s="498"/>
      <c r="AB66" s="498"/>
      <c r="AC66" s="498"/>
      <c r="AD66" s="499"/>
      <c r="AF66" s="84">
        <f>8*3000</f>
        <v>24000</v>
      </c>
    </row>
    <row r="67" spans="1:32" ht="27" customHeight="1" thickBot="1">
      <c r="A67" s="502"/>
      <c r="B67" s="503"/>
      <c r="C67" s="412"/>
      <c r="D67" s="413"/>
      <c r="E67" s="412"/>
      <c r="F67" s="504"/>
      <c r="G67" s="505"/>
      <c r="H67" s="505"/>
      <c r="I67" s="505"/>
      <c r="J67" s="505"/>
      <c r="K67" s="505"/>
      <c r="L67" s="505"/>
      <c r="M67" s="506"/>
      <c r="N67" s="111"/>
      <c r="O67" s="103"/>
      <c r="P67" s="507"/>
      <c r="Q67" s="507"/>
      <c r="R67" s="507"/>
      <c r="S67" s="507"/>
      <c r="T67" s="507"/>
      <c r="U67" s="507"/>
      <c r="V67" s="508"/>
      <c r="W67" s="508"/>
      <c r="X67" s="508"/>
      <c r="Y67" s="508"/>
      <c r="Z67" s="508"/>
      <c r="AA67" s="508"/>
      <c r="AB67" s="508"/>
      <c r="AC67" s="508"/>
      <c r="AD67" s="509"/>
      <c r="AF67" s="84">
        <f>16*3000</f>
        <v>48000</v>
      </c>
    </row>
    <row r="68" spans="1:32" ht="27.75" thickBot="1">
      <c r="A68" s="510" t="s">
        <v>601</v>
      </c>
      <c r="B68" s="510"/>
      <c r="C68" s="510"/>
      <c r="D68" s="510"/>
      <c r="E68" s="51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11" t="s">
        <v>111</v>
      </c>
      <c r="B69" s="512"/>
      <c r="C69" s="414" t="s">
        <v>2</v>
      </c>
      <c r="D69" s="414" t="s">
        <v>37</v>
      </c>
      <c r="E69" s="414" t="s">
        <v>3</v>
      </c>
      <c r="F69" s="512" t="s">
        <v>109</v>
      </c>
      <c r="G69" s="512"/>
      <c r="H69" s="512"/>
      <c r="I69" s="512"/>
      <c r="J69" s="512"/>
      <c r="K69" s="512" t="s">
        <v>39</v>
      </c>
      <c r="L69" s="512"/>
      <c r="M69" s="414" t="s">
        <v>40</v>
      </c>
      <c r="N69" s="512" t="s">
        <v>41</v>
      </c>
      <c r="O69" s="512"/>
      <c r="P69" s="513" t="s">
        <v>42</v>
      </c>
      <c r="Q69" s="514"/>
      <c r="R69" s="513" t="s">
        <v>43</v>
      </c>
      <c r="S69" s="515"/>
      <c r="T69" s="515"/>
      <c r="U69" s="515"/>
      <c r="V69" s="515"/>
      <c r="W69" s="515"/>
      <c r="X69" s="515"/>
      <c r="Y69" s="515"/>
      <c r="Z69" s="515"/>
      <c r="AA69" s="514"/>
      <c r="AB69" s="512" t="s">
        <v>44</v>
      </c>
      <c r="AC69" s="512"/>
      <c r="AD69" s="516"/>
      <c r="AF69" s="84">
        <f>SUM(AF66:AF68)</f>
        <v>96000</v>
      </c>
    </row>
    <row r="70" spans="1:32" ht="25.5" customHeight="1">
      <c r="A70" s="517">
        <v>1</v>
      </c>
      <c r="B70" s="518"/>
      <c r="C70" s="104" t="s">
        <v>112</v>
      </c>
      <c r="D70" s="418"/>
      <c r="E70" s="415" t="s">
        <v>130</v>
      </c>
      <c r="F70" s="519" t="s">
        <v>602</v>
      </c>
      <c r="G70" s="520"/>
      <c r="H70" s="520"/>
      <c r="I70" s="520"/>
      <c r="J70" s="521"/>
      <c r="K70" s="522" t="s">
        <v>147</v>
      </c>
      <c r="L70" s="522"/>
      <c r="M70" s="51" t="s">
        <v>205</v>
      </c>
      <c r="N70" s="523" t="s">
        <v>169</v>
      </c>
      <c r="O70" s="523"/>
      <c r="P70" s="524"/>
      <c r="Q70" s="524"/>
      <c r="R70" s="498" t="s">
        <v>605</v>
      </c>
      <c r="S70" s="498"/>
      <c r="T70" s="498"/>
      <c r="U70" s="498"/>
      <c r="V70" s="498"/>
      <c r="W70" s="498"/>
      <c r="X70" s="498"/>
      <c r="Y70" s="498"/>
      <c r="Z70" s="498"/>
      <c r="AA70" s="498"/>
      <c r="AB70" s="522"/>
      <c r="AC70" s="522"/>
      <c r="AD70" s="525"/>
      <c r="AF70" s="50"/>
    </row>
    <row r="71" spans="1:32" ht="25.5" customHeight="1">
      <c r="A71" s="517">
        <v>2</v>
      </c>
      <c r="B71" s="518"/>
      <c r="C71" s="104" t="s">
        <v>116</v>
      </c>
      <c r="D71" s="418"/>
      <c r="E71" s="415"/>
      <c r="F71" s="519" t="s">
        <v>323</v>
      </c>
      <c r="G71" s="520"/>
      <c r="H71" s="520"/>
      <c r="I71" s="520"/>
      <c r="J71" s="521"/>
      <c r="K71" s="522" t="s">
        <v>606</v>
      </c>
      <c r="L71" s="522"/>
      <c r="M71" s="51" t="s">
        <v>579</v>
      </c>
      <c r="N71" s="523" t="s">
        <v>193</v>
      </c>
      <c r="O71" s="523"/>
      <c r="P71" s="524">
        <v>50</v>
      </c>
      <c r="Q71" s="524"/>
      <c r="R71" s="498"/>
      <c r="S71" s="498"/>
      <c r="T71" s="498"/>
      <c r="U71" s="498"/>
      <c r="V71" s="498"/>
      <c r="W71" s="498"/>
      <c r="X71" s="498"/>
      <c r="Y71" s="498"/>
      <c r="Z71" s="498"/>
      <c r="AA71" s="498"/>
      <c r="AB71" s="522"/>
      <c r="AC71" s="522"/>
      <c r="AD71" s="525"/>
      <c r="AF71" s="50"/>
    </row>
    <row r="72" spans="1:32" ht="25.5" customHeight="1">
      <c r="A72" s="517">
        <v>3</v>
      </c>
      <c r="B72" s="518"/>
      <c r="C72" s="104" t="s">
        <v>112</v>
      </c>
      <c r="D72" s="418"/>
      <c r="E72" s="415"/>
      <c r="F72" s="519" t="s">
        <v>603</v>
      </c>
      <c r="G72" s="520"/>
      <c r="H72" s="520"/>
      <c r="I72" s="520"/>
      <c r="J72" s="521"/>
      <c r="K72" s="522" t="s">
        <v>131</v>
      </c>
      <c r="L72" s="522"/>
      <c r="M72" s="51" t="s">
        <v>205</v>
      </c>
      <c r="N72" s="523" t="s">
        <v>286</v>
      </c>
      <c r="O72" s="523"/>
      <c r="P72" s="524"/>
      <c r="Q72" s="524"/>
      <c r="R72" s="498" t="s">
        <v>607</v>
      </c>
      <c r="S72" s="498"/>
      <c r="T72" s="498"/>
      <c r="U72" s="498"/>
      <c r="V72" s="498"/>
      <c r="W72" s="498"/>
      <c r="X72" s="498"/>
      <c r="Y72" s="498"/>
      <c r="Z72" s="498"/>
      <c r="AA72" s="498"/>
      <c r="AB72" s="522"/>
      <c r="AC72" s="522"/>
      <c r="AD72" s="525"/>
      <c r="AF72" s="50"/>
    </row>
    <row r="73" spans="1:32" ht="25.5" customHeight="1">
      <c r="A73" s="517">
        <v>4</v>
      </c>
      <c r="B73" s="518"/>
      <c r="C73" s="104" t="s">
        <v>112</v>
      </c>
      <c r="D73" s="418"/>
      <c r="E73" s="415"/>
      <c r="F73" s="519" t="s">
        <v>604</v>
      </c>
      <c r="G73" s="520"/>
      <c r="H73" s="520"/>
      <c r="I73" s="520"/>
      <c r="J73" s="521"/>
      <c r="K73" s="522" t="s">
        <v>134</v>
      </c>
      <c r="L73" s="522"/>
      <c r="M73" s="51" t="s">
        <v>205</v>
      </c>
      <c r="N73" s="523" t="s">
        <v>286</v>
      </c>
      <c r="O73" s="523"/>
      <c r="P73" s="524">
        <v>200</v>
      </c>
      <c r="Q73" s="524"/>
      <c r="R73" s="498"/>
      <c r="S73" s="498"/>
      <c r="T73" s="498"/>
      <c r="U73" s="498"/>
      <c r="V73" s="498"/>
      <c r="W73" s="498"/>
      <c r="X73" s="498"/>
      <c r="Y73" s="498"/>
      <c r="Z73" s="498"/>
      <c r="AA73" s="498"/>
      <c r="AB73" s="522"/>
      <c r="AC73" s="522"/>
      <c r="AD73" s="525"/>
      <c r="AF73" s="50"/>
    </row>
    <row r="74" spans="1:32" ht="25.5" customHeight="1">
      <c r="A74" s="517">
        <v>5</v>
      </c>
      <c r="B74" s="518"/>
      <c r="C74" s="104"/>
      <c r="D74" s="418"/>
      <c r="E74" s="415"/>
      <c r="F74" s="519"/>
      <c r="G74" s="520"/>
      <c r="H74" s="520"/>
      <c r="I74" s="520"/>
      <c r="J74" s="521"/>
      <c r="K74" s="522"/>
      <c r="L74" s="522"/>
      <c r="M74" s="51"/>
      <c r="N74" s="523"/>
      <c r="O74" s="523"/>
      <c r="P74" s="524"/>
      <c r="Q74" s="524"/>
      <c r="R74" s="498"/>
      <c r="S74" s="498"/>
      <c r="T74" s="498"/>
      <c r="U74" s="498"/>
      <c r="V74" s="498"/>
      <c r="W74" s="498"/>
      <c r="X74" s="498"/>
      <c r="Y74" s="498"/>
      <c r="Z74" s="498"/>
      <c r="AA74" s="498"/>
      <c r="AB74" s="522"/>
      <c r="AC74" s="522"/>
      <c r="AD74" s="525"/>
      <c r="AF74" s="50"/>
    </row>
    <row r="75" spans="1:32" ht="25.5" customHeight="1">
      <c r="A75" s="517">
        <v>6</v>
      </c>
      <c r="B75" s="518"/>
      <c r="C75" s="104"/>
      <c r="D75" s="418"/>
      <c r="E75" s="415"/>
      <c r="F75" s="519"/>
      <c r="G75" s="520"/>
      <c r="H75" s="520"/>
      <c r="I75" s="520"/>
      <c r="J75" s="521"/>
      <c r="K75" s="522"/>
      <c r="L75" s="522"/>
      <c r="M75" s="51"/>
      <c r="N75" s="523"/>
      <c r="O75" s="523"/>
      <c r="P75" s="524"/>
      <c r="Q75" s="524"/>
      <c r="R75" s="498"/>
      <c r="S75" s="498"/>
      <c r="T75" s="498"/>
      <c r="U75" s="498"/>
      <c r="V75" s="498"/>
      <c r="W75" s="498"/>
      <c r="X75" s="498"/>
      <c r="Y75" s="498"/>
      <c r="Z75" s="498"/>
      <c r="AA75" s="498"/>
      <c r="AB75" s="522"/>
      <c r="AC75" s="522"/>
      <c r="AD75" s="525"/>
      <c r="AF75" s="50"/>
    </row>
    <row r="76" spans="1:32" ht="25.5" customHeight="1">
      <c r="A76" s="517">
        <v>7</v>
      </c>
      <c r="B76" s="518"/>
      <c r="C76" s="104"/>
      <c r="D76" s="418"/>
      <c r="E76" s="415"/>
      <c r="F76" s="519"/>
      <c r="G76" s="520"/>
      <c r="H76" s="520"/>
      <c r="I76" s="520"/>
      <c r="J76" s="521"/>
      <c r="K76" s="522"/>
      <c r="L76" s="522"/>
      <c r="M76" s="51"/>
      <c r="N76" s="523"/>
      <c r="O76" s="523"/>
      <c r="P76" s="524"/>
      <c r="Q76" s="524"/>
      <c r="R76" s="498"/>
      <c r="S76" s="498"/>
      <c r="T76" s="498"/>
      <c r="U76" s="498"/>
      <c r="V76" s="498"/>
      <c r="W76" s="498"/>
      <c r="X76" s="498"/>
      <c r="Y76" s="498"/>
      <c r="Z76" s="498"/>
      <c r="AA76" s="498"/>
      <c r="AB76" s="522"/>
      <c r="AC76" s="522"/>
      <c r="AD76" s="525"/>
      <c r="AF76" s="50"/>
    </row>
    <row r="77" spans="1:32" ht="25.5" customHeight="1">
      <c r="A77" s="517">
        <v>8</v>
      </c>
      <c r="B77" s="518"/>
      <c r="C77" s="104"/>
      <c r="D77" s="418"/>
      <c r="E77" s="415"/>
      <c r="F77" s="526"/>
      <c r="G77" s="522"/>
      <c r="H77" s="522"/>
      <c r="I77" s="522"/>
      <c r="J77" s="522"/>
      <c r="K77" s="522"/>
      <c r="L77" s="522"/>
      <c r="M77" s="51"/>
      <c r="N77" s="523"/>
      <c r="O77" s="523"/>
      <c r="P77" s="524"/>
      <c r="Q77" s="524"/>
      <c r="R77" s="498"/>
      <c r="S77" s="498"/>
      <c r="T77" s="498"/>
      <c r="U77" s="498"/>
      <c r="V77" s="498"/>
      <c r="W77" s="498"/>
      <c r="X77" s="498"/>
      <c r="Y77" s="498"/>
      <c r="Z77" s="498"/>
      <c r="AA77" s="498"/>
      <c r="AB77" s="522"/>
      <c r="AC77" s="522"/>
      <c r="AD77" s="525"/>
      <c r="AF77" s="50"/>
    </row>
    <row r="78" spans="1:32" ht="25.5" customHeight="1">
      <c r="A78" s="517">
        <v>9</v>
      </c>
      <c r="B78" s="518"/>
      <c r="C78" s="104"/>
      <c r="D78" s="418"/>
      <c r="E78" s="415"/>
      <c r="F78" s="526"/>
      <c r="G78" s="522"/>
      <c r="H78" s="522"/>
      <c r="I78" s="522"/>
      <c r="J78" s="522"/>
      <c r="K78" s="522"/>
      <c r="L78" s="522"/>
      <c r="M78" s="51"/>
      <c r="N78" s="523"/>
      <c r="O78" s="523"/>
      <c r="P78" s="524"/>
      <c r="Q78" s="524"/>
      <c r="R78" s="498"/>
      <c r="S78" s="498"/>
      <c r="T78" s="498"/>
      <c r="U78" s="498"/>
      <c r="V78" s="498"/>
      <c r="W78" s="498"/>
      <c r="X78" s="498"/>
      <c r="Y78" s="498"/>
      <c r="Z78" s="498"/>
      <c r="AA78" s="498"/>
      <c r="AB78" s="522"/>
      <c r="AC78" s="522"/>
      <c r="AD78" s="525"/>
      <c r="AF78" s="50"/>
    </row>
    <row r="79" spans="1:32" ht="25.5" customHeight="1">
      <c r="A79" s="517">
        <v>10</v>
      </c>
      <c r="B79" s="518"/>
      <c r="C79" s="104"/>
      <c r="D79" s="418"/>
      <c r="E79" s="415"/>
      <c r="F79" s="526"/>
      <c r="G79" s="522"/>
      <c r="H79" s="522"/>
      <c r="I79" s="522"/>
      <c r="J79" s="522"/>
      <c r="K79" s="522"/>
      <c r="L79" s="522"/>
      <c r="M79" s="51"/>
      <c r="N79" s="523"/>
      <c r="O79" s="523"/>
      <c r="P79" s="524"/>
      <c r="Q79" s="524"/>
      <c r="R79" s="498"/>
      <c r="S79" s="498"/>
      <c r="T79" s="498"/>
      <c r="U79" s="498"/>
      <c r="V79" s="498"/>
      <c r="W79" s="498"/>
      <c r="X79" s="498"/>
      <c r="Y79" s="498"/>
      <c r="Z79" s="498"/>
      <c r="AA79" s="498"/>
      <c r="AB79" s="522"/>
      <c r="AC79" s="522"/>
      <c r="AD79" s="525"/>
      <c r="AF79" s="50"/>
    </row>
    <row r="80" spans="1:32" ht="26.25" customHeight="1" thickBot="1">
      <c r="A80" s="527" t="s">
        <v>608</v>
      </c>
      <c r="B80" s="527"/>
      <c r="C80" s="527"/>
      <c r="D80" s="527"/>
      <c r="E80" s="527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528" t="s">
        <v>111</v>
      </c>
      <c r="B81" s="529"/>
      <c r="C81" s="417" t="s">
        <v>2</v>
      </c>
      <c r="D81" s="417" t="s">
        <v>37</v>
      </c>
      <c r="E81" s="417" t="s">
        <v>121</v>
      </c>
      <c r="F81" s="530" t="s">
        <v>38</v>
      </c>
      <c r="G81" s="530"/>
      <c r="H81" s="530"/>
      <c r="I81" s="530"/>
      <c r="J81" s="530"/>
      <c r="K81" s="531" t="s">
        <v>58</v>
      </c>
      <c r="L81" s="532"/>
      <c r="M81" s="532"/>
      <c r="N81" s="532"/>
      <c r="O81" s="532"/>
      <c r="P81" s="532"/>
      <c r="Q81" s="532"/>
      <c r="R81" s="532"/>
      <c r="S81" s="533"/>
      <c r="T81" s="530" t="s">
        <v>49</v>
      </c>
      <c r="U81" s="530"/>
      <c r="V81" s="531" t="s">
        <v>50</v>
      </c>
      <c r="W81" s="533"/>
      <c r="X81" s="532" t="s">
        <v>51</v>
      </c>
      <c r="Y81" s="532"/>
      <c r="Z81" s="532"/>
      <c r="AA81" s="532"/>
      <c r="AB81" s="532"/>
      <c r="AC81" s="532"/>
      <c r="AD81" s="534"/>
      <c r="AF81" s="50"/>
    </row>
    <row r="82" spans="1:32" ht="33.75" customHeight="1">
      <c r="A82" s="543">
        <v>1</v>
      </c>
      <c r="B82" s="544"/>
      <c r="C82" s="419"/>
      <c r="D82" s="419"/>
      <c r="E82" s="65"/>
      <c r="F82" s="545"/>
      <c r="G82" s="546"/>
      <c r="H82" s="546"/>
      <c r="I82" s="546"/>
      <c r="J82" s="547"/>
      <c r="K82" s="548"/>
      <c r="L82" s="549"/>
      <c r="M82" s="549"/>
      <c r="N82" s="549"/>
      <c r="O82" s="549"/>
      <c r="P82" s="549"/>
      <c r="Q82" s="549"/>
      <c r="R82" s="549"/>
      <c r="S82" s="550"/>
      <c r="T82" s="551"/>
      <c r="U82" s="552"/>
      <c r="V82" s="553"/>
      <c r="W82" s="553"/>
      <c r="X82" s="554"/>
      <c r="Y82" s="554"/>
      <c r="Z82" s="554"/>
      <c r="AA82" s="554"/>
      <c r="AB82" s="554"/>
      <c r="AC82" s="554"/>
      <c r="AD82" s="555"/>
      <c r="AF82" s="50"/>
    </row>
    <row r="83" spans="1:32" ht="30" customHeight="1">
      <c r="A83" s="535">
        <f>A82+1</f>
        <v>2</v>
      </c>
      <c r="B83" s="536"/>
      <c r="C83" s="418"/>
      <c r="D83" s="418"/>
      <c r="E83" s="32"/>
      <c r="F83" s="536"/>
      <c r="G83" s="536"/>
      <c r="H83" s="536"/>
      <c r="I83" s="536"/>
      <c r="J83" s="536"/>
      <c r="K83" s="537"/>
      <c r="L83" s="538"/>
      <c r="M83" s="538"/>
      <c r="N83" s="538"/>
      <c r="O83" s="538"/>
      <c r="P83" s="538"/>
      <c r="Q83" s="538"/>
      <c r="R83" s="538"/>
      <c r="S83" s="539"/>
      <c r="T83" s="540"/>
      <c r="U83" s="540"/>
      <c r="V83" s="540"/>
      <c r="W83" s="540"/>
      <c r="X83" s="541"/>
      <c r="Y83" s="541"/>
      <c r="Z83" s="541"/>
      <c r="AA83" s="541"/>
      <c r="AB83" s="541"/>
      <c r="AC83" s="541"/>
      <c r="AD83" s="542"/>
      <c r="AF83" s="50"/>
    </row>
    <row r="84" spans="1:32" ht="30" customHeight="1">
      <c r="A84" s="535">
        <f t="shared" ref="A84:A88" si="11">A83+1</f>
        <v>3</v>
      </c>
      <c r="B84" s="536"/>
      <c r="C84" s="418"/>
      <c r="D84" s="418"/>
      <c r="E84" s="32"/>
      <c r="F84" s="536"/>
      <c r="G84" s="536"/>
      <c r="H84" s="536"/>
      <c r="I84" s="536"/>
      <c r="J84" s="536"/>
      <c r="K84" s="537"/>
      <c r="L84" s="538"/>
      <c r="M84" s="538"/>
      <c r="N84" s="538"/>
      <c r="O84" s="538"/>
      <c r="P84" s="538"/>
      <c r="Q84" s="538"/>
      <c r="R84" s="538"/>
      <c r="S84" s="539"/>
      <c r="T84" s="540"/>
      <c r="U84" s="540"/>
      <c r="V84" s="540"/>
      <c r="W84" s="540"/>
      <c r="X84" s="541"/>
      <c r="Y84" s="541"/>
      <c r="Z84" s="541"/>
      <c r="AA84" s="541"/>
      <c r="AB84" s="541"/>
      <c r="AC84" s="541"/>
      <c r="AD84" s="542"/>
      <c r="AF84" s="50"/>
    </row>
    <row r="85" spans="1:32" ht="30" customHeight="1">
      <c r="A85" s="535">
        <f t="shared" si="11"/>
        <v>4</v>
      </c>
      <c r="B85" s="536"/>
      <c r="C85" s="418"/>
      <c r="D85" s="418"/>
      <c r="E85" s="32"/>
      <c r="F85" s="536"/>
      <c r="G85" s="536"/>
      <c r="H85" s="536"/>
      <c r="I85" s="536"/>
      <c r="J85" s="536"/>
      <c r="K85" s="537"/>
      <c r="L85" s="538"/>
      <c r="M85" s="538"/>
      <c r="N85" s="538"/>
      <c r="O85" s="538"/>
      <c r="P85" s="538"/>
      <c r="Q85" s="538"/>
      <c r="R85" s="538"/>
      <c r="S85" s="539"/>
      <c r="T85" s="540"/>
      <c r="U85" s="540"/>
      <c r="V85" s="540"/>
      <c r="W85" s="540"/>
      <c r="X85" s="541"/>
      <c r="Y85" s="541"/>
      <c r="Z85" s="541"/>
      <c r="AA85" s="541"/>
      <c r="AB85" s="541"/>
      <c r="AC85" s="541"/>
      <c r="AD85" s="542"/>
      <c r="AF85" s="50"/>
    </row>
    <row r="86" spans="1:32" ht="30" customHeight="1">
      <c r="A86" s="535">
        <f t="shared" si="11"/>
        <v>5</v>
      </c>
      <c r="B86" s="536"/>
      <c r="C86" s="418"/>
      <c r="D86" s="418"/>
      <c r="E86" s="32"/>
      <c r="F86" s="536"/>
      <c r="G86" s="536"/>
      <c r="H86" s="536"/>
      <c r="I86" s="536"/>
      <c r="J86" s="536"/>
      <c r="K86" s="537"/>
      <c r="L86" s="538"/>
      <c r="M86" s="538"/>
      <c r="N86" s="538"/>
      <c r="O86" s="538"/>
      <c r="P86" s="538"/>
      <c r="Q86" s="538"/>
      <c r="R86" s="538"/>
      <c r="S86" s="539"/>
      <c r="T86" s="540"/>
      <c r="U86" s="540"/>
      <c r="V86" s="540"/>
      <c r="W86" s="540"/>
      <c r="X86" s="541"/>
      <c r="Y86" s="541"/>
      <c r="Z86" s="541"/>
      <c r="AA86" s="541"/>
      <c r="AB86" s="541"/>
      <c r="AC86" s="541"/>
      <c r="AD86" s="542"/>
      <c r="AF86" s="50"/>
    </row>
    <row r="87" spans="1:32" ht="30" customHeight="1">
      <c r="A87" s="535">
        <f t="shared" si="11"/>
        <v>6</v>
      </c>
      <c r="B87" s="536"/>
      <c r="C87" s="418"/>
      <c r="D87" s="418"/>
      <c r="E87" s="32"/>
      <c r="F87" s="536"/>
      <c r="G87" s="536"/>
      <c r="H87" s="536"/>
      <c r="I87" s="536"/>
      <c r="J87" s="536"/>
      <c r="K87" s="537"/>
      <c r="L87" s="538"/>
      <c r="M87" s="538"/>
      <c r="N87" s="538"/>
      <c r="O87" s="538"/>
      <c r="P87" s="538"/>
      <c r="Q87" s="538"/>
      <c r="R87" s="538"/>
      <c r="S87" s="539"/>
      <c r="T87" s="540"/>
      <c r="U87" s="540"/>
      <c r="V87" s="540"/>
      <c r="W87" s="540"/>
      <c r="X87" s="541"/>
      <c r="Y87" s="541"/>
      <c r="Z87" s="541"/>
      <c r="AA87" s="541"/>
      <c r="AB87" s="541"/>
      <c r="AC87" s="541"/>
      <c r="AD87" s="542"/>
      <c r="AF87" s="50"/>
    </row>
    <row r="88" spans="1:32" ht="30" customHeight="1">
      <c r="A88" s="535">
        <f t="shared" si="11"/>
        <v>7</v>
      </c>
      <c r="B88" s="536"/>
      <c r="C88" s="418"/>
      <c r="D88" s="418"/>
      <c r="E88" s="32"/>
      <c r="F88" s="536"/>
      <c r="G88" s="536"/>
      <c r="H88" s="536"/>
      <c r="I88" s="536"/>
      <c r="J88" s="536"/>
      <c r="K88" s="537"/>
      <c r="L88" s="538"/>
      <c r="M88" s="538"/>
      <c r="N88" s="538"/>
      <c r="O88" s="538"/>
      <c r="P88" s="538"/>
      <c r="Q88" s="538"/>
      <c r="R88" s="538"/>
      <c r="S88" s="539"/>
      <c r="T88" s="540"/>
      <c r="U88" s="540"/>
      <c r="V88" s="540"/>
      <c r="W88" s="540"/>
      <c r="X88" s="541"/>
      <c r="Y88" s="541"/>
      <c r="Z88" s="541"/>
      <c r="AA88" s="541"/>
      <c r="AB88" s="541"/>
      <c r="AC88" s="541"/>
      <c r="AD88" s="542"/>
      <c r="AF88" s="50"/>
    </row>
    <row r="89" spans="1:32" ht="36" thickBot="1">
      <c r="A89" s="527" t="s">
        <v>609</v>
      </c>
      <c r="B89" s="527"/>
      <c r="C89" s="527"/>
      <c r="D89" s="527"/>
      <c r="E89" s="527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56" t="s">
        <v>111</v>
      </c>
      <c r="B90" s="530"/>
      <c r="C90" s="557" t="s">
        <v>52</v>
      </c>
      <c r="D90" s="557"/>
      <c r="E90" s="557" t="s">
        <v>53</v>
      </c>
      <c r="F90" s="557"/>
      <c r="G90" s="557"/>
      <c r="H90" s="557"/>
      <c r="I90" s="557"/>
      <c r="J90" s="557"/>
      <c r="K90" s="557" t="s">
        <v>54</v>
      </c>
      <c r="L90" s="557"/>
      <c r="M90" s="557"/>
      <c r="N90" s="557"/>
      <c r="O90" s="557"/>
      <c r="P90" s="557"/>
      <c r="Q90" s="557"/>
      <c r="R90" s="557"/>
      <c r="S90" s="557"/>
      <c r="T90" s="557" t="s">
        <v>55</v>
      </c>
      <c r="U90" s="557"/>
      <c r="V90" s="557" t="s">
        <v>56</v>
      </c>
      <c r="W90" s="557"/>
      <c r="X90" s="557"/>
      <c r="Y90" s="557" t="s">
        <v>51</v>
      </c>
      <c r="Z90" s="557"/>
      <c r="AA90" s="557"/>
      <c r="AB90" s="557"/>
      <c r="AC90" s="557"/>
      <c r="AD90" s="558"/>
      <c r="AF90" s="50"/>
    </row>
    <row r="91" spans="1:32" ht="30.75" customHeight="1">
      <c r="A91" s="543">
        <v>1</v>
      </c>
      <c r="B91" s="544"/>
      <c r="C91" s="559">
        <v>9</v>
      </c>
      <c r="D91" s="559"/>
      <c r="E91" s="559" t="s">
        <v>127</v>
      </c>
      <c r="F91" s="559"/>
      <c r="G91" s="559"/>
      <c r="H91" s="559"/>
      <c r="I91" s="559"/>
      <c r="J91" s="559"/>
      <c r="K91" s="559" t="s">
        <v>136</v>
      </c>
      <c r="L91" s="559"/>
      <c r="M91" s="559"/>
      <c r="N91" s="559"/>
      <c r="O91" s="559"/>
      <c r="P91" s="559"/>
      <c r="Q91" s="559"/>
      <c r="R91" s="559"/>
      <c r="S91" s="559"/>
      <c r="T91" s="559" t="s">
        <v>128</v>
      </c>
      <c r="U91" s="559"/>
      <c r="V91" s="560" t="s">
        <v>133</v>
      </c>
      <c r="W91" s="560"/>
      <c r="X91" s="560"/>
      <c r="Y91" s="561"/>
      <c r="Z91" s="561"/>
      <c r="AA91" s="561"/>
      <c r="AB91" s="561"/>
      <c r="AC91" s="561"/>
      <c r="AD91" s="562"/>
      <c r="AF91" s="50"/>
    </row>
    <row r="92" spans="1:32" ht="30.75" customHeight="1">
      <c r="A92" s="535">
        <v>2</v>
      </c>
      <c r="B92" s="536"/>
      <c r="C92" s="570"/>
      <c r="D92" s="570"/>
      <c r="E92" s="570"/>
      <c r="F92" s="570"/>
      <c r="G92" s="570"/>
      <c r="H92" s="570"/>
      <c r="I92" s="570"/>
      <c r="J92" s="570"/>
      <c r="K92" s="570"/>
      <c r="L92" s="570"/>
      <c r="M92" s="570"/>
      <c r="N92" s="570"/>
      <c r="O92" s="570"/>
      <c r="P92" s="570"/>
      <c r="Q92" s="570"/>
      <c r="R92" s="570"/>
      <c r="S92" s="570"/>
      <c r="T92" s="571"/>
      <c r="U92" s="571"/>
      <c r="V92" s="572"/>
      <c r="W92" s="572"/>
      <c r="X92" s="572"/>
      <c r="Y92" s="563"/>
      <c r="Z92" s="563"/>
      <c r="AA92" s="563"/>
      <c r="AB92" s="563"/>
      <c r="AC92" s="563"/>
      <c r="AD92" s="564"/>
      <c r="AF92" s="50"/>
    </row>
    <row r="93" spans="1:32" ht="30.75" customHeight="1" thickBot="1">
      <c r="A93" s="565">
        <v>3</v>
      </c>
      <c r="B93" s="566"/>
      <c r="C93" s="567"/>
      <c r="D93" s="567"/>
      <c r="E93" s="567"/>
      <c r="F93" s="567"/>
      <c r="G93" s="567"/>
      <c r="H93" s="567"/>
      <c r="I93" s="567"/>
      <c r="J93" s="567"/>
      <c r="K93" s="567"/>
      <c r="L93" s="567"/>
      <c r="M93" s="567"/>
      <c r="N93" s="567"/>
      <c r="O93" s="567"/>
      <c r="P93" s="567"/>
      <c r="Q93" s="567"/>
      <c r="R93" s="567"/>
      <c r="S93" s="567"/>
      <c r="T93" s="567"/>
      <c r="U93" s="567"/>
      <c r="V93" s="573"/>
      <c r="W93" s="573"/>
      <c r="X93" s="573"/>
      <c r="Y93" s="568"/>
      <c r="Z93" s="568"/>
      <c r="AA93" s="568"/>
      <c r="AB93" s="568"/>
      <c r="AC93" s="568"/>
      <c r="AD93" s="569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3" max="29" man="1"/>
  </row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C57F-A985-4E30-AB1B-46CA7E0D8D05}">
  <dimension ref="A1:AF93"/>
  <sheetViews>
    <sheetView view="pageBreakPreview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50" t="s">
        <v>610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1"/>
      <c r="B3" s="451"/>
      <c r="C3" s="451"/>
      <c r="D3" s="451"/>
      <c r="E3" s="451"/>
      <c r="F3" s="451"/>
      <c r="G3" s="45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52" t="s">
        <v>0</v>
      </c>
      <c r="B4" s="454" t="s">
        <v>1</v>
      </c>
      <c r="C4" s="454" t="s">
        <v>2</v>
      </c>
      <c r="D4" s="457" t="s">
        <v>3</v>
      </c>
      <c r="E4" s="459" t="s">
        <v>4</v>
      </c>
      <c r="F4" s="457" t="s">
        <v>5</v>
      </c>
      <c r="G4" s="454" t="s">
        <v>6</v>
      </c>
      <c r="H4" s="460" t="s">
        <v>7</v>
      </c>
      <c r="I4" s="480" t="s">
        <v>8</v>
      </c>
      <c r="J4" s="481"/>
      <c r="K4" s="481"/>
      <c r="L4" s="481"/>
      <c r="M4" s="481"/>
      <c r="N4" s="481"/>
      <c r="O4" s="482"/>
      <c r="P4" s="483" t="s">
        <v>9</v>
      </c>
      <c r="Q4" s="484"/>
      <c r="R4" s="486" t="s">
        <v>10</v>
      </c>
      <c r="S4" s="485"/>
      <c r="T4" s="485"/>
      <c r="U4" s="485"/>
      <c r="V4" s="487"/>
      <c r="W4" s="485" t="s">
        <v>11</v>
      </c>
      <c r="X4" s="485"/>
      <c r="Y4" s="485"/>
      <c r="Z4" s="485"/>
      <c r="AA4" s="487"/>
      <c r="AB4" s="488" t="s">
        <v>12</v>
      </c>
      <c r="AC4" s="462" t="s">
        <v>13</v>
      </c>
      <c r="AD4" s="462" t="s">
        <v>14</v>
      </c>
      <c r="AE4" s="54"/>
    </row>
    <row r="5" spans="1:32" ht="51" customHeight="1" thickBot="1">
      <c r="A5" s="453"/>
      <c r="B5" s="455"/>
      <c r="C5" s="456"/>
      <c r="D5" s="458"/>
      <c r="E5" s="458"/>
      <c r="F5" s="458"/>
      <c r="G5" s="455"/>
      <c r="H5" s="461"/>
      <c r="I5" s="55" t="s">
        <v>15</v>
      </c>
      <c r="J5" s="56" t="s">
        <v>16</v>
      </c>
      <c r="K5" s="432" t="s">
        <v>17</v>
      </c>
      <c r="L5" s="432" t="s">
        <v>18</v>
      </c>
      <c r="M5" s="432" t="s">
        <v>19</v>
      </c>
      <c r="N5" s="43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89"/>
      <c r="AC5" s="463"/>
      <c r="AD5" s="463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130</v>
      </c>
      <c r="E6" s="53" t="s">
        <v>564</v>
      </c>
      <c r="F6" s="30" t="s">
        <v>147</v>
      </c>
      <c r="G6" s="12">
        <v>2</v>
      </c>
      <c r="H6" s="13">
        <v>24</v>
      </c>
      <c r="I6" s="31">
        <v>185000</v>
      </c>
      <c r="J6" s="14">
        <v>11462</v>
      </c>
      <c r="K6" s="15">
        <f>L6+5840+11504+11434</f>
        <v>40240</v>
      </c>
      <c r="L6" s="15">
        <f>2926*2+2805*2</f>
        <v>11462</v>
      </c>
      <c r="M6" s="15">
        <f t="shared" ref="M6:M27" si="0">L6-N6</f>
        <v>11462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24</v>
      </c>
      <c r="Q6" s="40">
        <f t="shared" ref="Q6:Q27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1</v>
      </c>
      <c r="AD6" s="10">
        <f t="shared" ref="AD6:AD27" si="6">AC6*AB6*(1-O6)</f>
        <v>1</v>
      </c>
      <c r="AE6" s="36">
        <f t="shared" ref="AE6:AE27" si="7">$AD$28</f>
        <v>0.42234848484848481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116</v>
      </c>
      <c r="D7" s="52" t="s">
        <v>150</v>
      </c>
      <c r="E7" s="53" t="s">
        <v>529</v>
      </c>
      <c r="F7" s="30" t="s">
        <v>135</v>
      </c>
      <c r="G7" s="12">
        <v>4</v>
      </c>
      <c r="H7" s="13">
        <v>24</v>
      </c>
      <c r="I7" s="31">
        <v>17000</v>
      </c>
      <c r="J7" s="14">
        <v>1252</v>
      </c>
      <c r="K7" s="15">
        <f>L7+18072+1252</f>
        <v>19324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0.42234848484848481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116</v>
      </c>
      <c r="D8" s="52" t="s">
        <v>124</v>
      </c>
      <c r="E8" s="53" t="s">
        <v>323</v>
      </c>
      <c r="F8" s="30" t="s">
        <v>268</v>
      </c>
      <c r="G8" s="12">
        <v>1</v>
      </c>
      <c r="H8" s="13">
        <v>24</v>
      </c>
      <c r="I8" s="7">
        <v>40000</v>
      </c>
      <c r="J8" s="14">
        <v>6197</v>
      </c>
      <c r="K8" s="15">
        <f>L8+3374</f>
        <v>9571</v>
      </c>
      <c r="L8" s="15">
        <f>3164+3033</f>
        <v>6197</v>
      </c>
      <c r="M8" s="15">
        <f t="shared" si="0"/>
        <v>6197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0.42234848484848481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241</v>
      </c>
      <c r="D9" s="52"/>
      <c r="E9" s="53" t="s">
        <v>383</v>
      </c>
      <c r="F9" s="30" t="s">
        <v>268</v>
      </c>
      <c r="G9" s="12">
        <v>2</v>
      </c>
      <c r="H9" s="13">
        <v>24</v>
      </c>
      <c r="I9" s="7">
        <v>38500</v>
      </c>
      <c r="J9" s="14">
        <v>10430</v>
      </c>
      <c r="K9" s="15">
        <f>L9+10102+11394+5542+6042+11348</f>
        <v>54858</v>
      </c>
      <c r="L9" s="15">
        <f>2424*2+2791*2</f>
        <v>10430</v>
      </c>
      <c r="M9" s="15">
        <f t="shared" si="0"/>
        <v>10430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0.42234848484848481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241</v>
      </c>
      <c r="D10" s="52"/>
      <c r="E10" s="53" t="s">
        <v>408</v>
      </c>
      <c r="F10" s="30" t="s">
        <v>144</v>
      </c>
      <c r="G10" s="33">
        <v>2</v>
      </c>
      <c r="H10" s="35">
        <v>24</v>
      </c>
      <c r="I10" s="7">
        <v>38500</v>
      </c>
      <c r="J10" s="14">
        <v>7662</v>
      </c>
      <c r="K10" s="15">
        <f>L10+8004+11244+11966+8768</f>
        <v>47644</v>
      </c>
      <c r="L10" s="15">
        <f>2693*2+1138*2</f>
        <v>7662</v>
      </c>
      <c r="M10" s="15">
        <f t="shared" si="0"/>
        <v>7662</v>
      </c>
      <c r="N10" s="15">
        <v>0</v>
      </c>
      <c r="O10" s="58">
        <f t="shared" si="1"/>
        <v>0</v>
      </c>
      <c r="P10" s="39">
        <f t="shared" si="2"/>
        <v>18</v>
      </c>
      <c r="Q10" s="40">
        <f t="shared" si="3"/>
        <v>6</v>
      </c>
      <c r="R10" s="7"/>
      <c r="S10" s="6">
        <v>6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0.75</v>
      </c>
      <c r="AD10" s="10">
        <f t="shared" si="6"/>
        <v>0.75</v>
      </c>
      <c r="AE10" s="36">
        <f t="shared" si="7"/>
        <v>0.42234848484848481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124</v>
      </c>
      <c r="E11" s="53" t="s">
        <v>530</v>
      </c>
      <c r="F11" s="30" t="s">
        <v>131</v>
      </c>
      <c r="G11" s="33">
        <v>2</v>
      </c>
      <c r="H11" s="35">
        <v>24</v>
      </c>
      <c r="I11" s="7">
        <v>230000</v>
      </c>
      <c r="J11" s="14">
        <v>1460</v>
      </c>
      <c r="K11" s="15">
        <f>L11+10954+11864+11140+11874+1460</f>
        <v>47292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0.42234848484848481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403</v>
      </c>
      <c r="F12" s="30" t="s">
        <v>167</v>
      </c>
      <c r="G12" s="12">
        <v>1</v>
      </c>
      <c r="H12" s="13">
        <v>22</v>
      </c>
      <c r="I12" s="31">
        <v>80000</v>
      </c>
      <c r="J12" s="5">
        <v>4332</v>
      </c>
      <c r="K12" s="15">
        <f>L12+3050+5463+5497+6377+5244+5460+5580+5482+5489+5556+3742+5513+5475</f>
        <v>72260</v>
      </c>
      <c r="L12" s="15">
        <f>2810+1522</f>
        <v>4332</v>
      </c>
      <c r="M12" s="15">
        <f t="shared" si="0"/>
        <v>4332</v>
      </c>
      <c r="N12" s="15">
        <v>0</v>
      </c>
      <c r="O12" s="58">
        <f t="shared" si="1"/>
        <v>0</v>
      </c>
      <c r="P12" s="39">
        <f t="shared" si="2"/>
        <v>19</v>
      </c>
      <c r="Q12" s="40">
        <f t="shared" si="3"/>
        <v>5</v>
      </c>
      <c r="R12" s="7"/>
      <c r="S12" s="6">
        <v>5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0.79166666666666663</v>
      </c>
      <c r="AD12" s="10">
        <f t="shared" si="6"/>
        <v>0.79166666666666663</v>
      </c>
      <c r="AE12" s="36">
        <f t="shared" si="7"/>
        <v>0.42234848484848481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124</v>
      </c>
      <c r="E13" s="53" t="s">
        <v>589</v>
      </c>
      <c r="F13" s="30" t="s">
        <v>134</v>
      </c>
      <c r="G13" s="33">
        <v>1</v>
      </c>
      <c r="H13" s="35">
        <v>35</v>
      </c>
      <c r="I13" s="7">
        <v>1000</v>
      </c>
      <c r="J13" s="14">
        <v>3204</v>
      </c>
      <c r="K13" s="15">
        <f>L13</f>
        <v>3204</v>
      </c>
      <c r="L13" s="15">
        <f>1730+1474</f>
        <v>3204</v>
      </c>
      <c r="M13" s="15">
        <f t="shared" si="0"/>
        <v>3204</v>
      </c>
      <c r="N13" s="15">
        <v>0</v>
      </c>
      <c r="O13" s="58">
        <f t="shared" si="1"/>
        <v>0</v>
      </c>
      <c r="P13" s="39">
        <f t="shared" si="2"/>
        <v>17</v>
      </c>
      <c r="Q13" s="40">
        <f t="shared" si="3"/>
        <v>7</v>
      </c>
      <c r="R13" s="7"/>
      <c r="S13" s="6">
        <v>7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0.70833333333333337</v>
      </c>
      <c r="AD13" s="10">
        <f t="shared" si="6"/>
        <v>0.70833333333333337</v>
      </c>
      <c r="AE13" s="36">
        <f t="shared" si="7"/>
        <v>0.42234848484848481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203</v>
      </c>
      <c r="D14" s="52" t="s">
        <v>398</v>
      </c>
      <c r="E14" s="53" t="s">
        <v>600</v>
      </c>
      <c r="F14" s="30" t="s">
        <v>350</v>
      </c>
      <c r="G14" s="33">
        <v>1</v>
      </c>
      <c r="H14" s="35">
        <v>50</v>
      </c>
      <c r="I14" s="7">
        <v>700</v>
      </c>
      <c r="J14" s="5">
        <v>786</v>
      </c>
      <c r="K14" s="15">
        <f>L14</f>
        <v>786</v>
      </c>
      <c r="L14" s="15">
        <f>786</f>
        <v>786</v>
      </c>
      <c r="M14" s="15">
        <f t="shared" si="0"/>
        <v>786</v>
      </c>
      <c r="N14" s="15">
        <v>0</v>
      </c>
      <c r="O14" s="58">
        <f t="shared" si="1"/>
        <v>0</v>
      </c>
      <c r="P14" s="39">
        <f t="shared" si="2"/>
        <v>11</v>
      </c>
      <c r="Q14" s="40">
        <f t="shared" si="3"/>
        <v>13</v>
      </c>
      <c r="R14" s="7"/>
      <c r="S14" s="6"/>
      <c r="T14" s="16"/>
      <c r="U14" s="16"/>
      <c r="V14" s="17"/>
      <c r="W14" s="5">
        <v>13</v>
      </c>
      <c r="X14" s="16"/>
      <c r="Y14" s="16"/>
      <c r="Z14" s="16"/>
      <c r="AA14" s="18"/>
      <c r="AB14" s="8">
        <f t="shared" si="4"/>
        <v>1</v>
      </c>
      <c r="AC14" s="9">
        <f t="shared" si="5"/>
        <v>0.45833333333333331</v>
      </c>
      <c r="AD14" s="10">
        <f t="shared" si="6"/>
        <v>0.45833333333333331</v>
      </c>
      <c r="AE14" s="36">
        <f t="shared" si="7"/>
        <v>0.42234848484848481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123</v>
      </c>
      <c r="E15" s="53" t="s">
        <v>141</v>
      </c>
      <c r="F15" s="30" t="s">
        <v>135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0.42234848484848481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241</v>
      </c>
      <c r="D16" s="52" t="s">
        <v>115</v>
      </c>
      <c r="E16" s="53" t="s">
        <v>325</v>
      </c>
      <c r="F16" s="30" t="s">
        <v>268</v>
      </c>
      <c r="G16" s="12">
        <v>2</v>
      </c>
      <c r="H16" s="13">
        <v>24</v>
      </c>
      <c r="I16" s="7">
        <v>38500</v>
      </c>
      <c r="J16" s="14">
        <v>7350</v>
      </c>
      <c r="K16" s="15">
        <f>L16+7214+11960+8562</f>
        <v>35086</v>
      </c>
      <c r="L16" s="15">
        <f>3120*2+555*2</f>
        <v>7350</v>
      </c>
      <c r="M16" s="15">
        <f t="shared" si="0"/>
        <v>7350</v>
      </c>
      <c r="N16" s="15">
        <v>0</v>
      </c>
      <c r="O16" s="58">
        <f t="shared" si="1"/>
        <v>0</v>
      </c>
      <c r="P16" s="39">
        <f t="shared" si="2"/>
        <v>16</v>
      </c>
      <c r="Q16" s="40">
        <f t="shared" si="3"/>
        <v>8</v>
      </c>
      <c r="R16" s="7"/>
      <c r="S16" s="6">
        <v>8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0.66666666666666663</v>
      </c>
      <c r="AD16" s="10">
        <f t="shared" si="6"/>
        <v>0.66666666666666663</v>
      </c>
      <c r="AE16" s="36">
        <f t="shared" si="7"/>
        <v>0.42234848484848481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241</v>
      </c>
      <c r="D17" s="52"/>
      <c r="E17" s="53" t="s">
        <v>611</v>
      </c>
      <c r="F17" s="30" t="s">
        <v>302</v>
      </c>
      <c r="G17" s="12">
        <v>1</v>
      </c>
      <c r="H17" s="13">
        <v>24</v>
      </c>
      <c r="I17" s="7">
        <v>6000</v>
      </c>
      <c r="J17" s="14">
        <v>1472</v>
      </c>
      <c r="K17" s="15">
        <f>L17</f>
        <v>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>
        <v>24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0.42234848484848481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116</v>
      </c>
      <c r="D18" s="52" t="s">
        <v>150</v>
      </c>
      <c r="E18" s="53" t="s">
        <v>442</v>
      </c>
      <c r="F18" s="30" t="s">
        <v>134</v>
      </c>
      <c r="G18" s="33">
        <v>1</v>
      </c>
      <c r="H18" s="35">
        <v>24</v>
      </c>
      <c r="I18" s="7">
        <v>1000</v>
      </c>
      <c r="J18" s="14">
        <v>2304</v>
      </c>
      <c r="K18" s="15">
        <f>L18</f>
        <v>2304</v>
      </c>
      <c r="L18" s="15">
        <v>2304</v>
      </c>
      <c r="M18" s="15">
        <f t="shared" si="0"/>
        <v>2304</v>
      </c>
      <c r="N18" s="15">
        <v>0</v>
      </c>
      <c r="O18" s="58">
        <f t="shared" si="1"/>
        <v>0</v>
      </c>
      <c r="P18" s="39">
        <f t="shared" si="2"/>
        <v>11</v>
      </c>
      <c r="Q18" s="40">
        <f t="shared" si="3"/>
        <v>13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13</v>
      </c>
      <c r="AB18" s="8">
        <f t="shared" si="4"/>
        <v>1</v>
      </c>
      <c r="AC18" s="9">
        <f t="shared" si="5"/>
        <v>0.45833333333333331</v>
      </c>
      <c r="AD18" s="10">
        <f t="shared" si="6"/>
        <v>0.45833333333333331</v>
      </c>
      <c r="AE18" s="36">
        <f t="shared" si="7"/>
        <v>0.42234848484848481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142</v>
      </c>
      <c r="E19" s="53" t="s">
        <v>161</v>
      </c>
      <c r="F19" s="30" t="s">
        <v>134</v>
      </c>
      <c r="G19" s="33">
        <v>1</v>
      </c>
      <c r="H19" s="35">
        <v>24</v>
      </c>
      <c r="I19" s="7">
        <v>54000</v>
      </c>
      <c r="J19" s="14">
        <v>1332</v>
      </c>
      <c r="K19" s="15">
        <f>L19+5079+5307+3503+1179+3568+5398+5390+5307+4716+2400+323+2119+4726+5252+4548+4887+1332</f>
        <v>65034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0.42234848484848481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521</v>
      </c>
      <c r="F20" s="30" t="s">
        <v>131</v>
      </c>
      <c r="G20" s="12">
        <v>2</v>
      </c>
      <c r="H20" s="13">
        <v>24</v>
      </c>
      <c r="I20" s="7">
        <v>230000</v>
      </c>
      <c r="J20" s="14">
        <v>2521</v>
      </c>
      <c r="K20" s="15">
        <f>L20+7008+11154+9077+8768+10676+10588</f>
        <v>59792</v>
      </c>
      <c r="L20" s="15">
        <f>2026+495</f>
        <v>2521</v>
      </c>
      <c r="M20" s="15">
        <f t="shared" si="0"/>
        <v>2521</v>
      </c>
      <c r="N20" s="15">
        <v>0</v>
      </c>
      <c r="O20" s="58">
        <f t="shared" si="1"/>
        <v>0</v>
      </c>
      <c r="P20" s="39">
        <f t="shared" si="2"/>
        <v>11</v>
      </c>
      <c r="Q20" s="40">
        <f t="shared" si="3"/>
        <v>13</v>
      </c>
      <c r="R20" s="7"/>
      <c r="S20" s="6">
        <v>13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0.45833333333333331</v>
      </c>
      <c r="AD20" s="10">
        <f t="shared" si="6"/>
        <v>0.45833333333333331</v>
      </c>
      <c r="AE20" s="36">
        <f t="shared" si="7"/>
        <v>0.42234848484848481</v>
      </c>
      <c r="AF20" s="84">
        <f t="shared" si="8"/>
        <v>15</v>
      </c>
    </row>
    <row r="21" spans="1:32" ht="27" customHeight="1">
      <c r="A21" s="96">
        <v>16</v>
      </c>
      <c r="B21" s="11" t="s">
        <v>57</v>
      </c>
      <c r="C21" s="11" t="s">
        <v>113</v>
      </c>
      <c r="D21" s="52"/>
      <c r="E21" s="53" t="s">
        <v>139</v>
      </c>
      <c r="F21" s="12" t="s">
        <v>114</v>
      </c>
      <c r="G21" s="12">
        <v>4</v>
      </c>
      <c r="H21" s="35">
        <v>20</v>
      </c>
      <c r="I21" s="7">
        <v>1000000</v>
      </c>
      <c r="J21" s="14">
        <v>61404</v>
      </c>
      <c r="K21" s="15">
        <f>L21+52608+61640+61384</f>
        <v>237036</v>
      </c>
      <c r="L21" s="15">
        <f>7493*4+7858*4</f>
        <v>61404</v>
      </c>
      <c r="M21" s="15">
        <f t="shared" si="0"/>
        <v>61404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0.42234848484848481</v>
      </c>
      <c r="AF21" s="84">
        <f t="shared" si="8"/>
        <v>16</v>
      </c>
    </row>
    <row r="22" spans="1:32" ht="27" customHeight="1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0.42234848484848481</v>
      </c>
      <c r="AF22" s="84">
        <f t="shared" si="8"/>
        <v>31</v>
      </c>
    </row>
    <row r="23" spans="1:32" ht="27" customHeight="1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0.42234848484848481</v>
      </c>
      <c r="AF23" s="84">
        <f t="shared" si="8"/>
        <v>32</v>
      </c>
    </row>
    <row r="24" spans="1:32" ht="27" customHeight="1">
      <c r="A24" s="96">
        <v>33</v>
      </c>
      <c r="B24" s="11" t="s">
        <v>57</v>
      </c>
      <c r="C24" s="11" t="s">
        <v>116</v>
      </c>
      <c r="D24" s="52" t="s">
        <v>150</v>
      </c>
      <c r="E24" s="53" t="s">
        <v>163</v>
      </c>
      <c r="F24" s="12" t="s">
        <v>145</v>
      </c>
      <c r="G24" s="12">
        <v>1</v>
      </c>
      <c r="H24" s="35">
        <v>20</v>
      </c>
      <c r="I24" s="7">
        <v>140000</v>
      </c>
      <c r="J24" s="14">
        <v>7084</v>
      </c>
      <c r="K24" s="15">
        <f>L24+4387+7770+5806+7905+7479+7369+7360+2397+6904+7208+7013+6976+6992+2652+6495+7026+7051</f>
        <v>115874</v>
      </c>
      <c r="L24" s="15">
        <f>4042+3042</f>
        <v>7084</v>
      </c>
      <c r="M24" s="15">
        <f t="shared" si="0"/>
        <v>7084</v>
      </c>
      <c r="N24" s="15">
        <v>0</v>
      </c>
      <c r="O24" s="58">
        <f t="shared" si="1"/>
        <v>0</v>
      </c>
      <c r="P24" s="39">
        <f t="shared" si="2"/>
        <v>24</v>
      </c>
      <c r="Q24" s="40">
        <f t="shared" si="3"/>
        <v>0</v>
      </c>
      <c r="R24" s="7"/>
      <c r="S24" s="6"/>
      <c r="T24" s="16"/>
      <c r="U24" s="16"/>
      <c r="V24" s="206"/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1</v>
      </c>
      <c r="AD24" s="10">
        <f t="shared" si="6"/>
        <v>1</v>
      </c>
      <c r="AE24" s="36">
        <f t="shared" si="7"/>
        <v>0.42234848484848481</v>
      </c>
      <c r="AF24" s="84">
        <f t="shared" si="8"/>
        <v>33</v>
      </c>
    </row>
    <row r="25" spans="1:32" ht="27" customHeight="1">
      <c r="A25" s="96">
        <v>34</v>
      </c>
      <c r="B25" s="11" t="s">
        <v>57</v>
      </c>
      <c r="C25" s="11" t="s">
        <v>116</v>
      </c>
      <c r="D25" s="52" t="s">
        <v>150</v>
      </c>
      <c r="E25" s="53" t="s">
        <v>165</v>
      </c>
      <c r="F25" s="12" t="s">
        <v>135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206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0.42234848484848481</v>
      </c>
      <c r="AF25" s="84">
        <f t="shared" si="8"/>
        <v>34</v>
      </c>
    </row>
    <row r="26" spans="1:32" ht="27" customHeight="1">
      <c r="A26" s="96">
        <v>35</v>
      </c>
      <c r="B26" s="11" t="s">
        <v>57</v>
      </c>
      <c r="C26" s="11" t="s">
        <v>116</v>
      </c>
      <c r="D26" s="52" t="s">
        <v>123</v>
      </c>
      <c r="E26" s="53" t="s">
        <v>137</v>
      </c>
      <c r="F26" s="12" t="s">
        <v>135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206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0.42234848484848481</v>
      </c>
      <c r="AF26" s="84">
        <f t="shared" si="8"/>
        <v>35</v>
      </c>
    </row>
    <row r="27" spans="1:32" ht="27" customHeight="1" thickBot="1">
      <c r="A27" s="96">
        <v>36</v>
      </c>
      <c r="B27" s="11" t="s">
        <v>57</v>
      </c>
      <c r="C27" s="11" t="s">
        <v>380</v>
      </c>
      <c r="D27" s="52"/>
      <c r="E27" s="53" t="s">
        <v>381</v>
      </c>
      <c r="F27" s="12" t="s">
        <v>382</v>
      </c>
      <c r="G27" s="12">
        <v>32</v>
      </c>
      <c r="H27" s="35">
        <v>20</v>
      </c>
      <c r="I27" s="7">
        <v>700000</v>
      </c>
      <c r="J27" s="14">
        <v>89792</v>
      </c>
      <c r="K27" s="15">
        <f>L27+326528+448864+89792</f>
        <v>865184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206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0.42234848484848481</v>
      </c>
      <c r="AF27" s="84">
        <f t="shared" si="8"/>
        <v>36</v>
      </c>
    </row>
    <row r="28" spans="1:32" ht="31.5" customHeight="1" thickBot="1">
      <c r="A28" s="464" t="s">
        <v>34</v>
      </c>
      <c r="B28" s="465"/>
      <c r="C28" s="465"/>
      <c r="D28" s="465"/>
      <c r="E28" s="465"/>
      <c r="F28" s="465"/>
      <c r="G28" s="465"/>
      <c r="H28" s="466"/>
      <c r="I28" s="22">
        <f t="shared" ref="I28:N28" si="9">SUM(I6:I27)</f>
        <v>3292200</v>
      </c>
      <c r="J28" s="19">
        <f t="shared" si="9"/>
        <v>253988</v>
      </c>
      <c r="K28" s="20">
        <f t="shared" si="9"/>
        <v>2227489</v>
      </c>
      <c r="L28" s="21">
        <f t="shared" si="9"/>
        <v>124736</v>
      </c>
      <c r="M28" s="20">
        <f t="shared" si="9"/>
        <v>124736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223</v>
      </c>
      <c r="Q28" s="43">
        <f t="shared" si="10"/>
        <v>305</v>
      </c>
      <c r="R28" s="23">
        <f t="shared" si="10"/>
        <v>0</v>
      </c>
      <c r="S28" s="24">
        <f t="shared" si="10"/>
        <v>111</v>
      </c>
      <c r="T28" s="24">
        <f t="shared" si="10"/>
        <v>0</v>
      </c>
      <c r="U28" s="24">
        <f t="shared" si="10"/>
        <v>0</v>
      </c>
      <c r="V28" s="25">
        <f t="shared" si="10"/>
        <v>48</v>
      </c>
      <c r="W28" s="26">
        <f t="shared" si="10"/>
        <v>109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37</v>
      </c>
      <c r="AB28" s="28">
        <f>AVERAGE(AB6:AB27)</f>
        <v>0.6</v>
      </c>
      <c r="AC28" s="4">
        <f>AVERAGE(AC6:AC27)</f>
        <v>0.42234848484848481</v>
      </c>
      <c r="AD28" s="4">
        <f>AVERAGE(AD6:AD27)</f>
        <v>0.42234848484848481</v>
      </c>
      <c r="AE28" s="29"/>
    </row>
    <row r="29" spans="1:32">
      <c r="T29" s="50" t="s">
        <v>157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160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67" t="s">
        <v>45</v>
      </c>
      <c r="B55" s="467"/>
      <c r="C55" s="467"/>
      <c r="D55" s="467"/>
      <c r="E55" s="467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68" t="s">
        <v>612</v>
      </c>
      <c r="B56" s="469"/>
      <c r="C56" s="469"/>
      <c r="D56" s="469"/>
      <c r="E56" s="469"/>
      <c r="F56" s="469"/>
      <c r="G56" s="469"/>
      <c r="H56" s="469"/>
      <c r="I56" s="469"/>
      <c r="J56" s="469"/>
      <c r="K56" s="469"/>
      <c r="L56" s="469"/>
      <c r="M56" s="470"/>
      <c r="N56" s="471" t="s">
        <v>620</v>
      </c>
      <c r="O56" s="472"/>
      <c r="P56" s="472"/>
      <c r="Q56" s="472"/>
      <c r="R56" s="472"/>
      <c r="S56" s="472"/>
      <c r="T56" s="472"/>
      <c r="U56" s="472"/>
      <c r="V56" s="472"/>
      <c r="W56" s="472"/>
      <c r="X56" s="472"/>
      <c r="Y56" s="472"/>
      <c r="Z56" s="472"/>
      <c r="AA56" s="472"/>
      <c r="AB56" s="472"/>
      <c r="AC56" s="472"/>
      <c r="AD56" s="473"/>
    </row>
    <row r="57" spans="1:32" ht="27" customHeight="1">
      <c r="A57" s="474" t="s">
        <v>2</v>
      </c>
      <c r="B57" s="475"/>
      <c r="C57" s="431" t="s">
        <v>46</v>
      </c>
      <c r="D57" s="431" t="s">
        <v>47</v>
      </c>
      <c r="E57" s="431" t="s">
        <v>107</v>
      </c>
      <c r="F57" s="476" t="s">
        <v>106</v>
      </c>
      <c r="G57" s="477"/>
      <c r="H57" s="477"/>
      <c r="I57" s="477"/>
      <c r="J57" s="477"/>
      <c r="K57" s="477"/>
      <c r="L57" s="477"/>
      <c r="M57" s="478"/>
      <c r="N57" s="67" t="s">
        <v>110</v>
      </c>
      <c r="O57" s="431" t="s">
        <v>46</v>
      </c>
      <c r="P57" s="476" t="s">
        <v>47</v>
      </c>
      <c r="Q57" s="479"/>
      <c r="R57" s="476" t="s">
        <v>38</v>
      </c>
      <c r="S57" s="477"/>
      <c r="T57" s="477"/>
      <c r="U57" s="479"/>
      <c r="V57" s="476" t="s">
        <v>48</v>
      </c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500" t="s">
        <v>241</v>
      </c>
      <c r="B58" s="501"/>
      <c r="C58" s="426" t="s">
        <v>277</v>
      </c>
      <c r="D58" s="426"/>
      <c r="E58" s="427" t="s">
        <v>408</v>
      </c>
      <c r="F58" s="492" t="s">
        <v>613</v>
      </c>
      <c r="G58" s="493"/>
      <c r="H58" s="493"/>
      <c r="I58" s="493"/>
      <c r="J58" s="493"/>
      <c r="K58" s="493"/>
      <c r="L58" s="493"/>
      <c r="M58" s="494"/>
      <c r="N58" s="430" t="s">
        <v>116</v>
      </c>
      <c r="O58" s="424" t="s">
        <v>175</v>
      </c>
      <c r="P58" s="495" t="s">
        <v>150</v>
      </c>
      <c r="Q58" s="496"/>
      <c r="R58" s="495" t="s">
        <v>617</v>
      </c>
      <c r="S58" s="497"/>
      <c r="T58" s="497"/>
      <c r="U58" s="496"/>
      <c r="V58" s="498" t="s">
        <v>125</v>
      </c>
      <c r="W58" s="498"/>
      <c r="X58" s="498"/>
      <c r="Y58" s="498"/>
      <c r="Z58" s="498"/>
      <c r="AA58" s="498"/>
      <c r="AB58" s="498"/>
      <c r="AC58" s="498"/>
      <c r="AD58" s="499"/>
    </row>
    <row r="59" spans="1:32" ht="27" customHeight="1">
      <c r="A59" s="500" t="s">
        <v>112</v>
      </c>
      <c r="B59" s="501"/>
      <c r="C59" s="426" t="s">
        <v>259</v>
      </c>
      <c r="D59" s="426" t="s">
        <v>140</v>
      </c>
      <c r="E59" s="427" t="s">
        <v>589</v>
      </c>
      <c r="F59" s="492" t="s">
        <v>599</v>
      </c>
      <c r="G59" s="493"/>
      <c r="H59" s="493"/>
      <c r="I59" s="493"/>
      <c r="J59" s="493"/>
      <c r="K59" s="493"/>
      <c r="L59" s="493"/>
      <c r="M59" s="494"/>
      <c r="N59" s="430" t="s">
        <v>112</v>
      </c>
      <c r="O59" s="424" t="s">
        <v>206</v>
      </c>
      <c r="P59" s="495" t="s">
        <v>115</v>
      </c>
      <c r="Q59" s="496"/>
      <c r="R59" s="495" t="s">
        <v>571</v>
      </c>
      <c r="S59" s="497"/>
      <c r="T59" s="497"/>
      <c r="U59" s="496"/>
      <c r="V59" s="498" t="s">
        <v>125</v>
      </c>
      <c r="W59" s="498"/>
      <c r="X59" s="498"/>
      <c r="Y59" s="498"/>
      <c r="Z59" s="498"/>
      <c r="AA59" s="498"/>
      <c r="AB59" s="498"/>
      <c r="AC59" s="498"/>
      <c r="AD59" s="499"/>
    </row>
    <row r="60" spans="1:32" ht="27" customHeight="1">
      <c r="A60" s="490" t="s">
        <v>203</v>
      </c>
      <c r="B60" s="491"/>
      <c r="C60" s="427" t="s">
        <v>206</v>
      </c>
      <c r="D60" s="427" t="s">
        <v>398</v>
      </c>
      <c r="E60" s="427" t="s">
        <v>600</v>
      </c>
      <c r="F60" s="492" t="s">
        <v>125</v>
      </c>
      <c r="G60" s="493"/>
      <c r="H60" s="493"/>
      <c r="I60" s="493"/>
      <c r="J60" s="493"/>
      <c r="K60" s="493"/>
      <c r="L60" s="493"/>
      <c r="M60" s="494"/>
      <c r="N60" s="430" t="s">
        <v>112</v>
      </c>
      <c r="O60" s="424" t="s">
        <v>221</v>
      </c>
      <c r="P60" s="495" t="s">
        <v>142</v>
      </c>
      <c r="Q60" s="496"/>
      <c r="R60" s="495" t="s">
        <v>161</v>
      </c>
      <c r="S60" s="497"/>
      <c r="T60" s="497"/>
      <c r="U60" s="496"/>
      <c r="V60" s="498" t="s">
        <v>120</v>
      </c>
      <c r="W60" s="498"/>
      <c r="X60" s="498"/>
      <c r="Y60" s="498"/>
      <c r="Z60" s="498"/>
      <c r="AA60" s="498"/>
      <c r="AB60" s="498"/>
      <c r="AC60" s="498"/>
      <c r="AD60" s="499"/>
    </row>
    <row r="61" spans="1:32" ht="27" customHeight="1">
      <c r="A61" s="500" t="s">
        <v>112</v>
      </c>
      <c r="B61" s="501"/>
      <c r="C61" s="426" t="s">
        <v>221</v>
      </c>
      <c r="D61" s="426" t="s">
        <v>142</v>
      </c>
      <c r="E61" s="427" t="s">
        <v>161</v>
      </c>
      <c r="F61" s="492" t="s">
        <v>614</v>
      </c>
      <c r="G61" s="493"/>
      <c r="H61" s="493"/>
      <c r="I61" s="493"/>
      <c r="J61" s="493"/>
      <c r="K61" s="493"/>
      <c r="L61" s="493"/>
      <c r="M61" s="494"/>
      <c r="N61" s="430" t="s">
        <v>241</v>
      </c>
      <c r="O61" s="424" t="s">
        <v>256</v>
      </c>
      <c r="P61" s="495"/>
      <c r="Q61" s="496"/>
      <c r="R61" s="495" t="s">
        <v>611</v>
      </c>
      <c r="S61" s="497"/>
      <c r="T61" s="497"/>
      <c r="U61" s="496"/>
      <c r="V61" s="498" t="s">
        <v>120</v>
      </c>
      <c r="W61" s="498"/>
      <c r="X61" s="498"/>
      <c r="Y61" s="498"/>
      <c r="Z61" s="498"/>
      <c r="AA61" s="498"/>
      <c r="AB61" s="498"/>
      <c r="AC61" s="498"/>
      <c r="AD61" s="499"/>
    </row>
    <row r="62" spans="1:32" ht="27" customHeight="1">
      <c r="A62" s="490" t="s">
        <v>241</v>
      </c>
      <c r="B62" s="491"/>
      <c r="C62" s="427" t="s">
        <v>256</v>
      </c>
      <c r="D62" s="427"/>
      <c r="E62" s="427" t="s">
        <v>611</v>
      </c>
      <c r="F62" s="492" t="s">
        <v>615</v>
      </c>
      <c r="G62" s="493"/>
      <c r="H62" s="493"/>
      <c r="I62" s="493"/>
      <c r="J62" s="493"/>
      <c r="K62" s="493"/>
      <c r="L62" s="493"/>
      <c r="M62" s="494"/>
      <c r="N62" s="430" t="s">
        <v>116</v>
      </c>
      <c r="O62" s="424" t="s">
        <v>286</v>
      </c>
      <c r="P62" s="495" t="s">
        <v>619</v>
      </c>
      <c r="Q62" s="496"/>
      <c r="R62" s="495" t="s">
        <v>618</v>
      </c>
      <c r="S62" s="497"/>
      <c r="T62" s="497"/>
      <c r="U62" s="496"/>
      <c r="V62" s="498" t="s">
        <v>125</v>
      </c>
      <c r="W62" s="498"/>
      <c r="X62" s="498"/>
      <c r="Y62" s="498"/>
      <c r="Z62" s="498"/>
      <c r="AA62" s="498"/>
      <c r="AB62" s="498"/>
      <c r="AC62" s="498"/>
      <c r="AD62" s="499"/>
    </row>
    <row r="63" spans="1:32" ht="27" customHeight="1">
      <c r="A63" s="490" t="s">
        <v>241</v>
      </c>
      <c r="B63" s="491"/>
      <c r="C63" s="427" t="s">
        <v>239</v>
      </c>
      <c r="D63" s="427"/>
      <c r="E63" s="427" t="s">
        <v>325</v>
      </c>
      <c r="F63" s="492" t="s">
        <v>120</v>
      </c>
      <c r="G63" s="493"/>
      <c r="H63" s="493"/>
      <c r="I63" s="493"/>
      <c r="J63" s="493"/>
      <c r="K63" s="493"/>
      <c r="L63" s="493"/>
      <c r="M63" s="494"/>
      <c r="N63" s="430" t="s">
        <v>112</v>
      </c>
      <c r="O63" s="424" t="s">
        <v>129</v>
      </c>
      <c r="P63" s="495" t="s">
        <v>115</v>
      </c>
      <c r="Q63" s="496"/>
      <c r="R63" s="495" t="s">
        <v>532</v>
      </c>
      <c r="S63" s="497"/>
      <c r="T63" s="497"/>
      <c r="U63" s="496"/>
      <c r="V63" s="498" t="s">
        <v>120</v>
      </c>
      <c r="W63" s="498"/>
      <c r="X63" s="498"/>
      <c r="Y63" s="498"/>
      <c r="Z63" s="498"/>
      <c r="AA63" s="498"/>
      <c r="AB63" s="498"/>
      <c r="AC63" s="498"/>
      <c r="AD63" s="499"/>
    </row>
    <row r="64" spans="1:32" ht="27" customHeight="1">
      <c r="A64" s="490" t="s">
        <v>112</v>
      </c>
      <c r="B64" s="491"/>
      <c r="C64" s="427" t="s">
        <v>129</v>
      </c>
      <c r="D64" s="427" t="s">
        <v>115</v>
      </c>
      <c r="E64" s="427" t="s">
        <v>532</v>
      </c>
      <c r="F64" s="492" t="s">
        <v>616</v>
      </c>
      <c r="G64" s="493"/>
      <c r="H64" s="493"/>
      <c r="I64" s="493"/>
      <c r="J64" s="493"/>
      <c r="K64" s="493"/>
      <c r="L64" s="493"/>
      <c r="M64" s="494"/>
      <c r="N64" s="430"/>
      <c r="O64" s="424"/>
      <c r="P64" s="495"/>
      <c r="Q64" s="496"/>
      <c r="R64" s="495"/>
      <c r="S64" s="497"/>
      <c r="T64" s="497"/>
      <c r="U64" s="496"/>
      <c r="V64" s="498"/>
      <c r="W64" s="498"/>
      <c r="X64" s="498"/>
      <c r="Y64" s="498"/>
      <c r="Z64" s="498"/>
      <c r="AA64" s="498"/>
      <c r="AB64" s="498"/>
      <c r="AC64" s="498"/>
      <c r="AD64" s="499"/>
    </row>
    <row r="65" spans="1:32" ht="27" customHeight="1">
      <c r="A65" s="500" t="s">
        <v>116</v>
      </c>
      <c r="B65" s="501"/>
      <c r="C65" s="426" t="s">
        <v>286</v>
      </c>
      <c r="D65" s="426" t="s">
        <v>150</v>
      </c>
      <c r="E65" s="427" t="s">
        <v>442</v>
      </c>
      <c r="F65" s="492" t="s">
        <v>125</v>
      </c>
      <c r="G65" s="493"/>
      <c r="H65" s="493"/>
      <c r="I65" s="493"/>
      <c r="J65" s="493"/>
      <c r="K65" s="493"/>
      <c r="L65" s="493"/>
      <c r="M65" s="494"/>
      <c r="N65" s="430"/>
      <c r="O65" s="424"/>
      <c r="P65" s="495"/>
      <c r="Q65" s="496"/>
      <c r="R65" s="495"/>
      <c r="S65" s="497"/>
      <c r="T65" s="497"/>
      <c r="U65" s="496"/>
      <c r="V65" s="498"/>
      <c r="W65" s="498"/>
      <c r="X65" s="498"/>
      <c r="Y65" s="498"/>
      <c r="Z65" s="498"/>
      <c r="AA65" s="498"/>
      <c r="AB65" s="498"/>
      <c r="AC65" s="498"/>
      <c r="AD65" s="499"/>
    </row>
    <row r="66" spans="1:32" ht="27" customHeight="1">
      <c r="A66" s="500"/>
      <c r="B66" s="501"/>
      <c r="C66" s="426"/>
      <c r="D66" s="426"/>
      <c r="E66" s="427"/>
      <c r="F66" s="492"/>
      <c r="G66" s="493"/>
      <c r="H66" s="493"/>
      <c r="I66" s="493"/>
      <c r="J66" s="493"/>
      <c r="K66" s="493"/>
      <c r="L66" s="493"/>
      <c r="M66" s="494"/>
      <c r="N66" s="430"/>
      <c r="O66" s="424"/>
      <c r="P66" s="491"/>
      <c r="Q66" s="491"/>
      <c r="R66" s="491"/>
      <c r="S66" s="491"/>
      <c r="T66" s="491"/>
      <c r="U66" s="491"/>
      <c r="V66" s="498"/>
      <c r="W66" s="498"/>
      <c r="X66" s="498"/>
      <c r="Y66" s="498"/>
      <c r="Z66" s="498"/>
      <c r="AA66" s="498"/>
      <c r="AB66" s="498"/>
      <c r="AC66" s="498"/>
      <c r="AD66" s="499"/>
      <c r="AF66" s="84">
        <f>8*3000</f>
        <v>24000</v>
      </c>
    </row>
    <row r="67" spans="1:32" ht="27" customHeight="1" thickBot="1">
      <c r="A67" s="502"/>
      <c r="B67" s="503"/>
      <c r="C67" s="428"/>
      <c r="D67" s="429"/>
      <c r="E67" s="428"/>
      <c r="F67" s="504"/>
      <c r="G67" s="505"/>
      <c r="H67" s="505"/>
      <c r="I67" s="505"/>
      <c r="J67" s="505"/>
      <c r="K67" s="505"/>
      <c r="L67" s="505"/>
      <c r="M67" s="506"/>
      <c r="N67" s="111"/>
      <c r="O67" s="103"/>
      <c r="P67" s="507"/>
      <c r="Q67" s="507"/>
      <c r="R67" s="507"/>
      <c r="S67" s="507"/>
      <c r="T67" s="507"/>
      <c r="U67" s="507"/>
      <c r="V67" s="508"/>
      <c r="W67" s="508"/>
      <c r="X67" s="508"/>
      <c r="Y67" s="508"/>
      <c r="Z67" s="508"/>
      <c r="AA67" s="508"/>
      <c r="AB67" s="508"/>
      <c r="AC67" s="508"/>
      <c r="AD67" s="509"/>
      <c r="AF67" s="84">
        <f>16*3000</f>
        <v>48000</v>
      </c>
    </row>
    <row r="68" spans="1:32" ht="27.75" thickBot="1">
      <c r="A68" s="510" t="s">
        <v>621</v>
      </c>
      <c r="B68" s="510"/>
      <c r="C68" s="510"/>
      <c r="D68" s="510"/>
      <c r="E68" s="51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11" t="s">
        <v>111</v>
      </c>
      <c r="B69" s="512"/>
      <c r="C69" s="425" t="s">
        <v>2</v>
      </c>
      <c r="D69" s="425" t="s">
        <v>37</v>
      </c>
      <c r="E69" s="425" t="s">
        <v>3</v>
      </c>
      <c r="F69" s="512" t="s">
        <v>109</v>
      </c>
      <c r="G69" s="512"/>
      <c r="H69" s="512"/>
      <c r="I69" s="512"/>
      <c r="J69" s="512"/>
      <c r="K69" s="512" t="s">
        <v>39</v>
      </c>
      <c r="L69" s="512"/>
      <c r="M69" s="425" t="s">
        <v>40</v>
      </c>
      <c r="N69" s="512" t="s">
        <v>41</v>
      </c>
      <c r="O69" s="512"/>
      <c r="P69" s="513" t="s">
        <v>42</v>
      </c>
      <c r="Q69" s="514"/>
      <c r="R69" s="513" t="s">
        <v>43</v>
      </c>
      <c r="S69" s="515"/>
      <c r="T69" s="515"/>
      <c r="U69" s="515"/>
      <c r="V69" s="515"/>
      <c r="W69" s="515"/>
      <c r="X69" s="515"/>
      <c r="Y69" s="515"/>
      <c r="Z69" s="515"/>
      <c r="AA69" s="514"/>
      <c r="AB69" s="512" t="s">
        <v>44</v>
      </c>
      <c r="AC69" s="512"/>
      <c r="AD69" s="516"/>
      <c r="AF69" s="84">
        <f>SUM(AF66:AF68)</f>
        <v>96000</v>
      </c>
    </row>
    <row r="70" spans="1:32" ht="25.5" customHeight="1">
      <c r="A70" s="517">
        <v>1</v>
      </c>
      <c r="B70" s="518"/>
      <c r="C70" s="104" t="s">
        <v>112</v>
      </c>
      <c r="D70" s="420"/>
      <c r="E70" s="423" t="s">
        <v>130</v>
      </c>
      <c r="F70" s="519" t="s">
        <v>602</v>
      </c>
      <c r="G70" s="520"/>
      <c r="H70" s="520"/>
      <c r="I70" s="520"/>
      <c r="J70" s="521"/>
      <c r="K70" s="522" t="s">
        <v>147</v>
      </c>
      <c r="L70" s="522"/>
      <c r="M70" s="51" t="s">
        <v>205</v>
      </c>
      <c r="N70" s="523" t="s">
        <v>169</v>
      </c>
      <c r="O70" s="523"/>
      <c r="P70" s="524">
        <v>200</v>
      </c>
      <c r="Q70" s="524"/>
      <c r="R70" s="498"/>
      <c r="S70" s="498"/>
      <c r="T70" s="498"/>
      <c r="U70" s="498"/>
      <c r="V70" s="498"/>
      <c r="W70" s="498"/>
      <c r="X70" s="498"/>
      <c r="Y70" s="498"/>
      <c r="Z70" s="498"/>
      <c r="AA70" s="498"/>
      <c r="AB70" s="522"/>
      <c r="AC70" s="522"/>
      <c r="AD70" s="525"/>
      <c r="AF70" s="50"/>
    </row>
    <row r="71" spans="1:32" ht="25.5" customHeight="1">
      <c r="A71" s="517">
        <v>2</v>
      </c>
      <c r="B71" s="518"/>
      <c r="C71" s="104" t="s">
        <v>112</v>
      </c>
      <c r="D71" s="420"/>
      <c r="E71" s="423" t="s">
        <v>115</v>
      </c>
      <c r="F71" s="519" t="s">
        <v>603</v>
      </c>
      <c r="G71" s="520"/>
      <c r="H71" s="520"/>
      <c r="I71" s="520"/>
      <c r="J71" s="521"/>
      <c r="K71" s="522" t="s">
        <v>131</v>
      </c>
      <c r="L71" s="522"/>
      <c r="M71" s="51" t="s">
        <v>205</v>
      </c>
      <c r="N71" s="523" t="s">
        <v>286</v>
      </c>
      <c r="O71" s="523"/>
      <c r="P71" s="524">
        <v>200</v>
      </c>
      <c r="Q71" s="524"/>
      <c r="R71" s="498" t="s">
        <v>622</v>
      </c>
      <c r="S71" s="498"/>
      <c r="T71" s="498"/>
      <c r="U71" s="498"/>
      <c r="V71" s="498"/>
      <c r="W71" s="498"/>
      <c r="X71" s="498"/>
      <c r="Y71" s="498"/>
      <c r="Z71" s="498"/>
      <c r="AA71" s="498"/>
      <c r="AB71" s="522"/>
      <c r="AC71" s="522"/>
      <c r="AD71" s="525"/>
      <c r="AF71" s="50"/>
    </row>
    <row r="72" spans="1:32" ht="25.5" customHeight="1">
      <c r="A72" s="517">
        <v>3</v>
      </c>
      <c r="B72" s="518"/>
      <c r="C72" s="104" t="s">
        <v>112</v>
      </c>
      <c r="D72" s="420"/>
      <c r="E72" s="423" t="s">
        <v>140</v>
      </c>
      <c r="F72" s="519" t="s">
        <v>623</v>
      </c>
      <c r="G72" s="520"/>
      <c r="H72" s="520"/>
      <c r="I72" s="520"/>
      <c r="J72" s="521"/>
      <c r="K72" s="522" t="s">
        <v>131</v>
      </c>
      <c r="L72" s="522"/>
      <c r="M72" s="51" t="s">
        <v>205</v>
      </c>
      <c r="N72" s="523" t="s">
        <v>198</v>
      </c>
      <c r="O72" s="523"/>
      <c r="P72" s="524">
        <v>200</v>
      </c>
      <c r="Q72" s="524"/>
      <c r="R72" s="498"/>
      <c r="S72" s="498"/>
      <c r="T72" s="498"/>
      <c r="U72" s="498"/>
      <c r="V72" s="498"/>
      <c r="W72" s="498"/>
      <c r="X72" s="498"/>
      <c r="Y72" s="498"/>
      <c r="Z72" s="498"/>
      <c r="AA72" s="498"/>
      <c r="AB72" s="522"/>
      <c r="AC72" s="522"/>
      <c r="AD72" s="525"/>
      <c r="AF72" s="50"/>
    </row>
    <row r="73" spans="1:32" ht="25.5" customHeight="1">
      <c r="A73" s="517">
        <v>4</v>
      </c>
      <c r="B73" s="518"/>
      <c r="C73" s="104" t="s">
        <v>143</v>
      </c>
      <c r="D73" s="420"/>
      <c r="E73" s="423" t="s">
        <v>150</v>
      </c>
      <c r="F73" s="519" t="s">
        <v>372</v>
      </c>
      <c r="G73" s="520"/>
      <c r="H73" s="520"/>
      <c r="I73" s="520"/>
      <c r="J73" s="521"/>
      <c r="K73" s="522" t="s">
        <v>154</v>
      </c>
      <c r="L73" s="522"/>
      <c r="M73" s="51" t="s">
        <v>178</v>
      </c>
      <c r="N73" s="523" t="s">
        <v>256</v>
      </c>
      <c r="O73" s="523"/>
      <c r="P73" s="524">
        <v>100</v>
      </c>
      <c r="Q73" s="524"/>
      <c r="R73" s="498"/>
      <c r="S73" s="498"/>
      <c r="T73" s="498"/>
      <c r="U73" s="498"/>
      <c r="V73" s="498"/>
      <c r="W73" s="498"/>
      <c r="X73" s="498"/>
      <c r="Y73" s="498"/>
      <c r="Z73" s="498"/>
      <c r="AA73" s="498"/>
      <c r="AB73" s="522"/>
      <c r="AC73" s="522"/>
      <c r="AD73" s="525"/>
      <c r="AF73" s="50"/>
    </row>
    <row r="74" spans="1:32" ht="25.5" customHeight="1">
      <c r="A74" s="517">
        <v>5</v>
      </c>
      <c r="B74" s="518"/>
      <c r="C74" s="104"/>
      <c r="D74" s="420"/>
      <c r="E74" s="423"/>
      <c r="F74" s="519"/>
      <c r="G74" s="520"/>
      <c r="H74" s="520"/>
      <c r="I74" s="520"/>
      <c r="J74" s="521"/>
      <c r="K74" s="522"/>
      <c r="L74" s="522"/>
      <c r="M74" s="51"/>
      <c r="N74" s="523"/>
      <c r="O74" s="523"/>
      <c r="P74" s="524"/>
      <c r="Q74" s="524"/>
      <c r="R74" s="498"/>
      <c r="S74" s="498"/>
      <c r="T74" s="498"/>
      <c r="U74" s="498"/>
      <c r="V74" s="498"/>
      <c r="W74" s="498"/>
      <c r="X74" s="498"/>
      <c r="Y74" s="498"/>
      <c r="Z74" s="498"/>
      <c r="AA74" s="498"/>
      <c r="AB74" s="522"/>
      <c r="AC74" s="522"/>
      <c r="AD74" s="525"/>
      <c r="AF74" s="50"/>
    </row>
    <row r="75" spans="1:32" ht="25.5" customHeight="1">
      <c r="A75" s="517">
        <v>6</v>
      </c>
      <c r="B75" s="518"/>
      <c r="C75" s="104"/>
      <c r="D75" s="420"/>
      <c r="E75" s="423"/>
      <c r="F75" s="519"/>
      <c r="G75" s="520"/>
      <c r="H75" s="520"/>
      <c r="I75" s="520"/>
      <c r="J75" s="521"/>
      <c r="K75" s="522"/>
      <c r="L75" s="522"/>
      <c r="M75" s="51"/>
      <c r="N75" s="523"/>
      <c r="O75" s="523"/>
      <c r="P75" s="524"/>
      <c r="Q75" s="524"/>
      <c r="R75" s="498"/>
      <c r="S75" s="498"/>
      <c r="T75" s="498"/>
      <c r="U75" s="498"/>
      <c r="V75" s="498"/>
      <c r="W75" s="498"/>
      <c r="X75" s="498"/>
      <c r="Y75" s="498"/>
      <c r="Z75" s="498"/>
      <c r="AA75" s="498"/>
      <c r="AB75" s="522"/>
      <c r="AC75" s="522"/>
      <c r="AD75" s="525"/>
      <c r="AF75" s="50"/>
    </row>
    <row r="76" spans="1:32" ht="25.5" customHeight="1">
      <c r="A76" s="517">
        <v>7</v>
      </c>
      <c r="B76" s="518"/>
      <c r="C76" s="104"/>
      <c r="D76" s="420"/>
      <c r="E76" s="423"/>
      <c r="F76" s="519"/>
      <c r="G76" s="520"/>
      <c r="H76" s="520"/>
      <c r="I76" s="520"/>
      <c r="J76" s="521"/>
      <c r="K76" s="522"/>
      <c r="L76" s="522"/>
      <c r="M76" s="51"/>
      <c r="N76" s="523"/>
      <c r="O76" s="523"/>
      <c r="P76" s="524"/>
      <c r="Q76" s="524"/>
      <c r="R76" s="498"/>
      <c r="S76" s="498"/>
      <c r="T76" s="498"/>
      <c r="U76" s="498"/>
      <c r="V76" s="498"/>
      <c r="W76" s="498"/>
      <c r="X76" s="498"/>
      <c r="Y76" s="498"/>
      <c r="Z76" s="498"/>
      <c r="AA76" s="498"/>
      <c r="AB76" s="522"/>
      <c r="AC76" s="522"/>
      <c r="AD76" s="525"/>
      <c r="AF76" s="50"/>
    </row>
    <row r="77" spans="1:32" ht="25.5" customHeight="1">
      <c r="A77" s="517">
        <v>8</v>
      </c>
      <c r="B77" s="518"/>
      <c r="C77" s="104"/>
      <c r="D77" s="420"/>
      <c r="E77" s="423"/>
      <c r="F77" s="526"/>
      <c r="G77" s="522"/>
      <c r="H77" s="522"/>
      <c r="I77" s="522"/>
      <c r="J77" s="522"/>
      <c r="K77" s="522"/>
      <c r="L77" s="522"/>
      <c r="M77" s="51"/>
      <c r="N77" s="523"/>
      <c r="O77" s="523"/>
      <c r="P77" s="524"/>
      <c r="Q77" s="524"/>
      <c r="R77" s="498"/>
      <c r="S77" s="498"/>
      <c r="T77" s="498"/>
      <c r="U77" s="498"/>
      <c r="V77" s="498"/>
      <c r="W77" s="498"/>
      <c r="X77" s="498"/>
      <c r="Y77" s="498"/>
      <c r="Z77" s="498"/>
      <c r="AA77" s="498"/>
      <c r="AB77" s="522"/>
      <c r="AC77" s="522"/>
      <c r="AD77" s="525"/>
      <c r="AF77" s="50"/>
    </row>
    <row r="78" spans="1:32" ht="25.5" customHeight="1">
      <c r="A78" s="517">
        <v>9</v>
      </c>
      <c r="B78" s="518"/>
      <c r="C78" s="104"/>
      <c r="D78" s="420"/>
      <c r="E78" s="423"/>
      <c r="F78" s="526"/>
      <c r="G78" s="522"/>
      <c r="H78" s="522"/>
      <c r="I78" s="522"/>
      <c r="J78" s="522"/>
      <c r="K78" s="522"/>
      <c r="L78" s="522"/>
      <c r="M78" s="51"/>
      <c r="N78" s="523"/>
      <c r="O78" s="523"/>
      <c r="P78" s="524"/>
      <c r="Q78" s="524"/>
      <c r="R78" s="498"/>
      <c r="S78" s="498"/>
      <c r="T78" s="498"/>
      <c r="U78" s="498"/>
      <c r="V78" s="498"/>
      <c r="W78" s="498"/>
      <c r="X78" s="498"/>
      <c r="Y78" s="498"/>
      <c r="Z78" s="498"/>
      <c r="AA78" s="498"/>
      <c r="AB78" s="522"/>
      <c r="AC78" s="522"/>
      <c r="AD78" s="525"/>
      <c r="AF78" s="50"/>
    </row>
    <row r="79" spans="1:32" ht="25.5" customHeight="1">
      <c r="A79" s="517">
        <v>10</v>
      </c>
      <c r="B79" s="518"/>
      <c r="C79" s="104"/>
      <c r="D79" s="420"/>
      <c r="E79" s="423"/>
      <c r="F79" s="526"/>
      <c r="G79" s="522"/>
      <c r="H79" s="522"/>
      <c r="I79" s="522"/>
      <c r="J79" s="522"/>
      <c r="K79" s="522"/>
      <c r="L79" s="522"/>
      <c r="M79" s="51"/>
      <c r="N79" s="523"/>
      <c r="O79" s="523"/>
      <c r="P79" s="524"/>
      <c r="Q79" s="524"/>
      <c r="R79" s="498"/>
      <c r="S79" s="498"/>
      <c r="T79" s="498"/>
      <c r="U79" s="498"/>
      <c r="V79" s="498"/>
      <c r="W79" s="498"/>
      <c r="X79" s="498"/>
      <c r="Y79" s="498"/>
      <c r="Z79" s="498"/>
      <c r="AA79" s="498"/>
      <c r="AB79" s="522"/>
      <c r="AC79" s="522"/>
      <c r="AD79" s="525"/>
      <c r="AF79" s="50"/>
    </row>
    <row r="80" spans="1:32" ht="26.25" customHeight="1" thickBot="1">
      <c r="A80" s="527" t="s">
        <v>624</v>
      </c>
      <c r="B80" s="527"/>
      <c r="C80" s="527"/>
      <c r="D80" s="527"/>
      <c r="E80" s="527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528" t="s">
        <v>111</v>
      </c>
      <c r="B81" s="529"/>
      <c r="C81" s="422" t="s">
        <v>2</v>
      </c>
      <c r="D81" s="422" t="s">
        <v>37</v>
      </c>
      <c r="E81" s="422" t="s">
        <v>121</v>
      </c>
      <c r="F81" s="530" t="s">
        <v>38</v>
      </c>
      <c r="G81" s="530"/>
      <c r="H81" s="530"/>
      <c r="I81" s="530"/>
      <c r="J81" s="530"/>
      <c r="K81" s="531" t="s">
        <v>58</v>
      </c>
      <c r="L81" s="532"/>
      <c r="M81" s="532"/>
      <c r="N81" s="532"/>
      <c r="O81" s="532"/>
      <c r="P81" s="532"/>
      <c r="Q81" s="532"/>
      <c r="R81" s="532"/>
      <c r="S81" s="533"/>
      <c r="T81" s="530" t="s">
        <v>49</v>
      </c>
      <c r="U81" s="530"/>
      <c r="V81" s="531" t="s">
        <v>50</v>
      </c>
      <c r="W81" s="533"/>
      <c r="X81" s="532" t="s">
        <v>51</v>
      </c>
      <c r="Y81" s="532"/>
      <c r="Z81" s="532"/>
      <c r="AA81" s="532"/>
      <c r="AB81" s="532"/>
      <c r="AC81" s="532"/>
      <c r="AD81" s="534"/>
      <c r="AF81" s="50"/>
    </row>
    <row r="82" spans="1:32" ht="33.75" customHeight="1">
      <c r="A82" s="543">
        <v>1</v>
      </c>
      <c r="B82" s="544"/>
      <c r="C82" s="421"/>
      <c r="D82" s="421"/>
      <c r="E82" s="65"/>
      <c r="F82" s="545"/>
      <c r="G82" s="546"/>
      <c r="H82" s="546"/>
      <c r="I82" s="546"/>
      <c r="J82" s="547"/>
      <c r="K82" s="548"/>
      <c r="L82" s="549"/>
      <c r="M82" s="549"/>
      <c r="N82" s="549"/>
      <c r="O82" s="549"/>
      <c r="P82" s="549"/>
      <c r="Q82" s="549"/>
      <c r="R82" s="549"/>
      <c r="S82" s="550"/>
      <c r="T82" s="551"/>
      <c r="U82" s="552"/>
      <c r="V82" s="553"/>
      <c r="W82" s="553"/>
      <c r="X82" s="554"/>
      <c r="Y82" s="554"/>
      <c r="Z82" s="554"/>
      <c r="AA82" s="554"/>
      <c r="AB82" s="554"/>
      <c r="AC82" s="554"/>
      <c r="AD82" s="555"/>
      <c r="AF82" s="50"/>
    </row>
    <row r="83" spans="1:32" ht="30" customHeight="1">
      <c r="A83" s="535">
        <f>A82+1</f>
        <v>2</v>
      </c>
      <c r="B83" s="536"/>
      <c r="C83" s="420"/>
      <c r="D83" s="420"/>
      <c r="E83" s="32"/>
      <c r="F83" s="536"/>
      <c r="G83" s="536"/>
      <c r="H83" s="536"/>
      <c r="I83" s="536"/>
      <c r="J83" s="536"/>
      <c r="K83" s="537"/>
      <c r="L83" s="538"/>
      <c r="M83" s="538"/>
      <c r="N83" s="538"/>
      <c r="O83" s="538"/>
      <c r="P83" s="538"/>
      <c r="Q83" s="538"/>
      <c r="R83" s="538"/>
      <c r="S83" s="539"/>
      <c r="T83" s="540"/>
      <c r="U83" s="540"/>
      <c r="V83" s="540"/>
      <c r="W83" s="540"/>
      <c r="X83" s="541"/>
      <c r="Y83" s="541"/>
      <c r="Z83" s="541"/>
      <c r="AA83" s="541"/>
      <c r="AB83" s="541"/>
      <c r="AC83" s="541"/>
      <c r="AD83" s="542"/>
      <c r="AF83" s="50"/>
    </row>
    <row r="84" spans="1:32" ht="30" customHeight="1">
      <c r="A84" s="535">
        <f t="shared" ref="A84:A88" si="11">A83+1</f>
        <v>3</v>
      </c>
      <c r="B84" s="536"/>
      <c r="C84" s="420"/>
      <c r="D84" s="420"/>
      <c r="E84" s="32"/>
      <c r="F84" s="536"/>
      <c r="G84" s="536"/>
      <c r="H84" s="536"/>
      <c r="I84" s="536"/>
      <c r="J84" s="536"/>
      <c r="K84" s="537"/>
      <c r="L84" s="538"/>
      <c r="M84" s="538"/>
      <c r="N84" s="538"/>
      <c r="O84" s="538"/>
      <c r="P84" s="538"/>
      <c r="Q84" s="538"/>
      <c r="R84" s="538"/>
      <c r="S84" s="539"/>
      <c r="T84" s="540"/>
      <c r="U84" s="540"/>
      <c r="V84" s="540"/>
      <c r="W84" s="540"/>
      <c r="X84" s="541"/>
      <c r="Y84" s="541"/>
      <c r="Z84" s="541"/>
      <c r="AA84" s="541"/>
      <c r="AB84" s="541"/>
      <c r="AC84" s="541"/>
      <c r="AD84" s="542"/>
      <c r="AF84" s="50"/>
    </row>
    <row r="85" spans="1:32" ht="30" customHeight="1">
      <c r="A85" s="535">
        <f t="shared" si="11"/>
        <v>4</v>
      </c>
      <c r="B85" s="536"/>
      <c r="C85" s="420"/>
      <c r="D85" s="420"/>
      <c r="E85" s="32"/>
      <c r="F85" s="536"/>
      <c r="G85" s="536"/>
      <c r="H85" s="536"/>
      <c r="I85" s="536"/>
      <c r="J85" s="536"/>
      <c r="K85" s="537"/>
      <c r="L85" s="538"/>
      <c r="M85" s="538"/>
      <c r="N85" s="538"/>
      <c r="O85" s="538"/>
      <c r="P85" s="538"/>
      <c r="Q85" s="538"/>
      <c r="R85" s="538"/>
      <c r="S85" s="539"/>
      <c r="T85" s="540"/>
      <c r="U85" s="540"/>
      <c r="V85" s="540"/>
      <c r="W85" s="540"/>
      <c r="X85" s="541"/>
      <c r="Y85" s="541"/>
      <c r="Z85" s="541"/>
      <c r="AA85" s="541"/>
      <c r="AB85" s="541"/>
      <c r="AC85" s="541"/>
      <c r="AD85" s="542"/>
      <c r="AF85" s="50"/>
    </row>
    <row r="86" spans="1:32" ht="30" customHeight="1">
      <c r="A86" s="535">
        <f t="shared" si="11"/>
        <v>5</v>
      </c>
      <c r="B86" s="536"/>
      <c r="C86" s="420"/>
      <c r="D86" s="420"/>
      <c r="E86" s="32"/>
      <c r="F86" s="536"/>
      <c r="G86" s="536"/>
      <c r="H86" s="536"/>
      <c r="I86" s="536"/>
      <c r="J86" s="536"/>
      <c r="K86" s="537"/>
      <c r="L86" s="538"/>
      <c r="M86" s="538"/>
      <c r="N86" s="538"/>
      <c r="O86" s="538"/>
      <c r="P86" s="538"/>
      <c r="Q86" s="538"/>
      <c r="R86" s="538"/>
      <c r="S86" s="539"/>
      <c r="T86" s="540"/>
      <c r="U86" s="540"/>
      <c r="V86" s="540"/>
      <c r="W86" s="540"/>
      <c r="X86" s="541"/>
      <c r="Y86" s="541"/>
      <c r="Z86" s="541"/>
      <c r="AA86" s="541"/>
      <c r="AB86" s="541"/>
      <c r="AC86" s="541"/>
      <c r="AD86" s="542"/>
      <c r="AF86" s="50"/>
    </row>
    <row r="87" spans="1:32" ht="30" customHeight="1">
      <c r="A87" s="535">
        <f t="shared" si="11"/>
        <v>6</v>
      </c>
      <c r="B87" s="536"/>
      <c r="C87" s="420"/>
      <c r="D87" s="420"/>
      <c r="E87" s="32"/>
      <c r="F87" s="536"/>
      <c r="G87" s="536"/>
      <c r="H87" s="536"/>
      <c r="I87" s="536"/>
      <c r="J87" s="536"/>
      <c r="K87" s="537"/>
      <c r="L87" s="538"/>
      <c r="M87" s="538"/>
      <c r="N87" s="538"/>
      <c r="O87" s="538"/>
      <c r="P87" s="538"/>
      <c r="Q87" s="538"/>
      <c r="R87" s="538"/>
      <c r="S87" s="539"/>
      <c r="T87" s="540"/>
      <c r="U87" s="540"/>
      <c r="V87" s="540"/>
      <c r="W87" s="540"/>
      <c r="X87" s="541"/>
      <c r="Y87" s="541"/>
      <c r="Z87" s="541"/>
      <c r="AA87" s="541"/>
      <c r="AB87" s="541"/>
      <c r="AC87" s="541"/>
      <c r="AD87" s="542"/>
      <c r="AF87" s="50"/>
    </row>
    <row r="88" spans="1:32" ht="30" customHeight="1">
      <c r="A88" s="535">
        <f t="shared" si="11"/>
        <v>7</v>
      </c>
      <c r="B88" s="536"/>
      <c r="C88" s="420"/>
      <c r="D88" s="420"/>
      <c r="E88" s="32"/>
      <c r="F88" s="536"/>
      <c r="G88" s="536"/>
      <c r="H88" s="536"/>
      <c r="I88" s="536"/>
      <c r="J88" s="536"/>
      <c r="K88" s="537"/>
      <c r="L88" s="538"/>
      <c r="M88" s="538"/>
      <c r="N88" s="538"/>
      <c r="O88" s="538"/>
      <c r="P88" s="538"/>
      <c r="Q88" s="538"/>
      <c r="R88" s="538"/>
      <c r="S88" s="539"/>
      <c r="T88" s="540"/>
      <c r="U88" s="540"/>
      <c r="V88" s="540"/>
      <c r="W88" s="540"/>
      <c r="X88" s="541"/>
      <c r="Y88" s="541"/>
      <c r="Z88" s="541"/>
      <c r="AA88" s="541"/>
      <c r="AB88" s="541"/>
      <c r="AC88" s="541"/>
      <c r="AD88" s="542"/>
      <c r="AF88" s="50"/>
    </row>
    <row r="89" spans="1:32" ht="36" thickBot="1">
      <c r="A89" s="527" t="s">
        <v>625</v>
      </c>
      <c r="B89" s="527"/>
      <c r="C89" s="527"/>
      <c r="D89" s="527"/>
      <c r="E89" s="527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56" t="s">
        <v>111</v>
      </c>
      <c r="B90" s="530"/>
      <c r="C90" s="557" t="s">
        <v>52</v>
      </c>
      <c r="D90" s="557"/>
      <c r="E90" s="557" t="s">
        <v>53</v>
      </c>
      <c r="F90" s="557"/>
      <c r="G90" s="557"/>
      <c r="H90" s="557"/>
      <c r="I90" s="557"/>
      <c r="J90" s="557"/>
      <c r="K90" s="557" t="s">
        <v>54</v>
      </c>
      <c r="L90" s="557"/>
      <c r="M90" s="557"/>
      <c r="N90" s="557"/>
      <c r="O90" s="557"/>
      <c r="P90" s="557"/>
      <c r="Q90" s="557"/>
      <c r="R90" s="557"/>
      <c r="S90" s="557"/>
      <c r="T90" s="557" t="s">
        <v>55</v>
      </c>
      <c r="U90" s="557"/>
      <c r="V90" s="557" t="s">
        <v>56</v>
      </c>
      <c r="W90" s="557"/>
      <c r="X90" s="557"/>
      <c r="Y90" s="557" t="s">
        <v>51</v>
      </c>
      <c r="Z90" s="557"/>
      <c r="AA90" s="557"/>
      <c r="AB90" s="557"/>
      <c r="AC90" s="557"/>
      <c r="AD90" s="558"/>
      <c r="AF90" s="50"/>
    </row>
    <row r="91" spans="1:32" ht="30.75" customHeight="1">
      <c r="A91" s="543">
        <v>1</v>
      </c>
      <c r="B91" s="544"/>
      <c r="C91" s="559">
        <v>9</v>
      </c>
      <c r="D91" s="559"/>
      <c r="E91" s="559" t="s">
        <v>127</v>
      </c>
      <c r="F91" s="559"/>
      <c r="G91" s="559"/>
      <c r="H91" s="559"/>
      <c r="I91" s="559"/>
      <c r="J91" s="559"/>
      <c r="K91" s="559" t="s">
        <v>136</v>
      </c>
      <c r="L91" s="559"/>
      <c r="M91" s="559"/>
      <c r="N91" s="559"/>
      <c r="O91" s="559"/>
      <c r="P91" s="559"/>
      <c r="Q91" s="559"/>
      <c r="R91" s="559"/>
      <c r="S91" s="559"/>
      <c r="T91" s="559" t="s">
        <v>128</v>
      </c>
      <c r="U91" s="559"/>
      <c r="V91" s="560" t="s">
        <v>133</v>
      </c>
      <c r="W91" s="560"/>
      <c r="X91" s="560"/>
      <c r="Y91" s="561"/>
      <c r="Z91" s="561"/>
      <c r="AA91" s="561"/>
      <c r="AB91" s="561"/>
      <c r="AC91" s="561"/>
      <c r="AD91" s="562"/>
      <c r="AF91" s="50"/>
    </row>
    <row r="92" spans="1:32" ht="30.75" customHeight="1">
      <c r="A92" s="535">
        <v>2</v>
      </c>
      <c r="B92" s="536"/>
      <c r="C92" s="570"/>
      <c r="D92" s="570"/>
      <c r="E92" s="570"/>
      <c r="F92" s="570"/>
      <c r="G92" s="570"/>
      <c r="H92" s="570"/>
      <c r="I92" s="570"/>
      <c r="J92" s="570"/>
      <c r="K92" s="570"/>
      <c r="L92" s="570"/>
      <c r="M92" s="570"/>
      <c r="N92" s="570"/>
      <c r="O92" s="570"/>
      <c r="P92" s="570"/>
      <c r="Q92" s="570"/>
      <c r="R92" s="570"/>
      <c r="S92" s="570"/>
      <c r="T92" s="571"/>
      <c r="U92" s="571"/>
      <c r="V92" s="572"/>
      <c r="W92" s="572"/>
      <c r="X92" s="572"/>
      <c r="Y92" s="563"/>
      <c r="Z92" s="563"/>
      <c r="AA92" s="563"/>
      <c r="AB92" s="563"/>
      <c r="AC92" s="563"/>
      <c r="AD92" s="564"/>
      <c r="AF92" s="50"/>
    </row>
    <row r="93" spans="1:32" ht="30.75" customHeight="1" thickBot="1">
      <c r="A93" s="565">
        <v>3</v>
      </c>
      <c r="B93" s="566"/>
      <c r="C93" s="567"/>
      <c r="D93" s="567"/>
      <c r="E93" s="567"/>
      <c r="F93" s="567"/>
      <c r="G93" s="567"/>
      <c r="H93" s="567"/>
      <c r="I93" s="567"/>
      <c r="J93" s="567"/>
      <c r="K93" s="567"/>
      <c r="L93" s="567"/>
      <c r="M93" s="567"/>
      <c r="N93" s="567"/>
      <c r="O93" s="567"/>
      <c r="P93" s="567"/>
      <c r="Q93" s="567"/>
      <c r="R93" s="567"/>
      <c r="S93" s="567"/>
      <c r="T93" s="567"/>
      <c r="U93" s="567"/>
      <c r="V93" s="573"/>
      <c r="W93" s="573"/>
      <c r="X93" s="573"/>
      <c r="Y93" s="568"/>
      <c r="Z93" s="568"/>
      <c r="AA93" s="568"/>
      <c r="AB93" s="568"/>
      <c r="AC93" s="568"/>
      <c r="AD93" s="569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3" max="29" man="1"/>
  </row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BDF2-965C-40D3-8D59-5E8401F2ECE9}">
  <dimension ref="A1:AF93"/>
  <sheetViews>
    <sheetView tabSelected="1" view="pageBreakPreview" zoomScale="70" zoomScaleNormal="72" zoomScaleSheetLayoutView="70" workbookViewId="0">
      <selection activeCell="A81" sqref="A81:B8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50" t="s">
        <v>626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50"/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51"/>
      <c r="B3" s="451"/>
      <c r="C3" s="451"/>
      <c r="D3" s="451"/>
      <c r="E3" s="451"/>
      <c r="F3" s="451"/>
      <c r="G3" s="45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52" t="s">
        <v>0</v>
      </c>
      <c r="B4" s="454" t="s">
        <v>1</v>
      </c>
      <c r="C4" s="454" t="s">
        <v>2</v>
      </c>
      <c r="D4" s="457" t="s">
        <v>3</v>
      </c>
      <c r="E4" s="459" t="s">
        <v>4</v>
      </c>
      <c r="F4" s="457" t="s">
        <v>5</v>
      </c>
      <c r="G4" s="454" t="s">
        <v>6</v>
      </c>
      <c r="H4" s="460" t="s">
        <v>7</v>
      </c>
      <c r="I4" s="480" t="s">
        <v>8</v>
      </c>
      <c r="J4" s="481"/>
      <c r="K4" s="481"/>
      <c r="L4" s="481"/>
      <c r="M4" s="481"/>
      <c r="N4" s="481"/>
      <c r="O4" s="482"/>
      <c r="P4" s="483" t="s">
        <v>9</v>
      </c>
      <c r="Q4" s="484"/>
      <c r="R4" s="486" t="s">
        <v>10</v>
      </c>
      <c r="S4" s="485"/>
      <c r="T4" s="485"/>
      <c r="U4" s="485"/>
      <c r="V4" s="487"/>
      <c r="W4" s="485" t="s">
        <v>11</v>
      </c>
      <c r="X4" s="485"/>
      <c r="Y4" s="485"/>
      <c r="Z4" s="485"/>
      <c r="AA4" s="487"/>
      <c r="AB4" s="488" t="s">
        <v>12</v>
      </c>
      <c r="AC4" s="462" t="s">
        <v>13</v>
      </c>
      <c r="AD4" s="462" t="s">
        <v>14</v>
      </c>
      <c r="AE4" s="54"/>
    </row>
    <row r="5" spans="1:32" ht="51" customHeight="1" thickBot="1">
      <c r="A5" s="453"/>
      <c r="B5" s="455"/>
      <c r="C5" s="456"/>
      <c r="D5" s="458"/>
      <c r="E5" s="458"/>
      <c r="F5" s="458"/>
      <c r="G5" s="455"/>
      <c r="H5" s="461"/>
      <c r="I5" s="55" t="s">
        <v>15</v>
      </c>
      <c r="J5" s="56" t="s">
        <v>16</v>
      </c>
      <c r="K5" s="433" t="s">
        <v>17</v>
      </c>
      <c r="L5" s="433" t="s">
        <v>18</v>
      </c>
      <c r="M5" s="433" t="s">
        <v>19</v>
      </c>
      <c r="N5" s="43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89"/>
      <c r="AC5" s="463"/>
      <c r="AD5" s="463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130</v>
      </c>
      <c r="E6" s="53" t="s">
        <v>564</v>
      </c>
      <c r="F6" s="30" t="s">
        <v>147</v>
      </c>
      <c r="G6" s="12">
        <v>2</v>
      </c>
      <c r="H6" s="13">
        <v>24</v>
      </c>
      <c r="I6" s="31">
        <v>185000</v>
      </c>
      <c r="J6" s="14">
        <v>11458</v>
      </c>
      <c r="K6" s="15">
        <f>L6+5840+11504+11434+11462</f>
        <v>51698</v>
      </c>
      <c r="L6" s="15">
        <f>2890*2+2839*2</f>
        <v>11458</v>
      </c>
      <c r="M6" s="15">
        <f t="shared" ref="M6:M27" si="0">L6-N6</f>
        <v>11458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24</v>
      </c>
      <c r="Q6" s="40">
        <f t="shared" ref="Q6:Q27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1</v>
      </c>
      <c r="AD6" s="10">
        <f t="shared" ref="AD6:AD27" si="6">AC6*AB6*(1-O6)</f>
        <v>1</v>
      </c>
      <c r="AE6" s="36">
        <f t="shared" ref="AE6:AE27" si="7">$AD$28</f>
        <v>0.42529900929110415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241</v>
      </c>
      <c r="D7" s="52"/>
      <c r="E7" s="53" t="s">
        <v>627</v>
      </c>
      <c r="F7" s="30" t="s">
        <v>302</v>
      </c>
      <c r="G7" s="12">
        <v>1</v>
      </c>
      <c r="H7" s="13">
        <v>24</v>
      </c>
      <c r="I7" s="31">
        <v>1100</v>
      </c>
      <c r="J7" s="14">
        <v>1500</v>
      </c>
      <c r="K7" s="15">
        <f>L7</f>
        <v>1500</v>
      </c>
      <c r="L7" s="15">
        <f>500+1000</f>
        <v>1500</v>
      </c>
      <c r="M7" s="15">
        <f t="shared" si="0"/>
        <v>1500</v>
      </c>
      <c r="N7" s="15">
        <v>0</v>
      </c>
      <c r="O7" s="58">
        <f t="shared" si="1"/>
        <v>0</v>
      </c>
      <c r="P7" s="39">
        <f t="shared" si="2"/>
        <v>8</v>
      </c>
      <c r="Q7" s="40">
        <f t="shared" si="3"/>
        <v>16</v>
      </c>
      <c r="R7" s="7"/>
      <c r="S7" s="6"/>
      <c r="T7" s="16"/>
      <c r="U7" s="16"/>
      <c r="V7" s="17"/>
      <c r="W7" s="5">
        <v>16</v>
      </c>
      <c r="X7" s="16"/>
      <c r="Y7" s="16"/>
      <c r="Z7" s="16"/>
      <c r="AA7" s="18"/>
      <c r="AB7" s="8">
        <f t="shared" si="4"/>
        <v>1</v>
      </c>
      <c r="AC7" s="9">
        <f t="shared" si="5"/>
        <v>0.33333333333333331</v>
      </c>
      <c r="AD7" s="10">
        <f t="shared" si="6"/>
        <v>0.33333333333333331</v>
      </c>
      <c r="AE7" s="36">
        <f t="shared" si="7"/>
        <v>0.42529900929110415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116</v>
      </c>
      <c r="D8" s="52" t="s">
        <v>124</v>
      </c>
      <c r="E8" s="53" t="s">
        <v>323</v>
      </c>
      <c r="F8" s="30" t="s">
        <v>268</v>
      </c>
      <c r="G8" s="12">
        <v>1</v>
      </c>
      <c r="H8" s="13">
        <v>24</v>
      </c>
      <c r="I8" s="7">
        <v>40000</v>
      </c>
      <c r="J8" s="14">
        <v>4609</v>
      </c>
      <c r="K8" s="15">
        <f>L8+3374+6197</f>
        <v>14180</v>
      </c>
      <c r="L8" s="15">
        <f>1587+3022</f>
        <v>4609</v>
      </c>
      <c r="M8" s="15">
        <f t="shared" si="0"/>
        <v>4609</v>
      </c>
      <c r="N8" s="15">
        <v>0</v>
      </c>
      <c r="O8" s="58">
        <f t="shared" si="1"/>
        <v>0</v>
      </c>
      <c r="P8" s="39">
        <f t="shared" si="2"/>
        <v>19</v>
      </c>
      <c r="Q8" s="40">
        <f t="shared" si="3"/>
        <v>5</v>
      </c>
      <c r="R8" s="7"/>
      <c r="S8" s="6">
        <v>5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0.79166666666666663</v>
      </c>
      <c r="AD8" s="10">
        <f t="shared" si="6"/>
        <v>0.79166666666666663</v>
      </c>
      <c r="AE8" s="36">
        <f t="shared" si="7"/>
        <v>0.42529900929110415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116</v>
      </c>
      <c r="D9" s="52" t="s">
        <v>150</v>
      </c>
      <c r="E9" s="53" t="s">
        <v>617</v>
      </c>
      <c r="F9" s="30" t="s">
        <v>301</v>
      </c>
      <c r="G9" s="12">
        <v>1</v>
      </c>
      <c r="H9" s="13">
        <v>24</v>
      </c>
      <c r="I9" s="7">
        <v>6000</v>
      </c>
      <c r="J9" s="14">
        <v>3625</v>
      </c>
      <c r="K9" s="15">
        <f>L9</f>
        <v>3625</v>
      </c>
      <c r="L9" s="15">
        <f>940+2685</f>
        <v>3625</v>
      </c>
      <c r="M9" s="15">
        <f t="shared" si="0"/>
        <v>3625</v>
      </c>
      <c r="N9" s="15">
        <v>0</v>
      </c>
      <c r="O9" s="58">
        <f t="shared" si="1"/>
        <v>0</v>
      </c>
      <c r="P9" s="39">
        <f t="shared" si="2"/>
        <v>18</v>
      </c>
      <c r="Q9" s="40">
        <f t="shared" si="3"/>
        <v>6</v>
      </c>
      <c r="R9" s="7"/>
      <c r="S9" s="6"/>
      <c r="T9" s="16">
        <v>6</v>
      </c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0.75</v>
      </c>
      <c r="AD9" s="10">
        <f t="shared" si="6"/>
        <v>0.75</v>
      </c>
      <c r="AE9" s="36">
        <f t="shared" si="7"/>
        <v>0.42529900929110415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241</v>
      </c>
      <c r="D10" s="52"/>
      <c r="E10" s="53" t="s">
        <v>408</v>
      </c>
      <c r="F10" s="30" t="s">
        <v>144</v>
      </c>
      <c r="G10" s="33">
        <v>2</v>
      </c>
      <c r="H10" s="35">
        <v>24</v>
      </c>
      <c r="I10" s="7">
        <v>38500</v>
      </c>
      <c r="J10" s="14">
        <v>10808</v>
      </c>
      <c r="K10" s="15">
        <f>L10+8004+11244+11966+8768+7662</f>
        <v>58452</v>
      </c>
      <c r="L10" s="15">
        <f>2916*2+2488*2</f>
        <v>10808</v>
      </c>
      <c r="M10" s="15">
        <f t="shared" si="0"/>
        <v>10808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0.42529900929110415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124</v>
      </c>
      <c r="E11" s="53" t="s">
        <v>530</v>
      </c>
      <c r="F11" s="30" t="s">
        <v>131</v>
      </c>
      <c r="G11" s="33">
        <v>2</v>
      </c>
      <c r="H11" s="35">
        <v>24</v>
      </c>
      <c r="I11" s="7">
        <v>230000</v>
      </c>
      <c r="J11" s="14">
        <v>1460</v>
      </c>
      <c r="K11" s="15">
        <f>L11+10954+11864+11140+11874+1460</f>
        <v>47292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0.42529900929110415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403</v>
      </c>
      <c r="F12" s="30" t="s">
        <v>167</v>
      </c>
      <c r="G12" s="12">
        <v>1</v>
      </c>
      <c r="H12" s="13">
        <v>22</v>
      </c>
      <c r="I12" s="31">
        <v>80000</v>
      </c>
      <c r="J12" s="5">
        <v>5489</v>
      </c>
      <c r="K12" s="15">
        <f>L12+3050+5463+5497+6377+5244+5460+5580+5482+5489+5556+3742+5513+5475+4332</f>
        <v>77749</v>
      </c>
      <c r="L12" s="15">
        <f>2761+2728</f>
        <v>5489</v>
      </c>
      <c r="M12" s="15">
        <f t="shared" si="0"/>
        <v>5489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0.42529900929110415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124</v>
      </c>
      <c r="E13" s="53" t="s">
        <v>589</v>
      </c>
      <c r="F13" s="30" t="s">
        <v>134</v>
      </c>
      <c r="G13" s="33">
        <v>1</v>
      </c>
      <c r="H13" s="35">
        <v>35</v>
      </c>
      <c r="I13" s="7">
        <v>1000</v>
      </c>
      <c r="J13" s="14">
        <v>3204</v>
      </c>
      <c r="K13" s="15">
        <f>L13+3204</f>
        <v>3204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0.42529900929110415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571</v>
      </c>
      <c r="F14" s="30" t="s">
        <v>350</v>
      </c>
      <c r="G14" s="33">
        <v>1</v>
      </c>
      <c r="H14" s="35">
        <v>50</v>
      </c>
      <c r="I14" s="7">
        <v>500</v>
      </c>
      <c r="J14" s="5">
        <v>786</v>
      </c>
      <c r="K14" s="15">
        <f>L14</f>
        <v>0</v>
      </c>
      <c r="L14" s="15">
        <f>0</f>
        <v>0</v>
      </c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0.42529900929110415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123</v>
      </c>
      <c r="E15" s="53" t="s">
        <v>141</v>
      </c>
      <c r="F15" s="30" t="s">
        <v>135</v>
      </c>
      <c r="G15" s="12">
        <v>4</v>
      </c>
      <c r="H15" s="13">
        <v>24</v>
      </c>
      <c r="I15" s="31">
        <v>12000</v>
      </c>
      <c r="J15" s="14">
        <v>12356</v>
      </c>
      <c r="K15" s="15">
        <f>L15+12356</f>
        <v>12356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0.42529900929110415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241</v>
      </c>
      <c r="D16" s="52" t="s">
        <v>115</v>
      </c>
      <c r="E16" s="53" t="s">
        <v>325</v>
      </c>
      <c r="F16" s="30" t="s">
        <v>268</v>
      </c>
      <c r="G16" s="12">
        <v>2</v>
      </c>
      <c r="H16" s="13">
        <v>24</v>
      </c>
      <c r="I16" s="7">
        <v>38500</v>
      </c>
      <c r="J16" s="14">
        <v>12460</v>
      </c>
      <c r="K16" s="15">
        <f>L16+7214+11960+8562+7350</f>
        <v>47546</v>
      </c>
      <c r="L16" s="15">
        <f>3010*2+3019*2+201*2</f>
        <v>12460</v>
      </c>
      <c r="M16" s="15">
        <f t="shared" si="0"/>
        <v>12460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0.42529900929110415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241</v>
      </c>
      <c r="D17" s="52"/>
      <c r="E17" s="53" t="s">
        <v>611</v>
      </c>
      <c r="F17" s="30" t="s">
        <v>302</v>
      </c>
      <c r="G17" s="12">
        <v>1</v>
      </c>
      <c r="H17" s="13">
        <v>24</v>
      </c>
      <c r="I17" s="7">
        <v>6000</v>
      </c>
      <c r="J17" s="14">
        <v>1472</v>
      </c>
      <c r="K17" s="15">
        <f>L17</f>
        <v>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>
        <v>24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0.42529900929110415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116</v>
      </c>
      <c r="D18" s="52" t="s">
        <v>619</v>
      </c>
      <c r="E18" s="53" t="s">
        <v>618</v>
      </c>
      <c r="F18" s="30" t="s">
        <v>350</v>
      </c>
      <c r="G18" s="33">
        <v>1</v>
      </c>
      <c r="H18" s="35">
        <v>24</v>
      </c>
      <c r="I18" s="7">
        <v>1000</v>
      </c>
      <c r="J18" s="14">
        <v>2173</v>
      </c>
      <c r="K18" s="15">
        <f>L18</f>
        <v>2173</v>
      </c>
      <c r="L18" s="15">
        <f>2173</f>
        <v>2173</v>
      </c>
      <c r="M18" s="15">
        <f t="shared" si="0"/>
        <v>2173</v>
      </c>
      <c r="N18" s="15">
        <v>0</v>
      </c>
      <c r="O18" s="58">
        <f t="shared" si="1"/>
        <v>0</v>
      </c>
      <c r="P18" s="39">
        <f t="shared" si="2"/>
        <v>13</v>
      </c>
      <c r="Q18" s="40">
        <f t="shared" si="3"/>
        <v>11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11</v>
      </c>
      <c r="AB18" s="8">
        <f t="shared" si="4"/>
        <v>1</v>
      </c>
      <c r="AC18" s="9">
        <f t="shared" si="5"/>
        <v>0.54166666666666663</v>
      </c>
      <c r="AD18" s="10">
        <f t="shared" si="6"/>
        <v>0.54166666666666663</v>
      </c>
      <c r="AE18" s="36">
        <f t="shared" si="7"/>
        <v>0.42529900929110415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142</v>
      </c>
      <c r="E19" s="53" t="s">
        <v>161</v>
      </c>
      <c r="F19" s="30" t="s">
        <v>134</v>
      </c>
      <c r="G19" s="33">
        <v>1</v>
      </c>
      <c r="H19" s="35">
        <v>24</v>
      </c>
      <c r="I19" s="7">
        <v>54000</v>
      </c>
      <c r="J19" s="14">
        <v>2129</v>
      </c>
      <c r="K19" s="15">
        <f>L19+5079+5307+3503+1179+3568+5398+5390+5307+4716+2400+323+2119+4726+5252+4548+4887+1332</f>
        <v>67163</v>
      </c>
      <c r="L19" s="15">
        <f>2129</f>
        <v>2129</v>
      </c>
      <c r="M19" s="15">
        <f t="shared" si="0"/>
        <v>2129</v>
      </c>
      <c r="N19" s="15">
        <v>0</v>
      </c>
      <c r="O19" s="58">
        <f t="shared" si="1"/>
        <v>0</v>
      </c>
      <c r="P19" s="39">
        <f t="shared" si="2"/>
        <v>12</v>
      </c>
      <c r="Q19" s="40">
        <f t="shared" si="3"/>
        <v>12</v>
      </c>
      <c r="R19" s="7"/>
      <c r="S19" s="6">
        <v>12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0.5</v>
      </c>
      <c r="AD19" s="10">
        <f t="shared" si="6"/>
        <v>0.5</v>
      </c>
      <c r="AE19" s="36">
        <f t="shared" si="7"/>
        <v>0.42529900929110415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521</v>
      </c>
      <c r="F20" s="30" t="s">
        <v>131</v>
      </c>
      <c r="G20" s="12">
        <v>2</v>
      </c>
      <c r="H20" s="13">
        <v>24</v>
      </c>
      <c r="I20" s="7">
        <v>230000</v>
      </c>
      <c r="J20" s="14">
        <v>7242</v>
      </c>
      <c r="K20" s="15">
        <f>L20+7008+11154+9077+8768+10676+10588+2521</f>
        <v>67034</v>
      </c>
      <c r="L20" s="15">
        <f>1600+2821*2</f>
        <v>7242</v>
      </c>
      <c r="M20" s="15">
        <f t="shared" si="0"/>
        <v>7242</v>
      </c>
      <c r="N20" s="15">
        <v>0</v>
      </c>
      <c r="O20" s="58">
        <f t="shared" si="1"/>
        <v>0</v>
      </c>
      <c r="P20" s="39">
        <f t="shared" si="2"/>
        <v>20</v>
      </c>
      <c r="Q20" s="40">
        <f t="shared" si="3"/>
        <v>4</v>
      </c>
      <c r="R20" s="7"/>
      <c r="S20" s="6">
        <v>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0.83333333333333337</v>
      </c>
      <c r="AD20" s="10">
        <f t="shared" si="6"/>
        <v>0.83333333333333337</v>
      </c>
      <c r="AE20" s="36">
        <f t="shared" si="7"/>
        <v>0.42529900929110415</v>
      </c>
      <c r="AF20" s="84">
        <f t="shared" si="8"/>
        <v>15</v>
      </c>
    </row>
    <row r="21" spans="1:32" ht="27" customHeight="1">
      <c r="A21" s="96">
        <v>16</v>
      </c>
      <c r="B21" s="11" t="s">
        <v>57</v>
      </c>
      <c r="C21" s="11" t="s">
        <v>113</v>
      </c>
      <c r="D21" s="52"/>
      <c r="E21" s="53" t="s">
        <v>139</v>
      </c>
      <c r="F21" s="12" t="s">
        <v>114</v>
      </c>
      <c r="G21" s="12">
        <v>4</v>
      </c>
      <c r="H21" s="35">
        <v>20</v>
      </c>
      <c r="I21" s="7">
        <v>1000000</v>
      </c>
      <c r="J21" s="14">
        <v>61548</v>
      </c>
      <c r="K21" s="15">
        <f>L21+52608+61640+61384+61404</f>
        <v>298584</v>
      </c>
      <c r="L21" s="15">
        <f>7642*4+7745*4</f>
        <v>61548</v>
      </c>
      <c r="M21" s="15">
        <f t="shared" si="0"/>
        <v>61548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0.42529900929110415</v>
      </c>
      <c r="AF21" s="84">
        <f t="shared" si="8"/>
        <v>16</v>
      </c>
    </row>
    <row r="22" spans="1:32" ht="27" customHeight="1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0.42529900929110415</v>
      </c>
      <c r="AF22" s="84">
        <f t="shared" si="8"/>
        <v>31</v>
      </c>
    </row>
    <row r="23" spans="1:32" ht="27" customHeight="1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>
        <v>24</v>
      </c>
      <c r="W23" s="5"/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0.42529900929110415</v>
      </c>
      <c r="AF23" s="84">
        <f t="shared" si="8"/>
        <v>32</v>
      </c>
    </row>
    <row r="24" spans="1:32" ht="27" customHeight="1">
      <c r="A24" s="96">
        <v>33</v>
      </c>
      <c r="B24" s="11" t="s">
        <v>57</v>
      </c>
      <c r="C24" s="11" t="s">
        <v>116</v>
      </c>
      <c r="D24" s="52" t="s">
        <v>150</v>
      </c>
      <c r="E24" s="53" t="s">
        <v>163</v>
      </c>
      <c r="F24" s="12" t="s">
        <v>145</v>
      </c>
      <c r="G24" s="12">
        <v>1</v>
      </c>
      <c r="H24" s="35">
        <v>20</v>
      </c>
      <c r="I24" s="7">
        <v>140000</v>
      </c>
      <c r="J24" s="14">
        <v>7084</v>
      </c>
      <c r="K24" s="15">
        <f>L24+4387+7770+5806+7905+7479+7369+7360+2397+6904+7208+7013+6976+6992+2652+6495+7026+7051+7084</f>
        <v>120171</v>
      </c>
      <c r="L24" s="15">
        <f>3632+665</f>
        <v>4297</v>
      </c>
      <c r="M24" s="15">
        <f t="shared" si="0"/>
        <v>4297</v>
      </c>
      <c r="N24" s="15">
        <v>0</v>
      </c>
      <c r="O24" s="58">
        <f t="shared" si="1"/>
        <v>0</v>
      </c>
      <c r="P24" s="39">
        <f t="shared" si="2"/>
        <v>24</v>
      </c>
      <c r="Q24" s="40">
        <f t="shared" si="3"/>
        <v>0</v>
      </c>
      <c r="R24" s="7"/>
      <c r="S24" s="6"/>
      <c r="T24" s="16"/>
      <c r="U24" s="16"/>
      <c r="V24" s="206"/>
      <c r="W24" s="5"/>
      <c r="X24" s="16"/>
      <c r="Y24" s="16"/>
      <c r="Z24" s="16"/>
      <c r="AA24" s="18"/>
      <c r="AB24" s="8">
        <f t="shared" si="4"/>
        <v>0.60657820440429133</v>
      </c>
      <c r="AC24" s="9">
        <f t="shared" si="5"/>
        <v>1</v>
      </c>
      <c r="AD24" s="10">
        <f t="shared" si="6"/>
        <v>0.60657820440429133</v>
      </c>
      <c r="AE24" s="36">
        <f t="shared" si="7"/>
        <v>0.42529900929110415</v>
      </c>
      <c r="AF24" s="84">
        <f t="shared" si="8"/>
        <v>33</v>
      </c>
    </row>
    <row r="25" spans="1:32" ht="27" customHeight="1">
      <c r="A25" s="96">
        <v>34</v>
      </c>
      <c r="B25" s="11" t="s">
        <v>57</v>
      </c>
      <c r="C25" s="11" t="s">
        <v>116</v>
      </c>
      <c r="D25" s="52" t="s">
        <v>150</v>
      </c>
      <c r="E25" s="53" t="s">
        <v>165</v>
      </c>
      <c r="F25" s="12" t="s">
        <v>135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206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0.42529900929110415</v>
      </c>
      <c r="AF25" s="84">
        <f t="shared" si="8"/>
        <v>34</v>
      </c>
    </row>
    <row r="26" spans="1:32" ht="27" customHeight="1">
      <c r="A26" s="96">
        <v>35</v>
      </c>
      <c r="B26" s="11" t="s">
        <v>57</v>
      </c>
      <c r="C26" s="11" t="s">
        <v>116</v>
      </c>
      <c r="D26" s="52" t="s">
        <v>123</v>
      </c>
      <c r="E26" s="53" t="s">
        <v>137</v>
      </c>
      <c r="F26" s="12" t="s">
        <v>135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206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0.42529900929110415</v>
      </c>
      <c r="AF26" s="84">
        <f t="shared" si="8"/>
        <v>35</v>
      </c>
    </row>
    <row r="27" spans="1:32" ht="27" customHeight="1" thickBot="1">
      <c r="A27" s="96">
        <v>36</v>
      </c>
      <c r="B27" s="11" t="s">
        <v>57</v>
      </c>
      <c r="C27" s="11" t="s">
        <v>380</v>
      </c>
      <c r="D27" s="52"/>
      <c r="E27" s="53" t="s">
        <v>381</v>
      </c>
      <c r="F27" s="12" t="s">
        <v>382</v>
      </c>
      <c r="G27" s="12">
        <v>32</v>
      </c>
      <c r="H27" s="35">
        <v>20</v>
      </c>
      <c r="I27" s="7">
        <v>700000</v>
      </c>
      <c r="J27" s="14">
        <v>89792</v>
      </c>
      <c r="K27" s="15">
        <f>L27+326528+448864+89792</f>
        <v>865184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206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0.42529900929110415</v>
      </c>
      <c r="AF27" s="84">
        <f t="shared" si="8"/>
        <v>36</v>
      </c>
    </row>
    <row r="28" spans="1:32" ht="31.5" customHeight="1" thickBot="1">
      <c r="A28" s="464" t="s">
        <v>34</v>
      </c>
      <c r="B28" s="465"/>
      <c r="C28" s="465"/>
      <c r="D28" s="465"/>
      <c r="E28" s="465"/>
      <c r="F28" s="465"/>
      <c r="G28" s="465"/>
      <c r="H28" s="466"/>
      <c r="I28" s="22">
        <f t="shared" ref="I28:N28" si="9">SUM(I6:I27)</f>
        <v>3243600</v>
      </c>
      <c r="J28" s="19">
        <f t="shared" si="9"/>
        <v>260783</v>
      </c>
      <c r="K28" s="20">
        <f t="shared" si="9"/>
        <v>2277555</v>
      </c>
      <c r="L28" s="21">
        <f t="shared" si="9"/>
        <v>127338</v>
      </c>
      <c r="M28" s="20">
        <f t="shared" si="9"/>
        <v>127338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234</v>
      </c>
      <c r="Q28" s="43">
        <f t="shared" si="10"/>
        <v>294</v>
      </c>
      <c r="R28" s="23">
        <f t="shared" si="10"/>
        <v>0</v>
      </c>
      <c r="S28" s="24">
        <f t="shared" si="10"/>
        <v>93</v>
      </c>
      <c r="T28" s="24">
        <f t="shared" si="10"/>
        <v>6</v>
      </c>
      <c r="U28" s="24">
        <f t="shared" si="10"/>
        <v>0</v>
      </c>
      <c r="V28" s="25">
        <f t="shared" si="10"/>
        <v>48</v>
      </c>
      <c r="W28" s="26">
        <f t="shared" si="10"/>
        <v>136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11</v>
      </c>
      <c r="AB28" s="28">
        <f>AVERAGE(AB6:AB27)</f>
        <v>0.5803289102202146</v>
      </c>
      <c r="AC28" s="4">
        <f>AVERAGE(AC6:AC27)</f>
        <v>0.44318181818181818</v>
      </c>
      <c r="AD28" s="4">
        <f>AVERAGE(AD6:AD27)</f>
        <v>0.42529900929110415</v>
      </c>
      <c r="AE28" s="29"/>
    </row>
    <row r="29" spans="1:32">
      <c r="T29" s="50" t="s">
        <v>157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160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467" t="s">
        <v>45</v>
      </c>
      <c r="B55" s="467"/>
      <c r="C55" s="467"/>
      <c r="D55" s="467"/>
      <c r="E55" s="467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468" t="s">
        <v>628</v>
      </c>
      <c r="B56" s="469"/>
      <c r="C56" s="469"/>
      <c r="D56" s="469"/>
      <c r="E56" s="469"/>
      <c r="F56" s="469"/>
      <c r="G56" s="469"/>
      <c r="H56" s="469"/>
      <c r="I56" s="469"/>
      <c r="J56" s="469"/>
      <c r="K56" s="469"/>
      <c r="L56" s="469"/>
      <c r="M56" s="470"/>
      <c r="N56" s="471" t="s">
        <v>629</v>
      </c>
      <c r="O56" s="472"/>
      <c r="P56" s="472"/>
      <c r="Q56" s="472"/>
      <c r="R56" s="472"/>
      <c r="S56" s="472"/>
      <c r="T56" s="472"/>
      <c r="U56" s="472"/>
      <c r="V56" s="472"/>
      <c r="W56" s="472"/>
      <c r="X56" s="472"/>
      <c r="Y56" s="472"/>
      <c r="Z56" s="472"/>
      <c r="AA56" s="472"/>
      <c r="AB56" s="472"/>
      <c r="AC56" s="472"/>
      <c r="AD56" s="473"/>
    </row>
    <row r="57" spans="1:32" ht="27" customHeight="1">
      <c r="A57" s="474" t="s">
        <v>2</v>
      </c>
      <c r="B57" s="475"/>
      <c r="C57" s="434" t="s">
        <v>46</v>
      </c>
      <c r="D57" s="434" t="s">
        <v>47</v>
      </c>
      <c r="E57" s="434" t="s">
        <v>107</v>
      </c>
      <c r="F57" s="476" t="s">
        <v>106</v>
      </c>
      <c r="G57" s="477"/>
      <c r="H57" s="477"/>
      <c r="I57" s="477"/>
      <c r="J57" s="477"/>
      <c r="K57" s="477"/>
      <c r="L57" s="477"/>
      <c r="M57" s="478"/>
      <c r="N57" s="67" t="s">
        <v>110</v>
      </c>
      <c r="O57" s="434" t="s">
        <v>46</v>
      </c>
      <c r="P57" s="476" t="s">
        <v>47</v>
      </c>
      <c r="Q57" s="479"/>
      <c r="R57" s="476" t="s">
        <v>38</v>
      </c>
      <c r="S57" s="477"/>
      <c r="T57" s="477"/>
      <c r="U57" s="479"/>
      <c r="V57" s="476" t="s">
        <v>48</v>
      </c>
      <c r="W57" s="477"/>
      <c r="X57" s="477"/>
      <c r="Y57" s="477"/>
      <c r="Z57" s="477"/>
      <c r="AA57" s="477"/>
      <c r="AB57" s="477"/>
      <c r="AC57" s="477"/>
      <c r="AD57" s="478"/>
    </row>
    <row r="58" spans="1:32" ht="27" customHeight="1">
      <c r="A58" s="500" t="s">
        <v>116</v>
      </c>
      <c r="B58" s="501"/>
      <c r="C58" s="437" t="s">
        <v>193</v>
      </c>
      <c r="D58" s="437" t="s">
        <v>140</v>
      </c>
      <c r="E58" s="436" t="s">
        <v>323</v>
      </c>
      <c r="F58" s="492" t="s">
        <v>386</v>
      </c>
      <c r="G58" s="493"/>
      <c r="H58" s="493"/>
      <c r="I58" s="493"/>
      <c r="J58" s="493"/>
      <c r="K58" s="493"/>
      <c r="L58" s="493"/>
      <c r="M58" s="494"/>
      <c r="N58" s="435" t="s">
        <v>116</v>
      </c>
      <c r="O58" s="442" t="s">
        <v>193</v>
      </c>
      <c r="P58" s="495" t="s">
        <v>140</v>
      </c>
      <c r="Q58" s="496"/>
      <c r="R58" s="495" t="s">
        <v>323</v>
      </c>
      <c r="S58" s="497"/>
      <c r="T58" s="497"/>
      <c r="U58" s="496"/>
      <c r="V58" s="498" t="s">
        <v>120</v>
      </c>
      <c r="W58" s="498"/>
      <c r="X58" s="498"/>
      <c r="Y58" s="498"/>
      <c r="Z58" s="498"/>
      <c r="AA58" s="498"/>
      <c r="AB58" s="498"/>
      <c r="AC58" s="498"/>
      <c r="AD58" s="499"/>
    </row>
    <row r="59" spans="1:32" ht="27" customHeight="1">
      <c r="A59" s="500" t="s">
        <v>112</v>
      </c>
      <c r="B59" s="501"/>
      <c r="C59" s="437" t="s">
        <v>630</v>
      </c>
      <c r="D59" s="437" t="s">
        <v>115</v>
      </c>
      <c r="E59" s="436" t="s">
        <v>631</v>
      </c>
      <c r="F59" s="492" t="s">
        <v>615</v>
      </c>
      <c r="G59" s="493"/>
      <c r="H59" s="493"/>
      <c r="I59" s="493"/>
      <c r="J59" s="493"/>
      <c r="K59" s="493"/>
      <c r="L59" s="493"/>
      <c r="M59" s="494"/>
      <c r="N59" s="435" t="s">
        <v>112</v>
      </c>
      <c r="O59" s="442" t="s">
        <v>206</v>
      </c>
      <c r="P59" s="495" t="s">
        <v>115</v>
      </c>
      <c r="Q59" s="496"/>
      <c r="R59" s="495" t="s">
        <v>571</v>
      </c>
      <c r="S59" s="497"/>
      <c r="T59" s="497"/>
      <c r="U59" s="496"/>
      <c r="V59" s="498" t="s">
        <v>120</v>
      </c>
      <c r="W59" s="498"/>
      <c r="X59" s="498"/>
      <c r="Y59" s="498"/>
      <c r="Z59" s="498"/>
      <c r="AA59" s="498"/>
      <c r="AB59" s="498"/>
      <c r="AC59" s="498"/>
      <c r="AD59" s="499"/>
    </row>
    <row r="60" spans="1:32" ht="27" customHeight="1">
      <c r="A60" s="500" t="s">
        <v>112</v>
      </c>
      <c r="B60" s="501"/>
      <c r="C60" s="447" t="s">
        <v>221</v>
      </c>
      <c r="D60" s="447" t="s">
        <v>142</v>
      </c>
      <c r="E60" s="448" t="s">
        <v>161</v>
      </c>
      <c r="F60" s="492" t="s">
        <v>120</v>
      </c>
      <c r="G60" s="493"/>
      <c r="H60" s="493"/>
      <c r="I60" s="493"/>
      <c r="J60" s="493"/>
      <c r="K60" s="493"/>
      <c r="L60" s="493"/>
      <c r="M60" s="494"/>
      <c r="N60" s="449" t="s">
        <v>241</v>
      </c>
      <c r="O60" s="446" t="s">
        <v>256</v>
      </c>
      <c r="P60" s="495"/>
      <c r="Q60" s="496"/>
      <c r="R60" s="495" t="s">
        <v>611</v>
      </c>
      <c r="S60" s="497"/>
      <c r="T60" s="497"/>
      <c r="U60" s="496"/>
      <c r="V60" s="498" t="s">
        <v>120</v>
      </c>
      <c r="W60" s="498"/>
      <c r="X60" s="498"/>
      <c r="Y60" s="498"/>
      <c r="Z60" s="498"/>
      <c r="AA60" s="498"/>
      <c r="AB60" s="498"/>
      <c r="AC60" s="498"/>
      <c r="AD60" s="499"/>
    </row>
    <row r="61" spans="1:32" ht="27" customHeight="1">
      <c r="A61" s="490" t="s">
        <v>241</v>
      </c>
      <c r="B61" s="491"/>
      <c r="C61" s="448" t="s">
        <v>256</v>
      </c>
      <c r="D61" s="448"/>
      <c r="E61" s="448" t="s">
        <v>611</v>
      </c>
      <c r="F61" s="492" t="s">
        <v>615</v>
      </c>
      <c r="G61" s="493"/>
      <c r="H61" s="493"/>
      <c r="I61" s="493"/>
      <c r="J61" s="493"/>
      <c r="K61" s="493"/>
      <c r="L61" s="493"/>
      <c r="M61" s="494"/>
      <c r="N61" s="435" t="s">
        <v>638</v>
      </c>
      <c r="O61" s="442" t="s">
        <v>639</v>
      </c>
      <c r="P61" s="495" t="s">
        <v>115</v>
      </c>
      <c r="Q61" s="496"/>
      <c r="R61" s="495"/>
      <c r="S61" s="497"/>
      <c r="T61" s="497"/>
      <c r="U61" s="496"/>
      <c r="V61" s="498"/>
      <c r="W61" s="498"/>
      <c r="X61" s="498"/>
      <c r="Y61" s="498"/>
      <c r="Z61" s="498"/>
      <c r="AA61" s="498"/>
      <c r="AB61" s="498"/>
      <c r="AC61" s="498"/>
      <c r="AD61" s="499"/>
    </row>
    <row r="62" spans="1:32" ht="27" customHeight="1">
      <c r="A62" s="490" t="s">
        <v>112</v>
      </c>
      <c r="B62" s="491"/>
      <c r="C62" s="448" t="s">
        <v>129</v>
      </c>
      <c r="D62" s="448" t="s">
        <v>115</v>
      </c>
      <c r="E62" s="448" t="s">
        <v>532</v>
      </c>
      <c r="F62" s="492" t="s">
        <v>524</v>
      </c>
      <c r="G62" s="493"/>
      <c r="H62" s="493"/>
      <c r="I62" s="493"/>
      <c r="J62" s="493"/>
      <c r="K62" s="493"/>
      <c r="L62" s="493"/>
      <c r="M62" s="494"/>
      <c r="N62" s="435"/>
      <c r="O62" s="442"/>
      <c r="P62" s="495"/>
      <c r="Q62" s="496"/>
      <c r="R62" s="495"/>
      <c r="S62" s="497"/>
      <c r="T62" s="497"/>
      <c r="U62" s="496"/>
      <c r="V62" s="498"/>
      <c r="W62" s="498"/>
      <c r="X62" s="498"/>
      <c r="Y62" s="498"/>
      <c r="Z62" s="498"/>
      <c r="AA62" s="498"/>
      <c r="AB62" s="498"/>
      <c r="AC62" s="498"/>
      <c r="AD62" s="499"/>
    </row>
    <row r="63" spans="1:32" ht="27" customHeight="1">
      <c r="A63" s="490" t="s">
        <v>116</v>
      </c>
      <c r="B63" s="491"/>
      <c r="C63" s="436" t="s">
        <v>632</v>
      </c>
      <c r="D63" s="436" t="s">
        <v>633</v>
      </c>
      <c r="E63" s="436" t="s">
        <v>634</v>
      </c>
      <c r="F63" s="492" t="s">
        <v>125</v>
      </c>
      <c r="G63" s="493"/>
      <c r="H63" s="493"/>
      <c r="I63" s="493"/>
      <c r="J63" s="493"/>
      <c r="K63" s="493"/>
      <c r="L63" s="493"/>
      <c r="M63" s="494"/>
      <c r="N63" s="435"/>
      <c r="O63" s="442"/>
      <c r="P63" s="495"/>
      <c r="Q63" s="496"/>
      <c r="R63" s="495"/>
      <c r="S63" s="497"/>
      <c r="T63" s="497"/>
      <c r="U63" s="496"/>
      <c r="V63" s="498"/>
      <c r="W63" s="498"/>
      <c r="X63" s="498"/>
      <c r="Y63" s="498"/>
      <c r="Z63" s="498"/>
      <c r="AA63" s="498"/>
      <c r="AB63" s="498"/>
      <c r="AC63" s="498"/>
      <c r="AD63" s="499"/>
    </row>
    <row r="64" spans="1:32" ht="27" customHeight="1">
      <c r="A64" s="490" t="s">
        <v>116</v>
      </c>
      <c r="B64" s="491"/>
      <c r="C64" s="436" t="s">
        <v>636</v>
      </c>
      <c r="D64" s="436" t="s">
        <v>637</v>
      </c>
      <c r="E64" s="436" t="s">
        <v>635</v>
      </c>
      <c r="F64" s="492" t="s">
        <v>125</v>
      </c>
      <c r="G64" s="493"/>
      <c r="H64" s="493"/>
      <c r="I64" s="493"/>
      <c r="J64" s="493"/>
      <c r="K64" s="493"/>
      <c r="L64" s="493"/>
      <c r="M64" s="494"/>
      <c r="N64" s="435"/>
      <c r="O64" s="442"/>
      <c r="P64" s="495"/>
      <c r="Q64" s="496"/>
      <c r="R64" s="495"/>
      <c r="S64" s="497"/>
      <c r="T64" s="497"/>
      <c r="U64" s="496"/>
      <c r="V64" s="498"/>
      <c r="W64" s="498"/>
      <c r="X64" s="498"/>
      <c r="Y64" s="498"/>
      <c r="Z64" s="498"/>
      <c r="AA64" s="498"/>
      <c r="AB64" s="498"/>
      <c r="AC64" s="498"/>
      <c r="AD64" s="499"/>
    </row>
    <row r="65" spans="1:32" ht="27" customHeight="1">
      <c r="A65" s="500"/>
      <c r="B65" s="501"/>
      <c r="C65" s="437"/>
      <c r="D65" s="437"/>
      <c r="E65" s="436"/>
      <c r="F65" s="492"/>
      <c r="G65" s="493"/>
      <c r="H65" s="493"/>
      <c r="I65" s="493"/>
      <c r="J65" s="493"/>
      <c r="K65" s="493"/>
      <c r="L65" s="493"/>
      <c r="M65" s="494"/>
      <c r="N65" s="435"/>
      <c r="O65" s="442"/>
      <c r="P65" s="495"/>
      <c r="Q65" s="496"/>
      <c r="R65" s="495"/>
      <c r="S65" s="497"/>
      <c r="T65" s="497"/>
      <c r="U65" s="496"/>
      <c r="V65" s="498"/>
      <c r="W65" s="498"/>
      <c r="X65" s="498"/>
      <c r="Y65" s="498"/>
      <c r="Z65" s="498"/>
      <c r="AA65" s="498"/>
      <c r="AB65" s="498"/>
      <c r="AC65" s="498"/>
      <c r="AD65" s="499"/>
    </row>
    <row r="66" spans="1:32" ht="27" customHeight="1">
      <c r="A66" s="500"/>
      <c r="B66" s="501"/>
      <c r="C66" s="437"/>
      <c r="D66" s="437"/>
      <c r="E66" s="436"/>
      <c r="F66" s="492"/>
      <c r="G66" s="493"/>
      <c r="H66" s="493"/>
      <c r="I66" s="493"/>
      <c r="J66" s="493"/>
      <c r="K66" s="493"/>
      <c r="L66" s="493"/>
      <c r="M66" s="494"/>
      <c r="N66" s="435"/>
      <c r="O66" s="442"/>
      <c r="P66" s="491"/>
      <c r="Q66" s="491"/>
      <c r="R66" s="491"/>
      <c r="S66" s="491"/>
      <c r="T66" s="491"/>
      <c r="U66" s="491"/>
      <c r="V66" s="498"/>
      <c r="W66" s="498"/>
      <c r="X66" s="498"/>
      <c r="Y66" s="498"/>
      <c r="Z66" s="498"/>
      <c r="AA66" s="498"/>
      <c r="AB66" s="498"/>
      <c r="AC66" s="498"/>
      <c r="AD66" s="499"/>
      <c r="AF66" s="84">
        <f>8*3000</f>
        <v>24000</v>
      </c>
    </row>
    <row r="67" spans="1:32" ht="27" customHeight="1" thickBot="1">
      <c r="A67" s="502"/>
      <c r="B67" s="503"/>
      <c r="C67" s="438"/>
      <c r="D67" s="439"/>
      <c r="E67" s="438"/>
      <c r="F67" s="504"/>
      <c r="G67" s="505"/>
      <c r="H67" s="505"/>
      <c r="I67" s="505"/>
      <c r="J67" s="505"/>
      <c r="K67" s="505"/>
      <c r="L67" s="505"/>
      <c r="M67" s="506"/>
      <c r="N67" s="111"/>
      <c r="O67" s="103"/>
      <c r="P67" s="507"/>
      <c r="Q67" s="507"/>
      <c r="R67" s="507"/>
      <c r="S67" s="507"/>
      <c r="T67" s="507"/>
      <c r="U67" s="507"/>
      <c r="V67" s="508"/>
      <c r="W67" s="508"/>
      <c r="X67" s="508"/>
      <c r="Y67" s="508"/>
      <c r="Z67" s="508"/>
      <c r="AA67" s="508"/>
      <c r="AB67" s="508"/>
      <c r="AC67" s="508"/>
      <c r="AD67" s="509"/>
      <c r="AF67" s="84">
        <f>16*3000</f>
        <v>48000</v>
      </c>
    </row>
    <row r="68" spans="1:32" ht="27.75" thickBot="1">
      <c r="A68" s="510" t="s">
        <v>640</v>
      </c>
      <c r="B68" s="510"/>
      <c r="C68" s="510"/>
      <c r="D68" s="510"/>
      <c r="E68" s="51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11" t="s">
        <v>111</v>
      </c>
      <c r="B69" s="512"/>
      <c r="C69" s="440" t="s">
        <v>2</v>
      </c>
      <c r="D69" s="440" t="s">
        <v>37</v>
      </c>
      <c r="E69" s="440" t="s">
        <v>3</v>
      </c>
      <c r="F69" s="512" t="s">
        <v>109</v>
      </c>
      <c r="G69" s="512"/>
      <c r="H69" s="512"/>
      <c r="I69" s="512"/>
      <c r="J69" s="512"/>
      <c r="K69" s="512" t="s">
        <v>39</v>
      </c>
      <c r="L69" s="512"/>
      <c r="M69" s="440" t="s">
        <v>40</v>
      </c>
      <c r="N69" s="512" t="s">
        <v>41</v>
      </c>
      <c r="O69" s="512"/>
      <c r="P69" s="513" t="s">
        <v>42</v>
      </c>
      <c r="Q69" s="514"/>
      <c r="R69" s="513" t="s">
        <v>43</v>
      </c>
      <c r="S69" s="515"/>
      <c r="T69" s="515"/>
      <c r="U69" s="515"/>
      <c r="V69" s="515"/>
      <c r="W69" s="515"/>
      <c r="X69" s="515"/>
      <c r="Y69" s="515"/>
      <c r="Z69" s="515"/>
      <c r="AA69" s="514"/>
      <c r="AB69" s="512" t="s">
        <v>44</v>
      </c>
      <c r="AC69" s="512"/>
      <c r="AD69" s="516"/>
      <c r="AF69" s="84">
        <f>SUM(AF66:AF68)</f>
        <v>96000</v>
      </c>
    </row>
    <row r="70" spans="1:32" ht="25.5" customHeight="1">
      <c r="A70" s="517">
        <v>1</v>
      </c>
      <c r="B70" s="518"/>
      <c r="C70" s="104" t="s">
        <v>112</v>
      </c>
      <c r="D70" s="444"/>
      <c r="E70" s="441" t="s">
        <v>641</v>
      </c>
      <c r="F70" s="519" t="s">
        <v>642</v>
      </c>
      <c r="G70" s="520"/>
      <c r="H70" s="520"/>
      <c r="I70" s="520"/>
      <c r="J70" s="521"/>
      <c r="K70" s="522" t="s">
        <v>147</v>
      </c>
      <c r="L70" s="522"/>
      <c r="M70" s="51" t="s">
        <v>178</v>
      </c>
      <c r="N70" s="523" t="s">
        <v>169</v>
      </c>
      <c r="O70" s="523"/>
      <c r="P70" s="524">
        <v>100</v>
      </c>
      <c r="Q70" s="524"/>
      <c r="R70" s="498"/>
      <c r="S70" s="498"/>
      <c r="T70" s="498"/>
      <c r="U70" s="498"/>
      <c r="V70" s="498"/>
      <c r="W70" s="498"/>
      <c r="X70" s="498"/>
      <c r="Y70" s="498"/>
      <c r="Z70" s="498"/>
      <c r="AA70" s="498"/>
      <c r="AB70" s="522"/>
      <c r="AC70" s="522"/>
      <c r="AD70" s="525"/>
      <c r="AF70" s="50"/>
    </row>
    <row r="71" spans="1:32" ht="25.5" customHeight="1">
      <c r="A71" s="517">
        <v>2</v>
      </c>
      <c r="B71" s="518"/>
      <c r="C71" s="104" t="s">
        <v>241</v>
      </c>
      <c r="D71" s="444"/>
      <c r="E71" s="441"/>
      <c r="F71" s="519" t="s">
        <v>643</v>
      </c>
      <c r="G71" s="520"/>
      <c r="H71" s="520"/>
      <c r="I71" s="520"/>
      <c r="J71" s="521"/>
      <c r="K71" s="522" t="s">
        <v>302</v>
      </c>
      <c r="L71" s="522"/>
      <c r="M71" s="51" t="s">
        <v>178</v>
      </c>
      <c r="N71" s="523" t="s">
        <v>169</v>
      </c>
      <c r="O71" s="523"/>
      <c r="P71" s="524">
        <v>50</v>
      </c>
      <c r="Q71" s="524"/>
      <c r="R71" s="498"/>
      <c r="S71" s="498"/>
      <c r="T71" s="498"/>
      <c r="U71" s="498"/>
      <c r="V71" s="498"/>
      <c r="W71" s="498"/>
      <c r="X71" s="498"/>
      <c r="Y71" s="498"/>
      <c r="Z71" s="498"/>
      <c r="AA71" s="498"/>
      <c r="AB71" s="522"/>
      <c r="AC71" s="522"/>
      <c r="AD71" s="525"/>
      <c r="AF71" s="50"/>
    </row>
    <row r="72" spans="1:32" ht="25.5" customHeight="1">
      <c r="A72" s="517">
        <v>3</v>
      </c>
      <c r="B72" s="518"/>
      <c r="C72" s="104" t="s">
        <v>112</v>
      </c>
      <c r="D72" s="444"/>
      <c r="E72" s="441" t="s">
        <v>140</v>
      </c>
      <c r="F72" s="519" t="s">
        <v>530</v>
      </c>
      <c r="G72" s="520"/>
      <c r="H72" s="520"/>
      <c r="I72" s="520"/>
      <c r="J72" s="521"/>
      <c r="K72" s="522" t="s">
        <v>131</v>
      </c>
      <c r="L72" s="522"/>
      <c r="M72" s="51" t="s">
        <v>178</v>
      </c>
      <c r="N72" s="523" t="s">
        <v>259</v>
      </c>
      <c r="O72" s="523"/>
      <c r="P72" s="524">
        <v>100</v>
      </c>
      <c r="Q72" s="524"/>
      <c r="R72" s="498"/>
      <c r="S72" s="498"/>
      <c r="T72" s="498"/>
      <c r="U72" s="498"/>
      <c r="V72" s="498"/>
      <c r="W72" s="498"/>
      <c r="X72" s="498"/>
      <c r="Y72" s="498"/>
      <c r="Z72" s="498"/>
      <c r="AA72" s="498"/>
      <c r="AB72" s="522"/>
      <c r="AC72" s="522"/>
      <c r="AD72" s="525"/>
      <c r="AF72" s="50"/>
    </row>
    <row r="73" spans="1:32" ht="25.5" customHeight="1">
      <c r="A73" s="517">
        <v>4</v>
      </c>
      <c r="B73" s="518"/>
      <c r="C73" s="104"/>
      <c r="D73" s="444"/>
      <c r="E73" s="441"/>
      <c r="F73" s="519"/>
      <c r="G73" s="520"/>
      <c r="H73" s="520"/>
      <c r="I73" s="520"/>
      <c r="J73" s="521"/>
      <c r="K73" s="522"/>
      <c r="L73" s="522"/>
      <c r="M73" s="51"/>
      <c r="N73" s="523"/>
      <c r="O73" s="523"/>
      <c r="P73" s="524"/>
      <c r="Q73" s="524"/>
      <c r="R73" s="498"/>
      <c r="S73" s="498"/>
      <c r="T73" s="498"/>
      <c r="U73" s="498"/>
      <c r="V73" s="498"/>
      <c r="W73" s="498"/>
      <c r="X73" s="498"/>
      <c r="Y73" s="498"/>
      <c r="Z73" s="498"/>
      <c r="AA73" s="498"/>
      <c r="AB73" s="522"/>
      <c r="AC73" s="522"/>
      <c r="AD73" s="525"/>
      <c r="AF73" s="50"/>
    </row>
    <row r="74" spans="1:32" ht="25.5" customHeight="1">
      <c r="A74" s="517">
        <v>5</v>
      </c>
      <c r="B74" s="518"/>
      <c r="C74" s="104"/>
      <c r="D74" s="444"/>
      <c r="E74" s="441"/>
      <c r="F74" s="519"/>
      <c r="G74" s="520"/>
      <c r="H74" s="520"/>
      <c r="I74" s="520"/>
      <c r="J74" s="521"/>
      <c r="K74" s="522"/>
      <c r="L74" s="522"/>
      <c r="M74" s="51"/>
      <c r="N74" s="523"/>
      <c r="O74" s="523"/>
      <c r="P74" s="524"/>
      <c r="Q74" s="524"/>
      <c r="R74" s="498"/>
      <c r="S74" s="498"/>
      <c r="T74" s="498"/>
      <c r="U74" s="498"/>
      <c r="V74" s="498"/>
      <c r="W74" s="498"/>
      <c r="X74" s="498"/>
      <c r="Y74" s="498"/>
      <c r="Z74" s="498"/>
      <c r="AA74" s="498"/>
      <c r="AB74" s="522"/>
      <c r="AC74" s="522"/>
      <c r="AD74" s="525"/>
      <c r="AF74" s="50"/>
    </row>
    <row r="75" spans="1:32" ht="25.5" customHeight="1">
      <c r="A75" s="517">
        <v>6</v>
      </c>
      <c r="B75" s="518"/>
      <c r="C75" s="104"/>
      <c r="D75" s="444"/>
      <c r="E75" s="441"/>
      <c r="F75" s="519"/>
      <c r="G75" s="520"/>
      <c r="H75" s="520"/>
      <c r="I75" s="520"/>
      <c r="J75" s="521"/>
      <c r="K75" s="522"/>
      <c r="L75" s="522"/>
      <c r="M75" s="51"/>
      <c r="N75" s="523"/>
      <c r="O75" s="523"/>
      <c r="P75" s="524"/>
      <c r="Q75" s="524"/>
      <c r="R75" s="498"/>
      <c r="S75" s="498"/>
      <c r="T75" s="498"/>
      <c r="U75" s="498"/>
      <c r="V75" s="498"/>
      <c r="W75" s="498"/>
      <c r="X75" s="498"/>
      <c r="Y75" s="498"/>
      <c r="Z75" s="498"/>
      <c r="AA75" s="498"/>
      <c r="AB75" s="522"/>
      <c r="AC75" s="522"/>
      <c r="AD75" s="525"/>
      <c r="AF75" s="50"/>
    </row>
    <row r="76" spans="1:32" ht="25.5" customHeight="1">
      <c r="A76" s="517">
        <v>7</v>
      </c>
      <c r="B76" s="518"/>
      <c r="C76" s="104"/>
      <c r="D76" s="444"/>
      <c r="E76" s="441"/>
      <c r="F76" s="519"/>
      <c r="G76" s="520"/>
      <c r="H76" s="520"/>
      <c r="I76" s="520"/>
      <c r="J76" s="521"/>
      <c r="K76" s="522"/>
      <c r="L76" s="522"/>
      <c r="M76" s="51"/>
      <c r="N76" s="523"/>
      <c r="O76" s="523"/>
      <c r="P76" s="524"/>
      <c r="Q76" s="524"/>
      <c r="R76" s="498"/>
      <c r="S76" s="498"/>
      <c r="T76" s="498"/>
      <c r="U76" s="498"/>
      <c r="V76" s="498"/>
      <c r="W76" s="498"/>
      <c r="X76" s="498"/>
      <c r="Y76" s="498"/>
      <c r="Z76" s="498"/>
      <c r="AA76" s="498"/>
      <c r="AB76" s="522"/>
      <c r="AC76" s="522"/>
      <c r="AD76" s="525"/>
      <c r="AF76" s="50"/>
    </row>
    <row r="77" spans="1:32" ht="25.5" customHeight="1">
      <c r="A77" s="517">
        <v>8</v>
      </c>
      <c r="B77" s="518"/>
      <c r="C77" s="104"/>
      <c r="D77" s="444"/>
      <c r="E77" s="441"/>
      <c r="F77" s="526"/>
      <c r="G77" s="522"/>
      <c r="H77" s="522"/>
      <c r="I77" s="522"/>
      <c r="J77" s="522"/>
      <c r="K77" s="522"/>
      <c r="L77" s="522"/>
      <c r="M77" s="51"/>
      <c r="N77" s="523"/>
      <c r="O77" s="523"/>
      <c r="P77" s="524"/>
      <c r="Q77" s="524"/>
      <c r="R77" s="498"/>
      <c r="S77" s="498"/>
      <c r="T77" s="498"/>
      <c r="U77" s="498"/>
      <c r="V77" s="498"/>
      <c r="W77" s="498"/>
      <c r="X77" s="498"/>
      <c r="Y77" s="498"/>
      <c r="Z77" s="498"/>
      <c r="AA77" s="498"/>
      <c r="AB77" s="522"/>
      <c r="AC77" s="522"/>
      <c r="AD77" s="525"/>
      <c r="AF77" s="50"/>
    </row>
    <row r="78" spans="1:32" ht="25.5" customHeight="1">
      <c r="A78" s="517">
        <v>9</v>
      </c>
      <c r="B78" s="518"/>
      <c r="C78" s="104"/>
      <c r="D78" s="444"/>
      <c r="E78" s="441"/>
      <c r="F78" s="526"/>
      <c r="G78" s="522"/>
      <c r="H78" s="522"/>
      <c r="I78" s="522"/>
      <c r="J78" s="522"/>
      <c r="K78" s="522"/>
      <c r="L78" s="522"/>
      <c r="M78" s="51"/>
      <c r="N78" s="523"/>
      <c r="O78" s="523"/>
      <c r="P78" s="524"/>
      <c r="Q78" s="524"/>
      <c r="R78" s="498"/>
      <c r="S78" s="498"/>
      <c r="T78" s="498"/>
      <c r="U78" s="498"/>
      <c r="V78" s="498"/>
      <c r="W78" s="498"/>
      <c r="X78" s="498"/>
      <c r="Y78" s="498"/>
      <c r="Z78" s="498"/>
      <c r="AA78" s="498"/>
      <c r="AB78" s="522"/>
      <c r="AC78" s="522"/>
      <c r="AD78" s="525"/>
      <c r="AF78" s="50"/>
    </row>
    <row r="79" spans="1:32" ht="25.5" customHeight="1">
      <c r="A79" s="517">
        <v>10</v>
      </c>
      <c r="B79" s="518"/>
      <c r="C79" s="104"/>
      <c r="D79" s="444"/>
      <c r="E79" s="441"/>
      <c r="F79" s="526"/>
      <c r="G79" s="522"/>
      <c r="H79" s="522"/>
      <c r="I79" s="522"/>
      <c r="J79" s="522"/>
      <c r="K79" s="522"/>
      <c r="L79" s="522"/>
      <c r="M79" s="51"/>
      <c r="N79" s="523"/>
      <c r="O79" s="523"/>
      <c r="P79" s="524"/>
      <c r="Q79" s="524"/>
      <c r="R79" s="498"/>
      <c r="S79" s="498"/>
      <c r="T79" s="498"/>
      <c r="U79" s="498"/>
      <c r="V79" s="498"/>
      <c r="W79" s="498"/>
      <c r="X79" s="498"/>
      <c r="Y79" s="498"/>
      <c r="Z79" s="498"/>
      <c r="AA79" s="498"/>
      <c r="AB79" s="522"/>
      <c r="AC79" s="522"/>
      <c r="AD79" s="525"/>
      <c r="AF79" s="50"/>
    </row>
    <row r="80" spans="1:32" ht="26.25" customHeight="1" thickBot="1">
      <c r="A80" s="527" t="s">
        <v>644</v>
      </c>
      <c r="B80" s="527"/>
      <c r="C80" s="527"/>
      <c r="D80" s="527"/>
      <c r="E80" s="527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528" t="s">
        <v>111</v>
      </c>
      <c r="B81" s="529"/>
      <c r="C81" s="443" t="s">
        <v>2</v>
      </c>
      <c r="D81" s="443" t="s">
        <v>37</v>
      </c>
      <c r="E81" s="443" t="s">
        <v>121</v>
      </c>
      <c r="F81" s="530" t="s">
        <v>38</v>
      </c>
      <c r="G81" s="530"/>
      <c r="H81" s="530"/>
      <c r="I81" s="530"/>
      <c r="J81" s="530"/>
      <c r="K81" s="531" t="s">
        <v>58</v>
      </c>
      <c r="L81" s="532"/>
      <c r="M81" s="532"/>
      <c r="N81" s="532"/>
      <c r="O81" s="532"/>
      <c r="P81" s="532"/>
      <c r="Q81" s="532"/>
      <c r="R81" s="532"/>
      <c r="S81" s="533"/>
      <c r="T81" s="530" t="s">
        <v>49</v>
      </c>
      <c r="U81" s="530"/>
      <c r="V81" s="531" t="s">
        <v>50</v>
      </c>
      <c r="W81" s="533"/>
      <c r="X81" s="532" t="s">
        <v>51</v>
      </c>
      <c r="Y81" s="532"/>
      <c r="Z81" s="532"/>
      <c r="AA81" s="532"/>
      <c r="AB81" s="532"/>
      <c r="AC81" s="532"/>
      <c r="AD81" s="534"/>
      <c r="AF81" s="50"/>
    </row>
    <row r="82" spans="1:32" ht="33.75" customHeight="1">
      <c r="A82" s="543">
        <v>1</v>
      </c>
      <c r="B82" s="544"/>
      <c r="C82" s="445"/>
      <c r="D82" s="445"/>
      <c r="E82" s="65"/>
      <c r="F82" s="545"/>
      <c r="G82" s="546"/>
      <c r="H82" s="546"/>
      <c r="I82" s="546"/>
      <c r="J82" s="547"/>
      <c r="K82" s="548"/>
      <c r="L82" s="549"/>
      <c r="M82" s="549"/>
      <c r="N82" s="549"/>
      <c r="O82" s="549"/>
      <c r="P82" s="549"/>
      <c r="Q82" s="549"/>
      <c r="R82" s="549"/>
      <c r="S82" s="550"/>
      <c r="T82" s="551"/>
      <c r="U82" s="552"/>
      <c r="V82" s="553"/>
      <c r="W82" s="553"/>
      <c r="X82" s="554"/>
      <c r="Y82" s="554"/>
      <c r="Z82" s="554"/>
      <c r="AA82" s="554"/>
      <c r="AB82" s="554"/>
      <c r="AC82" s="554"/>
      <c r="AD82" s="555"/>
      <c r="AF82" s="50"/>
    </row>
    <row r="83" spans="1:32" ht="30" customHeight="1">
      <c r="A83" s="535">
        <f>A82+1</f>
        <v>2</v>
      </c>
      <c r="B83" s="536"/>
      <c r="C83" s="444"/>
      <c r="D83" s="444"/>
      <c r="E83" s="32"/>
      <c r="F83" s="536"/>
      <c r="G83" s="536"/>
      <c r="H83" s="536"/>
      <c r="I83" s="536"/>
      <c r="J83" s="536"/>
      <c r="K83" s="537"/>
      <c r="L83" s="538"/>
      <c r="M83" s="538"/>
      <c r="N83" s="538"/>
      <c r="O83" s="538"/>
      <c r="P83" s="538"/>
      <c r="Q83" s="538"/>
      <c r="R83" s="538"/>
      <c r="S83" s="539"/>
      <c r="T83" s="540"/>
      <c r="U83" s="540"/>
      <c r="V83" s="540"/>
      <c r="W83" s="540"/>
      <c r="X83" s="541"/>
      <c r="Y83" s="541"/>
      <c r="Z83" s="541"/>
      <c r="AA83" s="541"/>
      <c r="AB83" s="541"/>
      <c r="AC83" s="541"/>
      <c r="AD83" s="542"/>
      <c r="AF83" s="50"/>
    </row>
    <row r="84" spans="1:32" ht="30" customHeight="1">
      <c r="A84" s="535">
        <f t="shared" ref="A84:A88" si="11">A83+1</f>
        <v>3</v>
      </c>
      <c r="B84" s="536"/>
      <c r="C84" s="444"/>
      <c r="D84" s="444"/>
      <c r="E84" s="32"/>
      <c r="F84" s="536"/>
      <c r="G84" s="536"/>
      <c r="H84" s="536"/>
      <c r="I84" s="536"/>
      <c r="J84" s="536"/>
      <c r="K84" s="537"/>
      <c r="L84" s="538"/>
      <c r="M84" s="538"/>
      <c r="N84" s="538"/>
      <c r="O84" s="538"/>
      <c r="P84" s="538"/>
      <c r="Q84" s="538"/>
      <c r="R84" s="538"/>
      <c r="S84" s="539"/>
      <c r="T84" s="540"/>
      <c r="U84" s="540"/>
      <c r="V84" s="540"/>
      <c r="W84" s="540"/>
      <c r="X84" s="541"/>
      <c r="Y84" s="541"/>
      <c r="Z84" s="541"/>
      <c r="AA84" s="541"/>
      <c r="AB84" s="541"/>
      <c r="AC84" s="541"/>
      <c r="AD84" s="542"/>
      <c r="AF84" s="50"/>
    </row>
    <row r="85" spans="1:32" ht="30" customHeight="1">
      <c r="A85" s="535">
        <f t="shared" si="11"/>
        <v>4</v>
      </c>
      <c r="B85" s="536"/>
      <c r="C85" s="444"/>
      <c r="D85" s="444"/>
      <c r="E85" s="32"/>
      <c r="F85" s="536"/>
      <c r="G85" s="536"/>
      <c r="H85" s="536"/>
      <c r="I85" s="536"/>
      <c r="J85" s="536"/>
      <c r="K85" s="537"/>
      <c r="L85" s="538"/>
      <c r="M85" s="538"/>
      <c r="N85" s="538"/>
      <c r="O85" s="538"/>
      <c r="P85" s="538"/>
      <c r="Q85" s="538"/>
      <c r="R85" s="538"/>
      <c r="S85" s="539"/>
      <c r="T85" s="540"/>
      <c r="U85" s="540"/>
      <c r="V85" s="540"/>
      <c r="W85" s="540"/>
      <c r="X85" s="541"/>
      <c r="Y85" s="541"/>
      <c r="Z85" s="541"/>
      <c r="AA85" s="541"/>
      <c r="AB85" s="541"/>
      <c r="AC85" s="541"/>
      <c r="AD85" s="542"/>
      <c r="AF85" s="50"/>
    </row>
    <row r="86" spans="1:32" ht="30" customHeight="1">
      <c r="A86" s="535">
        <f t="shared" si="11"/>
        <v>5</v>
      </c>
      <c r="B86" s="536"/>
      <c r="C86" s="444"/>
      <c r="D86" s="444"/>
      <c r="E86" s="32"/>
      <c r="F86" s="536"/>
      <c r="G86" s="536"/>
      <c r="H86" s="536"/>
      <c r="I86" s="536"/>
      <c r="J86" s="536"/>
      <c r="K86" s="537"/>
      <c r="L86" s="538"/>
      <c r="M86" s="538"/>
      <c r="N86" s="538"/>
      <c r="O86" s="538"/>
      <c r="P86" s="538"/>
      <c r="Q86" s="538"/>
      <c r="R86" s="538"/>
      <c r="S86" s="539"/>
      <c r="T86" s="540"/>
      <c r="U86" s="540"/>
      <c r="V86" s="540"/>
      <c r="W86" s="540"/>
      <c r="X86" s="541"/>
      <c r="Y86" s="541"/>
      <c r="Z86" s="541"/>
      <c r="AA86" s="541"/>
      <c r="AB86" s="541"/>
      <c r="AC86" s="541"/>
      <c r="AD86" s="542"/>
      <c r="AF86" s="50"/>
    </row>
    <row r="87" spans="1:32" ht="30" customHeight="1">
      <c r="A87" s="535">
        <f t="shared" si="11"/>
        <v>6</v>
      </c>
      <c r="B87" s="536"/>
      <c r="C87" s="444"/>
      <c r="D87" s="444"/>
      <c r="E87" s="32"/>
      <c r="F87" s="536"/>
      <c r="G87" s="536"/>
      <c r="H87" s="536"/>
      <c r="I87" s="536"/>
      <c r="J87" s="536"/>
      <c r="K87" s="537"/>
      <c r="L87" s="538"/>
      <c r="M87" s="538"/>
      <c r="N87" s="538"/>
      <c r="O87" s="538"/>
      <c r="P87" s="538"/>
      <c r="Q87" s="538"/>
      <c r="R87" s="538"/>
      <c r="S87" s="539"/>
      <c r="T87" s="540"/>
      <c r="U87" s="540"/>
      <c r="V87" s="540"/>
      <c r="W87" s="540"/>
      <c r="X87" s="541"/>
      <c r="Y87" s="541"/>
      <c r="Z87" s="541"/>
      <c r="AA87" s="541"/>
      <c r="AB87" s="541"/>
      <c r="AC87" s="541"/>
      <c r="AD87" s="542"/>
      <c r="AF87" s="50"/>
    </row>
    <row r="88" spans="1:32" ht="30" customHeight="1">
      <c r="A88" s="535">
        <f t="shared" si="11"/>
        <v>7</v>
      </c>
      <c r="B88" s="536"/>
      <c r="C88" s="444"/>
      <c r="D88" s="444"/>
      <c r="E88" s="32"/>
      <c r="F88" s="536"/>
      <c r="G88" s="536"/>
      <c r="H88" s="536"/>
      <c r="I88" s="536"/>
      <c r="J88" s="536"/>
      <c r="K88" s="537"/>
      <c r="L88" s="538"/>
      <c r="M88" s="538"/>
      <c r="N88" s="538"/>
      <c r="O88" s="538"/>
      <c r="P88" s="538"/>
      <c r="Q88" s="538"/>
      <c r="R88" s="538"/>
      <c r="S88" s="539"/>
      <c r="T88" s="540"/>
      <c r="U88" s="540"/>
      <c r="V88" s="540"/>
      <c r="W88" s="540"/>
      <c r="X88" s="541"/>
      <c r="Y88" s="541"/>
      <c r="Z88" s="541"/>
      <c r="AA88" s="541"/>
      <c r="AB88" s="541"/>
      <c r="AC88" s="541"/>
      <c r="AD88" s="542"/>
      <c r="AF88" s="50"/>
    </row>
    <row r="89" spans="1:32" ht="36" thickBot="1">
      <c r="A89" s="527" t="s">
        <v>625</v>
      </c>
      <c r="B89" s="527"/>
      <c r="C89" s="527"/>
      <c r="D89" s="527"/>
      <c r="E89" s="527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556" t="s">
        <v>111</v>
      </c>
      <c r="B90" s="530"/>
      <c r="C90" s="557" t="s">
        <v>52</v>
      </c>
      <c r="D90" s="557"/>
      <c r="E90" s="557" t="s">
        <v>53</v>
      </c>
      <c r="F90" s="557"/>
      <c r="G90" s="557"/>
      <c r="H90" s="557"/>
      <c r="I90" s="557"/>
      <c r="J90" s="557"/>
      <c r="K90" s="557" t="s">
        <v>54</v>
      </c>
      <c r="L90" s="557"/>
      <c r="M90" s="557"/>
      <c r="N90" s="557"/>
      <c r="O90" s="557"/>
      <c r="P90" s="557"/>
      <c r="Q90" s="557"/>
      <c r="R90" s="557"/>
      <c r="S90" s="557"/>
      <c r="T90" s="557" t="s">
        <v>55</v>
      </c>
      <c r="U90" s="557"/>
      <c r="V90" s="557" t="s">
        <v>56</v>
      </c>
      <c r="W90" s="557"/>
      <c r="X90" s="557"/>
      <c r="Y90" s="557" t="s">
        <v>51</v>
      </c>
      <c r="Z90" s="557"/>
      <c r="AA90" s="557"/>
      <c r="AB90" s="557"/>
      <c r="AC90" s="557"/>
      <c r="AD90" s="558"/>
      <c r="AF90" s="50"/>
    </row>
    <row r="91" spans="1:32" ht="30.75" customHeight="1">
      <c r="A91" s="543">
        <v>1</v>
      </c>
      <c r="B91" s="544"/>
      <c r="C91" s="559">
        <v>9</v>
      </c>
      <c r="D91" s="559"/>
      <c r="E91" s="559" t="s">
        <v>127</v>
      </c>
      <c r="F91" s="559"/>
      <c r="G91" s="559"/>
      <c r="H91" s="559"/>
      <c r="I91" s="559"/>
      <c r="J91" s="559"/>
      <c r="K91" s="559" t="s">
        <v>136</v>
      </c>
      <c r="L91" s="559"/>
      <c r="M91" s="559"/>
      <c r="N91" s="559"/>
      <c r="O91" s="559"/>
      <c r="P91" s="559"/>
      <c r="Q91" s="559"/>
      <c r="R91" s="559"/>
      <c r="S91" s="559"/>
      <c r="T91" s="559" t="s">
        <v>128</v>
      </c>
      <c r="U91" s="559"/>
      <c r="V91" s="560" t="s">
        <v>133</v>
      </c>
      <c r="W91" s="560"/>
      <c r="X91" s="560"/>
      <c r="Y91" s="561"/>
      <c r="Z91" s="561"/>
      <c r="AA91" s="561"/>
      <c r="AB91" s="561"/>
      <c r="AC91" s="561"/>
      <c r="AD91" s="562"/>
      <c r="AF91" s="50"/>
    </row>
    <row r="92" spans="1:32" ht="30.75" customHeight="1">
      <c r="A92" s="535">
        <v>2</v>
      </c>
      <c r="B92" s="536"/>
      <c r="C92" s="570"/>
      <c r="D92" s="570"/>
      <c r="E92" s="570"/>
      <c r="F92" s="570"/>
      <c r="G92" s="570"/>
      <c r="H92" s="570"/>
      <c r="I92" s="570"/>
      <c r="J92" s="570"/>
      <c r="K92" s="570"/>
      <c r="L92" s="570"/>
      <c r="M92" s="570"/>
      <c r="N92" s="570"/>
      <c r="O92" s="570"/>
      <c r="P92" s="570"/>
      <c r="Q92" s="570"/>
      <c r="R92" s="570"/>
      <c r="S92" s="570"/>
      <c r="T92" s="571"/>
      <c r="U92" s="571"/>
      <c r="V92" s="572"/>
      <c r="W92" s="572"/>
      <c r="X92" s="572"/>
      <c r="Y92" s="563"/>
      <c r="Z92" s="563"/>
      <c r="AA92" s="563"/>
      <c r="AB92" s="563"/>
      <c r="AC92" s="563"/>
      <c r="AD92" s="564"/>
      <c r="AF92" s="50"/>
    </row>
    <row r="93" spans="1:32" ht="30.75" customHeight="1" thickBot="1">
      <c r="A93" s="565">
        <v>3</v>
      </c>
      <c r="B93" s="566"/>
      <c r="C93" s="567"/>
      <c r="D93" s="567"/>
      <c r="E93" s="567"/>
      <c r="F93" s="567"/>
      <c r="G93" s="567"/>
      <c r="H93" s="567"/>
      <c r="I93" s="567"/>
      <c r="J93" s="567"/>
      <c r="K93" s="567"/>
      <c r="L93" s="567"/>
      <c r="M93" s="567"/>
      <c r="N93" s="567"/>
      <c r="O93" s="567"/>
      <c r="P93" s="567"/>
      <c r="Q93" s="567"/>
      <c r="R93" s="567"/>
      <c r="S93" s="567"/>
      <c r="T93" s="567"/>
      <c r="U93" s="567"/>
      <c r="V93" s="573"/>
      <c r="W93" s="573"/>
      <c r="X93" s="573"/>
      <c r="Y93" s="568"/>
      <c r="Z93" s="568"/>
      <c r="AA93" s="568"/>
      <c r="AB93" s="568"/>
      <c r="AC93" s="568"/>
      <c r="AD93" s="569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6" fitToHeight="2" orientation="landscape" r:id="rId1"/>
  <rowBreaks count="1" manualBreakCount="1">
    <brk id="53" max="29" man="1"/>
  </rowBrea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26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I14" sqref="AI14"/>
    </sheetView>
  </sheetViews>
  <sheetFormatPr defaultRowHeight="13.5"/>
  <cols>
    <col min="1" max="1" width="7.5" style="68" bestFit="1" customWidth="1"/>
    <col min="2" max="17" width="5.5" style="68" bestFit="1" customWidth="1"/>
    <col min="18" max="18" width="6" style="68" customWidth="1"/>
    <col min="19" max="32" width="5.5" style="68" bestFit="1" customWidth="1"/>
    <col min="33" max="33" width="6.5" style="68" bestFit="1" customWidth="1"/>
    <col min="34" max="16384" width="9" style="68"/>
  </cols>
  <sheetData>
    <row r="1" spans="1:33" ht="33.75" customHeight="1" thickBot="1">
      <c r="A1" s="574" t="s">
        <v>180</v>
      </c>
      <c r="B1" s="574"/>
      <c r="C1" s="574"/>
      <c r="D1" s="574"/>
      <c r="E1" s="574"/>
      <c r="F1" s="574"/>
      <c r="G1" s="574"/>
      <c r="H1" s="574"/>
    </row>
    <row r="2" spans="1:33" ht="21.75" customHeight="1" thickBot="1">
      <c r="A2" s="86" t="s">
        <v>59</v>
      </c>
      <c r="B2" s="88" t="s">
        <v>73</v>
      </c>
      <c r="C2" s="89" t="s">
        <v>74</v>
      </c>
      <c r="D2" s="89" t="s">
        <v>75</v>
      </c>
      <c r="E2" s="89" t="s">
        <v>76</v>
      </c>
      <c r="F2" s="89" t="s">
        <v>77</v>
      </c>
      <c r="G2" s="89" t="s">
        <v>78</v>
      </c>
      <c r="H2" s="89" t="s">
        <v>79</v>
      </c>
      <c r="I2" s="89" t="s">
        <v>80</v>
      </c>
      <c r="J2" s="89" t="s">
        <v>81</v>
      </c>
      <c r="K2" s="89" t="s">
        <v>82</v>
      </c>
      <c r="L2" s="89" t="s">
        <v>83</v>
      </c>
      <c r="M2" s="89" t="s">
        <v>84</v>
      </c>
      <c r="N2" s="89" t="s">
        <v>85</v>
      </c>
      <c r="O2" s="89" t="s">
        <v>86</v>
      </c>
      <c r="P2" s="89" t="s">
        <v>87</v>
      </c>
      <c r="Q2" s="89" t="s">
        <v>88</v>
      </c>
      <c r="R2" s="89" t="s">
        <v>89</v>
      </c>
      <c r="S2" s="89" t="s">
        <v>90</v>
      </c>
      <c r="T2" s="89" t="s">
        <v>91</v>
      </c>
      <c r="U2" s="89" t="s">
        <v>92</v>
      </c>
      <c r="V2" s="89" t="s">
        <v>93</v>
      </c>
      <c r="W2" s="89" t="s">
        <v>94</v>
      </c>
      <c r="X2" s="89" t="s">
        <v>95</v>
      </c>
      <c r="Y2" s="89" t="s">
        <v>96</v>
      </c>
      <c r="Z2" s="89" t="s">
        <v>97</v>
      </c>
      <c r="AA2" s="89" t="s">
        <v>98</v>
      </c>
      <c r="AB2" s="89" t="s">
        <v>99</v>
      </c>
      <c r="AC2" s="89" t="s">
        <v>100</v>
      </c>
      <c r="AD2" s="89" t="s">
        <v>101</v>
      </c>
      <c r="AE2" s="89" t="s">
        <v>102</v>
      </c>
      <c r="AF2" s="90" t="s">
        <v>103</v>
      </c>
      <c r="AG2" s="86" t="s">
        <v>105</v>
      </c>
    </row>
    <row r="3" spans="1:33" ht="21.75" customHeight="1">
      <c r="A3" s="113" t="s">
        <v>60</v>
      </c>
      <c r="B3" s="114">
        <f>'01'!AD6</f>
        <v>0.875</v>
      </c>
      <c r="C3" s="114">
        <f>'02'!AD6</f>
        <v>0.91666666666666663</v>
      </c>
      <c r="D3" s="115">
        <f>'03'!AD6</f>
        <v>1</v>
      </c>
      <c r="E3" s="115"/>
      <c r="F3" s="115">
        <f>'05'!AD6</f>
        <v>0.66666666666666663</v>
      </c>
      <c r="G3" s="115">
        <f>'06'!AD6</f>
        <v>0.75</v>
      </c>
      <c r="H3" s="115">
        <f>'07'!AD6</f>
        <v>0.41666666666666669</v>
      </c>
      <c r="I3" s="115">
        <f>'08'!AD6</f>
        <v>1</v>
      </c>
      <c r="J3" s="115">
        <f>'09'!AD6</f>
        <v>0.25</v>
      </c>
      <c r="K3" s="115">
        <f>'10'!AD6</f>
        <v>0</v>
      </c>
      <c r="L3" s="115"/>
      <c r="M3" s="115">
        <f>'12'!AD6</f>
        <v>0</v>
      </c>
      <c r="N3" s="116">
        <f>'13'!AD6</f>
        <v>0.29166666666666669</v>
      </c>
      <c r="O3" s="115">
        <f>'14'!AD6</f>
        <v>0.58333333333333337</v>
      </c>
      <c r="P3" s="115">
        <f>'15'!AD6</f>
        <v>0.95833333333333337</v>
      </c>
      <c r="Q3" s="115">
        <f>'16'!AD6</f>
        <v>0.875</v>
      </c>
      <c r="R3" s="115">
        <f>'17'!AD6</f>
        <v>1</v>
      </c>
      <c r="S3" s="115"/>
      <c r="T3" s="115">
        <f>'19'!AD6</f>
        <v>1</v>
      </c>
      <c r="U3" s="115">
        <f>'20'!AD6</f>
        <v>1</v>
      </c>
      <c r="V3" s="115">
        <f>'21'!AD6</f>
        <v>1</v>
      </c>
      <c r="W3" s="116">
        <f>'22'!AD6</f>
        <v>1</v>
      </c>
      <c r="X3" s="115">
        <f>'23'!AD6</f>
        <v>0.66666666666666663</v>
      </c>
      <c r="Y3" s="115">
        <f>'24'!AD6</f>
        <v>0</v>
      </c>
      <c r="Z3" s="115"/>
      <c r="AA3" s="115">
        <f>'26'!AD6</f>
        <v>0.625</v>
      </c>
      <c r="AB3" s="115">
        <f>'27'!AD6</f>
        <v>1</v>
      </c>
      <c r="AC3" s="115">
        <f>'28'!AD6</f>
        <v>1</v>
      </c>
      <c r="AD3" s="115">
        <f>'29'!AD6</f>
        <v>1</v>
      </c>
      <c r="AE3" s="115">
        <f>'30'!AD6</f>
        <v>1</v>
      </c>
      <c r="AF3" s="117"/>
      <c r="AG3" s="118">
        <f>SUM(B3:AF3)/30</f>
        <v>0.62916666666666665</v>
      </c>
    </row>
    <row r="4" spans="1:33" ht="21.75" customHeight="1">
      <c r="A4" s="101" t="s">
        <v>61</v>
      </c>
      <c r="B4" s="98">
        <f>'01'!AD7</f>
        <v>0.875</v>
      </c>
      <c r="C4" s="98">
        <f>'02'!AD7</f>
        <v>1</v>
      </c>
      <c r="D4" s="77">
        <f>'03'!AD7</f>
        <v>0</v>
      </c>
      <c r="E4" s="77"/>
      <c r="F4" s="77">
        <f>'05'!AD7</f>
        <v>0</v>
      </c>
      <c r="G4" s="119">
        <f>'06'!AD7</f>
        <v>0</v>
      </c>
      <c r="H4" s="77">
        <f>'07'!AD7</f>
        <v>0</v>
      </c>
      <c r="I4" s="77">
        <f>'08'!AD7</f>
        <v>0</v>
      </c>
      <c r="J4" s="77">
        <f>'09'!AD7+'09'!AD8</f>
        <v>0.20833333333333331</v>
      </c>
      <c r="K4" s="77">
        <f>'10'!AD7</f>
        <v>0</v>
      </c>
      <c r="L4" s="77"/>
      <c r="M4" s="77">
        <f>'12'!AD7</f>
        <v>0</v>
      </c>
      <c r="N4" s="77">
        <f>'13'!AD7</f>
        <v>0</v>
      </c>
      <c r="O4" s="77">
        <f>'14'!AD7</f>
        <v>0.79166666666666663</v>
      </c>
      <c r="P4" s="77">
        <f>'15'!AD7</f>
        <v>0</v>
      </c>
      <c r="Q4" s="77">
        <f>'16'!AD7</f>
        <v>0</v>
      </c>
      <c r="R4" s="77">
        <f>'17'!AD7</f>
        <v>0.25</v>
      </c>
      <c r="S4" s="77"/>
      <c r="T4" s="77">
        <f>'19'!AD7</f>
        <v>0.5</v>
      </c>
      <c r="U4" s="77">
        <f>'20'!AD7</f>
        <v>0</v>
      </c>
      <c r="V4" s="77">
        <f>'21'!AD7</f>
        <v>0</v>
      </c>
      <c r="W4" s="77">
        <f>'22'!AD7</f>
        <v>0.91666666666666663</v>
      </c>
      <c r="X4" s="77">
        <f>'23'!AD7</f>
        <v>0.79166666666666663</v>
      </c>
      <c r="Y4" s="77">
        <f>'24'!AD7</f>
        <v>0.16666666666666666</v>
      </c>
      <c r="Z4" s="77"/>
      <c r="AA4" s="77">
        <f>'26'!AD7</f>
        <v>0</v>
      </c>
      <c r="AB4" s="77">
        <f>'27'!AD7</f>
        <v>0</v>
      </c>
      <c r="AC4" s="77">
        <f>'28'!AD7</f>
        <v>0</v>
      </c>
      <c r="AD4" s="77">
        <f>'29'!AD7</f>
        <v>0</v>
      </c>
      <c r="AE4" s="77">
        <f>'30'!AD7</f>
        <v>0.33333333333333331</v>
      </c>
      <c r="AF4" s="78"/>
      <c r="AG4" s="79">
        <f t="shared" ref="AG4:AG25" si="0">SUM(B4:AF4)/30</f>
        <v>0.19444444444444448</v>
      </c>
    </row>
    <row r="5" spans="1:33" ht="21.75" customHeight="1">
      <c r="A5" s="101" t="s">
        <v>62</v>
      </c>
      <c r="B5" s="98">
        <f>'01'!AD8</f>
        <v>0.91666666666666663</v>
      </c>
      <c r="C5" s="98">
        <f>'02'!AD8</f>
        <v>1</v>
      </c>
      <c r="D5" s="77">
        <f>'03'!AD8</f>
        <v>1</v>
      </c>
      <c r="E5" s="77"/>
      <c r="F5" s="77">
        <f>'05'!AD8</f>
        <v>0.875</v>
      </c>
      <c r="G5" s="77">
        <f>'06'!AD8</f>
        <v>0.75</v>
      </c>
      <c r="H5" s="77">
        <f>'07'!AD8</f>
        <v>0</v>
      </c>
      <c r="I5" s="77">
        <f>'08'!AD8</f>
        <v>1</v>
      </c>
      <c r="J5" s="77">
        <f>'09'!AD9</f>
        <v>1</v>
      </c>
      <c r="K5" s="77">
        <f>'10'!AD8</f>
        <v>0.54166666666666663</v>
      </c>
      <c r="L5" s="77"/>
      <c r="M5" s="77">
        <f>'12'!AD8</f>
        <v>0</v>
      </c>
      <c r="N5" s="77">
        <f>'13'!AD8</f>
        <v>0.66666666666666663</v>
      </c>
      <c r="O5" s="77">
        <f>'14'!AD8</f>
        <v>1</v>
      </c>
      <c r="P5" s="77">
        <f>'15'!AD8</f>
        <v>1</v>
      </c>
      <c r="Q5" s="77">
        <f>'16'!AD8+'16'!AD9</f>
        <v>0.875</v>
      </c>
      <c r="R5" s="77">
        <f>'17'!AD8</f>
        <v>0</v>
      </c>
      <c r="S5" s="77"/>
      <c r="T5" s="77">
        <f>'19'!AD8</f>
        <v>0.375</v>
      </c>
      <c r="U5" s="77">
        <f>'20'!AD8</f>
        <v>0</v>
      </c>
      <c r="V5" s="77">
        <f>'21'!AD8</f>
        <v>0</v>
      </c>
      <c r="W5" s="119">
        <f>'22'!AD8</f>
        <v>0</v>
      </c>
      <c r="X5" s="77">
        <f>'23'!AD8</f>
        <v>0.41666666666666669</v>
      </c>
      <c r="Y5" s="77">
        <f>'24'!AD8</f>
        <v>0</v>
      </c>
      <c r="Z5" s="77"/>
      <c r="AA5" s="77">
        <f>'26'!AD8</f>
        <v>0</v>
      </c>
      <c r="AB5" s="77">
        <f>'27'!AD8</f>
        <v>0</v>
      </c>
      <c r="AC5" s="77">
        <f>'28'!AD8</f>
        <v>0.54166666666666663</v>
      </c>
      <c r="AD5" s="77">
        <f>'29'!AD8</f>
        <v>1</v>
      </c>
      <c r="AE5" s="77">
        <f>'30'!AD8</f>
        <v>0.79166666666666663</v>
      </c>
      <c r="AF5" s="78"/>
      <c r="AG5" s="79">
        <f t="shared" si="0"/>
        <v>0.45833333333333326</v>
      </c>
    </row>
    <row r="6" spans="1:33" ht="21.75" customHeight="1">
      <c r="A6" s="101" t="s">
        <v>63</v>
      </c>
      <c r="B6" s="98">
        <f>'01'!AD9</f>
        <v>0.45833333333333331</v>
      </c>
      <c r="C6" s="98">
        <f>'02'!AD9</f>
        <v>0.29166666666666669</v>
      </c>
      <c r="D6" s="77">
        <f>'03'!AD9</f>
        <v>0</v>
      </c>
      <c r="E6" s="77"/>
      <c r="F6" s="77">
        <f>'05'!AD9</f>
        <v>0.70833333333333337</v>
      </c>
      <c r="G6" s="77">
        <f>'06'!AD9</f>
        <v>1</v>
      </c>
      <c r="H6" s="77">
        <f>'07'!AD9</f>
        <v>1</v>
      </c>
      <c r="I6" s="77">
        <f>'08'!AD9+'08'!AD10</f>
        <v>0.875</v>
      </c>
      <c r="J6" s="77">
        <f>'09'!AD10</f>
        <v>0.16666666666666666</v>
      </c>
      <c r="K6" s="77">
        <f>'10'!AD9</f>
        <v>0.875</v>
      </c>
      <c r="L6" s="77"/>
      <c r="M6" s="77">
        <f>'12'!AD9</f>
        <v>0.95833333333333337</v>
      </c>
      <c r="N6" s="77">
        <f>'13'!AD9</f>
        <v>1</v>
      </c>
      <c r="O6" s="77">
        <f>'14'!AD9</f>
        <v>1</v>
      </c>
      <c r="P6" s="77">
        <f>'15'!AD9</f>
        <v>0.79166666666666663</v>
      </c>
      <c r="Q6" s="77">
        <f>'16'!AD10</f>
        <v>0.54166666666666663</v>
      </c>
      <c r="R6" s="77">
        <f>'17'!AD9</f>
        <v>1</v>
      </c>
      <c r="S6" s="77"/>
      <c r="T6" s="77">
        <f>'19'!AD9</f>
        <v>0.95833333333333337</v>
      </c>
      <c r="U6" s="77">
        <f>'20'!AD9</f>
        <v>1</v>
      </c>
      <c r="V6" s="77">
        <f>'21'!AD9</f>
        <v>0.5</v>
      </c>
      <c r="W6" s="77">
        <f>'22'!AD9</f>
        <v>1</v>
      </c>
      <c r="X6" s="77">
        <f>'23'!AD9</f>
        <v>0.875</v>
      </c>
      <c r="Y6" s="77">
        <f>'24'!AD9</f>
        <v>1</v>
      </c>
      <c r="Z6" s="77"/>
      <c r="AA6" s="77">
        <f>'26'!AD9</f>
        <v>0.54166666666666663</v>
      </c>
      <c r="AB6" s="77">
        <f>'27'!AD9</f>
        <v>0.54166666666666663</v>
      </c>
      <c r="AC6" s="77">
        <f>'28'!AD9</f>
        <v>1</v>
      </c>
      <c r="AD6" s="77">
        <f>'29'!AD9</f>
        <v>1</v>
      </c>
      <c r="AE6" s="77">
        <f>'30'!AD9</f>
        <v>0.75</v>
      </c>
      <c r="AF6" s="78"/>
      <c r="AG6" s="79">
        <f t="shared" si="0"/>
        <v>0.6611111111111112</v>
      </c>
    </row>
    <row r="7" spans="1:33" ht="21.75" customHeight="1">
      <c r="A7" s="101" t="s">
        <v>64</v>
      </c>
      <c r="B7" s="98">
        <f>'01'!AD10</f>
        <v>1</v>
      </c>
      <c r="C7" s="98">
        <f>'02'!AD10</f>
        <v>1</v>
      </c>
      <c r="D7" s="77">
        <f>'03'!AD10</f>
        <v>1</v>
      </c>
      <c r="E7" s="77"/>
      <c r="F7" s="77">
        <f>'05'!AD10</f>
        <v>0</v>
      </c>
      <c r="G7" s="77">
        <f>'06'!AD10</f>
        <v>0</v>
      </c>
      <c r="H7" s="77">
        <f>'07'!AD10</f>
        <v>0.95833333333333337</v>
      </c>
      <c r="I7" s="77">
        <f>'08'!AD11</f>
        <v>0.75</v>
      </c>
      <c r="J7" s="77">
        <f>'09'!AD11+'09'!AD12</f>
        <v>0.25</v>
      </c>
      <c r="K7" s="77">
        <f>'10'!AD10</f>
        <v>0</v>
      </c>
      <c r="L7" s="77"/>
      <c r="M7" s="77">
        <f>'12'!AD10</f>
        <v>0</v>
      </c>
      <c r="N7" s="77">
        <f>'13'!AD10</f>
        <v>0.70833333333333337</v>
      </c>
      <c r="O7" s="77">
        <f>'14'!AD10</f>
        <v>1</v>
      </c>
      <c r="P7" s="77">
        <f>'15'!AD10</f>
        <v>1</v>
      </c>
      <c r="Q7" s="77">
        <f>'16'!AD11</f>
        <v>1</v>
      </c>
      <c r="R7" s="77">
        <f>'17'!AD10</f>
        <v>0</v>
      </c>
      <c r="S7" s="77"/>
      <c r="T7" s="77">
        <f>'19'!AD10</f>
        <v>0.58333333333333337</v>
      </c>
      <c r="U7" s="77">
        <f>'20'!AD10</f>
        <v>0</v>
      </c>
      <c r="V7" s="77">
        <f>'21'!AD10</f>
        <v>0</v>
      </c>
      <c r="W7" s="77">
        <f>'22'!AD10</f>
        <v>0</v>
      </c>
      <c r="X7" s="77">
        <f>'23'!AD10</f>
        <v>0.83333333333333337</v>
      </c>
      <c r="Y7" s="77">
        <f>'24'!AD10+'24'!AD11</f>
        <v>0.91666666666666663</v>
      </c>
      <c r="Z7" s="77"/>
      <c r="AA7" s="77">
        <f>'26'!AD10</f>
        <v>0</v>
      </c>
      <c r="AB7" s="77">
        <f>'27'!AD10</f>
        <v>1</v>
      </c>
      <c r="AC7" s="77">
        <f>'28'!AD10</f>
        <v>1</v>
      </c>
      <c r="AD7" s="77">
        <f>'29'!AD10</f>
        <v>0.75</v>
      </c>
      <c r="AE7" s="77">
        <f>'30'!AD10</f>
        <v>1</v>
      </c>
      <c r="AF7" s="78"/>
      <c r="AG7" s="79">
        <f t="shared" si="0"/>
        <v>0.49166666666666675</v>
      </c>
    </row>
    <row r="8" spans="1:33" ht="21.75" customHeight="1">
      <c r="A8" s="101" t="s">
        <v>65</v>
      </c>
      <c r="B8" s="98">
        <f>'01'!AD11</f>
        <v>0.91666666666666663</v>
      </c>
      <c r="C8" s="98">
        <f>'02'!AD11</f>
        <v>0.70833333333333337</v>
      </c>
      <c r="D8" s="77">
        <f>'03'!AD11</f>
        <v>0</v>
      </c>
      <c r="E8" s="77"/>
      <c r="F8" s="77">
        <f>'05'!AD11</f>
        <v>0</v>
      </c>
      <c r="G8" s="77">
        <f>'06'!AD11</f>
        <v>0.16666666666666666</v>
      </c>
      <c r="H8" s="77">
        <f>'07'!AD11</f>
        <v>0.79166666666666663</v>
      </c>
      <c r="I8" s="77">
        <f>'08'!AD12</f>
        <v>0.83333333333333337</v>
      </c>
      <c r="J8" s="77">
        <f>'09'!AD13</f>
        <v>0</v>
      </c>
      <c r="K8" s="77">
        <f>'10'!AD11</f>
        <v>0</v>
      </c>
      <c r="L8" s="77"/>
      <c r="M8" s="77">
        <f>'12'!AD11</f>
        <v>0</v>
      </c>
      <c r="N8" s="77">
        <f>'13'!AD11</f>
        <v>0.125</v>
      </c>
      <c r="O8" s="77">
        <f>'14'!AD11</f>
        <v>0.41666666666666669</v>
      </c>
      <c r="P8" s="77">
        <f>'15'!AD11</f>
        <v>0</v>
      </c>
      <c r="Q8" s="77">
        <f>'16'!AD12</f>
        <v>0</v>
      </c>
      <c r="R8" s="77">
        <f>'17'!AD11</f>
        <v>0</v>
      </c>
      <c r="S8" s="77"/>
      <c r="T8" s="77">
        <f>'19'!AD11</f>
        <v>0.95833333333333337</v>
      </c>
      <c r="U8" s="77">
        <f>'20'!AD11</f>
        <v>1</v>
      </c>
      <c r="V8" s="77">
        <f>'21'!AD11</f>
        <v>1</v>
      </c>
      <c r="W8" s="77">
        <f>'22'!AD11</f>
        <v>0.95833333333333337</v>
      </c>
      <c r="X8" s="77">
        <f>'23'!AD11</f>
        <v>0.91666666666666663</v>
      </c>
      <c r="Y8" s="77">
        <f>'24'!AD12</f>
        <v>1</v>
      </c>
      <c r="Z8" s="77"/>
      <c r="AA8" s="77">
        <f>'26'!AD11</f>
        <v>1</v>
      </c>
      <c r="AB8" s="77">
        <f>'27'!AD11</f>
        <v>1</v>
      </c>
      <c r="AC8" s="77">
        <f>'28'!AD11</f>
        <v>0.16666666666666666</v>
      </c>
      <c r="AD8" s="77">
        <f>'29'!AD11</f>
        <v>0</v>
      </c>
      <c r="AE8" s="77">
        <f>'30'!AD11</f>
        <v>0</v>
      </c>
      <c r="AF8" s="78"/>
      <c r="AG8" s="79">
        <f t="shared" si="0"/>
        <v>0.39861111111111108</v>
      </c>
    </row>
    <row r="9" spans="1:33" ht="21.75" customHeight="1">
      <c r="A9" s="101" t="s">
        <v>66</v>
      </c>
      <c r="B9" s="98">
        <f>'01'!AD12</f>
        <v>0.95833333333333337</v>
      </c>
      <c r="C9" s="98">
        <f>'02'!AD12</f>
        <v>1</v>
      </c>
      <c r="D9" s="77">
        <f>'03'!AD12</f>
        <v>1</v>
      </c>
      <c r="E9" s="77"/>
      <c r="F9" s="77">
        <f>'05'!AD12</f>
        <v>1</v>
      </c>
      <c r="G9" s="77">
        <f>'06'!AD12</f>
        <v>1</v>
      </c>
      <c r="H9" s="77">
        <f>'07'!AD12</f>
        <v>1</v>
      </c>
      <c r="I9" s="77">
        <f>'08'!AD13</f>
        <v>1</v>
      </c>
      <c r="J9" s="77">
        <f>'09'!AD14</f>
        <v>1</v>
      </c>
      <c r="K9" s="77">
        <f>'10'!AD12</f>
        <v>1</v>
      </c>
      <c r="L9" s="77"/>
      <c r="M9" s="77">
        <f>'12'!AD12</f>
        <v>1</v>
      </c>
      <c r="N9" s="77">
        <f>'13'!AD12</f>
        <v>0.25</v>
      </c>
      <c r="O9" s="77">
        <f>'14'!AD13+'14'!AD14</f>
        <v>1.6666666666666665</v>
      </c>
      <c r="P9" s="77">
        <f>'15'!AD12</f>
        <v>1</v>
      </c>
      <c r="Q9" s="77">
        <f>'16'!AD13</f>
        <v>1</v>
      </c>
      <c r="R9" s="77">
        <f>'17'!AD12</f>
        <v>1</v>
      </c>
      <c r="S9" s="77"/>
      <c r="T9" s="77">
        <f>'19'!AD12</f>
        <v>1</v>
      </c>
      <c r="U9" s="77">
        <f>'20'!AD12</f>
        <v>1</v>
      </c>
      <c r="V9" s="77">
        <f>'21'!AD12</f>
        <v>1</v>
      </c>
      <c r="W9" s="77">
        <f>'22'!AD12</f>
        <v>1</v>
      </c>
      <c r="X9" s="77">
        <f>'23'!AD12</f>
        <v>1</v>
      </c>
      <c r="Y9" s="77">
        <f>'24'!AD13</f>
        <v>1</v>
      </c>
      <c r="Z9" s="77"/>
      <c r="AA9" s="77">
        <f>'26'!AD12</f>
        <v>1</v>
      </c>
      <c r="AB9" s="77">
        <f>'27'!AD12</f>
        <v>1</v>
      </c>
      <c r="AC9" s="77">
        <f>'28'!AD12</f>
        <v>1</v>
      </c>
      <c r="AD9" s="77">
        <f>'29'!AD12</f>
        <v>0.79166666666666663</v>
      </c>
      <c r="AE9" s="77">
        <f>'30'!AD12</f>
        <v>1</v>
      </c>
      <c r="AF9" s="78"/>
      <c r="AG9" s="79">
        <f t="shared" si="0"/>
        <v>0.85555555555555562</v>
      </c>
    </row>
    <row r="10" spans="1:33" ht="21.75" customHeight="1">
      <c r="A10" s="101" t="s">
        <v>67</v>
      </c>
      <c r="B10" s="98">
        <f>'01'!AD13</f>
        <v>0</v>
      </c>
      <c r="C10" s="98">
        <f>'02'!AD13</f>
        <v>0</v>
      </c>
      <c r="D10" s="77">
        <f>'03'!AD13</f>
        <v>0</v>
      </c>
      <c r="E10" s="77"/>
      <c r="F10" s="77">
        <f>'05'!AD13</f>
        <v>0</v>
      </c>
      <c r="G10" s="77">
        <f>'06'!AD13</f>
        <v>0.70833333333333337</v>
      </c>
      <c r="H10" s="77">
        <f>'07'!AD13</f>
        <v>0</v>
      </c>
      <c r="I10" s="77">
        <f>'08'!AD14</f>
        <v>0</v>
      </c>
      <c r="J10" s="77">
        <f>'09'!AD15</f>
        <v>0.5</v>
      </c>
      <c r="K10" s="77">
        <f>'10'!AD13</f>
        <v>0.83333333333333337</v>
      </c>
      <c r="L10" s="77"/>
      <c r="M10" s="77">
        <f>'12'!AD13</f>
        <v>0.875</v>
      </c>
      <c r="N10" s="77">
        <f>'13'!AD13</f>
        <v>1</v>
      </c>
      <c r="O10" s="77">
        <f>'14'!AD14</f>
        <v>1</v>
      </c>
      <c r="P10" s="77">
        <f>'15'!AD13</f>
        <v>1</v>
      </c>
      <c r="Q10" s="77">
        <f>'16'!AD14</f>
        <v>1</v>
      </c>
      <c r="R10" s="77">
        <f>'17'!AD13</f>
        <v>1</v>
      </c>
      <c r="S10" s="77"/>
      <c r="T10" s="77">
        <f>'19'!AD13</f>
        <v>1</v>
      </c>
      <c r="U10" s="77">
        <f>'20'!AD13</f>
        <v>0.83333333333333337</v>
      </c>
      <c r="V10" s="77">
        <f>'21'!AD13</f>
        <v>0.16666666666666666</v>
      </c>
      <c r="W10" s="77">
        <f>'22'!AD13</f>
        <v>0.58333333333333337</v>
      </c>
      <c r="X10" s="77">
        <f>'23'!AD13</f>
        <v>0.91666666666666663</v>
      </c>
      <c r="Y10" s="77">
        <f>'24'!AD14</f>
        <v>1</v>
      </c>
      <c r="Z10" s="77"/>
      <c r="AA10" s="77">
        <f>'26'!AD13</f>
        <v>0.75</v>
      </c>
      <c r="AB10" s="77">
        <f>'27'!AD13</f>
        <v>0.70833333333333337</v>
      </c>
      <c r="AC10" s="77">
        <f>'28'!AD13</f>
        <v>0</v>
      </c>
      <c r="AD10" s="77">
        <f>'29'!AD13</f>
        <v>0.70833333333333337</v>
      </c>
      <c r="AE10" s="77">
        <f>'30'!AD13</f>
        <v>0</v>
      </c>
      <c r="AF10" s="78"/>
      <c r="AG10" s="79">
        <f t="shared" si="0"/>
        <v>0.48611111111111122</v>
      </c>
    </row>
    <row r="11" spans="1:33" ht="21.75" customHeight="1">
      <c r="A11" s="106" t="s">
        <v>68</v>
      </c>
      <c r="B11" s="107">
        <f>'01'!AD14</f>
        <v>0</v>
      </c>
      <c r="C11" s="107">
        <f>'02'!AD14</f>
        <v>0</v>
      </c>
      <c r="D11" s="108">
        <f>'03'!AD14</f>
        <v>0</v>
      </c>
      <c r="E11" s="108"/>
      <c r="F11" s="108">
        <f>'05'!AD14</f>
        <v>0</v>
      </c>
      <c r="G11" s="108">
        <f>'06'!AD14</f>
        <v>0</v>
      </c>
      <c r="H11" s="108">
        <f>'07'!AD14</f>
        <v>0</v>
      </c>
      <c r="I11" s="108">
        <f>'08'!AD15</f>
        <v>0</v>
      </c>
      <c r="J11" s="108">
        <f>'09'!AD16</f>
        <v>0</v>
      </c>
      <c r="K11" s="108">
        <f>'10'!AD14</f>
        <v>0</v>
      </c>
      <c r="L11" s="108"/>
      <c r="M11" s="108">
        <f>'12'!AD14</f>
        <v>0</v>
      </c>
      <c r="N11" s="108">
        <f>'13'!AD14</f>
        <v>0.33333333333333331</v>
      </c>
      <c r="O11" s="108">
        <f>'14'!AD15</f>
        <v>0.33333333333333331</v>
      </c>
      <c r="P11" s="108">
        <f>'15'!AD14</f>
        <v>0.5</v>
      </c>
      <c r="Q11" s="108">
        <f>'16'!AD15</f>
        <v>0</v>
      </c>
      <c r="R11" s="108">
        <f>'17'!AD14</f>
        <v>0.20833333333333334</v>
      </c>
      <c r="S11" s="108"/>
      <c r="T11" s="108">
        <f>'19'!AD14</f>
        <v>0.25</v>
      </c>
      <c r="U11" s="108">
        <f>'20'!AD14</f>
        <v>0.16666666666666666</v>
      </c>
      <c r="V11" s="108">
        <f>'21'!AD14</f>
        <v>0.16666666666666666</v>
      </c>
      <c r="W11" s="108">
        <f>'22'!AD14</f>
        <v>0</v>
      </c>
      <c r="X11" s="108">
        <f>'23'!AD14</f>
        <v>0</v>
      </c>
      <c r="Y11" s="108">
        <f>'24'!AD15</f>
        <v>0</v>
      </c>
      <c r="Z11" s="108"/>
      <c r="AA11" s="108">
        <f>'26'!AD14</f>
        <v>0.375</v>
      </c>
      <c r="AB11" s="108">
        <f>'27'!AD14</f>
        <v>0.25</v>
      </c>
      <c r="AC11" s="108">
        <f>'28'!AD14</f>
        <v>0.45833333333333331</v>
      </c>
      <c r="AD11" s="108">
        <f>'29'!AD14</f>
        <v>0.45833333333333331</v>
      </c>
      <c r="AE11" s="108">
        <f>'30'!AD14</f>
        <v>0</v>
      </c>
      <c r="AF11" s="109"/>
      <c r="AG11" s="110">
        <f t="shared" si="0"/>
        <v>0.11666666666666667</v>
      </c>
    </row>
    <row r="12" spans="1:33" ht="21.75" customHeight="1">
      <c r="A12" s="100" t="s">
        <v>69</v>
      </c>
      <c r="B12" s="97">
        <f>'01'!AD15</f>
        <v>0</v>
      </c>
      <c r="C12" s="97">
        <f>'02'!AD15</f>
        <v>0</v>
      </c>
      <c r="D12" s="74">
        <f>'03'!AD15</f>
        <v>0</v>
      </c>
      <c r="E12" s="74"/>
      <c r="F12" s="74">
        <f>'05'!AD15</f>
        <v>0</v>
      </c>
      <c r="G12" s="74">
        <f>'06'!AD15</f>
        <v>0</v>
      </c>
      <c r="H12" s="74">
        <f>'07'!AD15</f>
        <v>0</v>
      </c>
      <c r="I12" s="74">
        <f>'08'!AD16</f>
        <v>0</v>
      </c>
      <c r="J12" s="74">
        <f>'09'!AD17</f>
        <v>0</v>
      </c>
      <c r="K12" s="74">
        <f>'10'!AD15</f>
        <v>0</v>
      </c>
      <c r="L12" s="74"/>
      <c r="M12" s="74">
        <f>'12'!AD15</f>
        <v>0</v>
      </c>
      <c r="N12" s="74">
        <f>'13'!AD15</f>
        <v>0</v>
      </c>
      <c r="O12" s="74">
        <f>'14'!AD16</f>
        <v>0</v>
      </c>
      <c r="P12" s="74">
        <f>'15'!AD15</f>
        <v>0</v>
      </c>
      <c r="Q12" s="74">
        <f>'16'!AD16</f>
        <v>0</v>
      </c>
      <c r="R12" s="74">
        <f>'17'!AD15</f>
        <v>0</v>
      </c>
      <c r="S12" s="74"/>
      <c r="T12" s="74">
        <f>'19'!AD15</f>
        <v>0</v>
      </c>
      <c r="U12" s="74">
        <f>'20'!AD15</f>
        <v>0</v>
      </c>
      <c r="V12" s="74">
        <f>'21'!AD15</f>
        <v>0</v>
      </c>
      <c r="W12" s="74">
        <f>'22'!AD15</f>
        <v>0</v>
      </c>
      <c r="X12" s="74">
        <f>'23'!AD15</f>
        <v>0</v>
      </c>
      <c r="Y12" s="74">
        <f>'24'!AD16</f>
        <v>0</v>
      </c>
      <c r="Z12" s="74"/>
      <c r="AA12" s="74">
        <f>'26'!AD15</f>
        <v>0.16666666666666666</v>
      </c>
      <c r="AB12" s="74">
        <f>'27'!AD15</f>
        <v>0</v>
      </c>
      <c r="AC12" s="74">
        <f>'28'!AD15</f>
        <v>0</v>
      </c>
      <c r="AD12" s="74">
        <f>'29'!AD15</f>
        <v>0</v>
      </c>
      <c r="AE12" s="74">
        <f>'30'!AD15</f>
        <v>0</v>
      </c>
      <c r="AF12" s="75"/>
      <c r="AG12" s="76">
        <f t="shared" si="0"/>
        <v>5.5555555555555549E-3</v>
      </c>
    </row>
    <row r="13" spans="1:33" ht="21.75" customHeight="1">
      <c r="A13" s="101" t="s">
        <v>70</v>
      </c>
      <c r="B13" s="98">
        <f>'01'!AD16</f>
        <v>1</v>
      </c>
      <c r="C13" s="98">
        <f>'02'!AD16</f>
        <v>1</v>
      </c>
      <c r="D13" s="77">
        <f>'03'!AD16</f>
        <v>0</v>
      </c>
      <c r="E13" s="77"/>
      <c r="F13" s="77">
        <f>'05'!AD16+'05'!AD17</f>
        <v>0.91666666666666663</v>
      </c>
      <c r="G13" s="77">
        <f>'06'!AD16</f>
        <v>1</v>
      </c>
      <c r="H13" s="77">
        <f>'07'!AD16</f>
        <v>1</v>
      </c>
      <c r="I13" s="77">
        <f>'08'!AD17</f>
        <v>1</v>
      </c>
      <c r="J13" s="77">
        <f>'09'!AD18+'09'!AD19</f>
        <v>0.83333333333333337</v>
      </c>
      <c r="K13" s="77">
        <f>'10'!AD16</f>
        <v>1</v>
      </c>
      <c r="L13" s="77"/>
      <c r="M13" s="77">
        <f>'12'!AD16</f>
        <v>1</v>
      </c>
      <c r="N13" s="77">
        <f>'13'!AD16</f>
        <v>1</v>
      </c>
      <c r="O13" s="77">
        <f>'14'!AD17</f>
        <v>1</v>
      </c>
      <c r="P13" s="77">
        <f>'15'!AD16</f>
        <v>0.875</v>
      </c>
      <c r="Q13" s="77">
        <f>'16'!AD17</f>
        <v>1</v>
      </c>
      <c r="R13" s="77">
        <f>'17'!AD16</f>
        <v>0.79166666666666663</v>
      </c>
      <c r="S13" s="77"/>
      <c r="T13" s="77">
        <f>'19'!AD16</f>
        <v>0.58333333333333337</v>
      </c>
      <c r="U13" s="77">
        <f>'20'!AD16</f>
        <v>0</v>
      </c>
      <c r="V13" s="77">
        <f>'21'!AD16</f>
        <v>0</v>
      </c>
      <c r="W13" s="77">
        <f>'22'!AD16</f>
        <v>0.625</v>
      </c>
      <c r="X13" s="77">
        <f>'23'!AD16</f>
        <v>1</v>
      </c>
      <c r="Y13" s="77">
        <f>'24'!AD17</f>
        <v>1</v>
      </c>
      <c r="Z13" s="77"/>
      <c r="AA13" s="77">
        <f>'26'!AD17+'26'!AD18</f>
        <v>0.91666666666666674</v>
      </c>
      <c r="AB13" s="77">
        <f>'27'!AD16</f>
        <v>1</v>
      </c>
      <c r="AC13" s="77">
        <f>'28'!AD16</f>
        <v>0.83333333333333337</v>
      </c>
      <c r="AD13" s="77">
        <f>'29'!AD16</f>
        <v>0.66666666666666663</v>
      </c>
      <c r="AE13" s="77">
        <f>'30'!AD16</f>
        <v>1</v>
      </c>
      <c r="AF13" s="78"/>
      <c r="AG13" s="79">
        <f t="shared" si="0"/>
        <v>0.70138888888888895</v>
      </c>
    </row>
    <row r="14" spans="1:33" ht="21.75" customHeight="1">
      <c r="A14" s="100" t="s">
        <v>71</v>
      </c>
      <c r="B14" s="97">
        <f>'01'!AD17</f>
        <v>1</v>
      </c>
      <c r="C14" s="97">
        <f>'02'!AD17</f>
        <v>1</v>
      </c>
      <c r="D14" s="74">
        <f>'03'!AD17</f>
        <v>1</v>
      </c>
      <c r="E14" s="74"/>
      <c r="F14" s="74">
        <f>'05'!AD18</f>
        <v>0.20833333333333334</v>
      </c>
      <c r="G14" s="74">
        <f>'06'!AD17</f>
        <v>0</v>
      </c>
      <c r="H14" s="74">
        <f>'07'!AD17</f>
        <v>0</v>
      </c>
      <c r="I14" s="74">
        <f>'08'!AD18</f>
        <v>0.83333333333333337</v>
      </c>
      <c r="J14" s="74">
        <f>'09'!AD20+'09'!AD21</f>
        <v>0.45833333333333337</v>
      </c>
      <c r="K14" s="74">
        <f>'10'!AD17</f>
        <v>0.91666666666666663</v>
      </c>
      <c r="L14" s="74"/>
      <c r="M14" s="74">
        <f>'12'!AD17</f>
        <v>1</v>
      </c>
      <c r="N14" s="74">
        <f>'13'!AD17</f>
        <v>0.79166666666666663</v>
      </c>
      <c r="O14" s="74">
        <f>'14'!AD18</f>
        <v>0.79166666666666663</v>
      </c>
      <c r="P14" s="74">
        <f>'15'!AD17</f>
        <v>1</v>
      </c>
      <c r="Q14" s="74">
        <f>'16'!AD18</f>
        <v>1</v>
      </c>
      <c r="R14" s="74">
        <f>'17'!AD17</f>
        <v>0.83333333333333337</v>
      </c>
      <c r="S14" s="74"/>
      <c r="T14" s="74">
        <f>'19'!AD17</f>
        <v>0</v>
      </c>
      <c r="U14" s="74">
        <f>'20'!AD17</f>
        <v>0</v>
      </c>
      <c r="V14" s="74">
        <f>'21'!AD17</f>
        <v>0.16666666666666666</v>
      </c>
      <c r="W14" s="74">
        <f>'22'!AD17</f>
        <v>0</v>
      </c>
      <c r="X14" s="74">
        <f>'23'!AD17</f>
        <v>0</v>
      </c>
      <c r="Y14" s="74">
        <f>'24'!AD18</f>
        <v>0</v>
      </c>
      <c r="Z14" s="74"/>
      <c r="AA14" s="74">
        <f>'26'!AD19</f>
        <v>0</v>
      </c>
      <c r="AB14" s="74">
        <f>'27'!AD17</f>
        <v>0.41666666666666669</v>
      </c>
      <c r="AC14" s="74">
        <f>'28'!AD17</f>
        <v>0.33333333333333331</v>
      </c>
      <c r="AD14" s="74">
        <f>'29'!AD17</f>
        <v>0</v>
      </c>
      <c r="AE14" s="74">
        <f>'30'!AD17</f>
        <v>0</v>
      </c>
      <c r="AF14" s="75"/>
      <c r="AG14" s="76">
        <f t="shared" si="0"/>
        <v>0.39166666666666666</v>
      </c>
    </row>
    <row r="15" spans="1:33" ht="21.75" customHeight="1">
      <c r="A15" s="101" t="s">
        <v>72</v>
      </c>
      <c r="B15" s="98">
        <f>'01'!AD18</f>
        <v>1</v>
      </c>
      <c r="C15" s="98">
        <f>'02'!AD18</f>
        <v>1</v>
      </c>
      <c r="D15" s="77">
        <f>'03'!AD18</f>
        <v>1</v>
      </c>
      <c r="E15" s="77"/>
      <c r="F15" s="77">
        <f>'05'!AD19</f>
        <v>1</v>
      </c>
      <c r="G15" s="77">
        <f>'06'!AD18</f>
        <v>1</v>
      </c>
      <c r="H15" s="77">
        <f>'07'!AD18+'07'!AD19</f>
        <v>0.625</v>
      </c>
      <c r="I15" s="77">
        <f>'08'!AD19</f>
        <v>0</v>
      </c>
      <c r="J15" s="77">
        <f>'09'!AD22+'09'!AD23</f>
        <v>0.29166666666666663</v>
      </c>
      <c r="K15" s="77">
        <f>'10'!AD18</f>
        <v>0</v>
      </c>
      <c r="L15" s="77"/>
      <c r="M15" s="77">
        <f>'12'!AD18</f>
        <v>0</v>
      </c>
      <c r="N15" s="77">
        <f>'13'!AD18</f>
        <v>0.875</v>
      </c>
      <c r="O15" s="77">
        <f>'14'!AD19</f>
        <v>0</v>
      </c>
      <c r="P15" s="77">
        <f>'15'!AD18</f>
        <v>0.83333333333333337</v>
      </c>
      <c r="Q15" s="77">
        <f>'16'!AD19</f>
        <v>1.0048192771084337</v>
      </c>
      <c r="R15" s="77">
        <f>'17'!AD18</f>
        <v>0.41666666666666669</v>
      </c>
      <c r="S15" s="77"/>
      <c r="T15" s="77">
        <f>'19'!AD18</f>
        <v>0.91666666666666663</v>
      </c>
      <c r="U15" s="77">
        <f>'20'!AD18+'20'!AD19</f>
        <v>0.83333333333333337</v>
      </c>
      <c r="V15" s="77">
        <f>'21'!AD18+'21'!AD19</f>
        <v>0.41666666666666663</v>
      </c>
      <c r="W15" s="77">
        <f>'22'!AD18</f>
        <v>0.70833333333333337</v>
      </c>
      <c r="X15" s="77">
        <f>'23'!AD18</f>
        <v>1</v>
      </c>
      <c r="Y15" s="77">
        <f>'24'!AD19</f>
        <v>1</v>
      </c>
      <c r="Z15" s="77"/>
      <c r="AA15" s="77">
        <f>'26'!AD20</f>
        <v>1</v>
      </c>
      <c r="AB15" s="77">
        <f>'27'!AD18</f>
        <v>1</v>
      </c>
      <c r="AC15" s="77">
        <f>'28'!AD18</f>
        <v>0</v>
      </c>
      <c r="AD15" s="77">
        <f>'29'!AD18</f>
        <v>0.45833333333333331</v>
      </c>
      <c r="AE15" s="77">
        <f>'30'!AD18</f>
        <v>0.54166666666666663</v>
      </c>
      <c r="AF15" s="78"/>
      <c r="AG15" s="79">
        <f t="shared" si="0"/>
        <v>0.56404953145917003</v>
      </c>
    </row>
    <row r="16" spans="1:33" ht="21.75" customHeight="1">
      <c r="A16" s="101" t="s">
        <v>117</v>
      </c>
      <c r="B16" s="98">
        <f>'01'!AD19</f>
        <v>1</v>
      </c>
      <c r="C16" s="98">
        <f>'02'!AD19</f>
        <v>0.375</v>
      </c>
      <c r="D16" s="77">
        <f>'03'!AD19</f>
        <v>0.70833333333333337</v>
      </c>
      <c r="E16" s="77"/>
      <c r="F16" s="77">
        <f>'05'!AD20</f>
        <v>0.66666666666666663</v>
      </c>
      <c r="G16" s="77">
        <f>'06'!AD19</f>
        <v>1</v>
      </c>
      <c r="H16" s="77">
        <f>'07'!AD20</f>
        <v>0</v>
      </c>
      <c r="I16" s="77">
        <f>'08'!AD20</f>
        <v>0</v>
      </c>
      <c r="J16" s="77">
        <f>'09'!AD24</f>
        <v>1</v>
      </c>
      <c r="K16" s="77">
        <f>'10'!AD19</f>
        <v>1</v>
      </c>
      <c r="L16" s="77"/>
      <c r="M16" s="77">
        <f>'12'!AD19</f>
        <v>0.79166666666666663</v>
      </c>
      <c r="N16" s="77">
        <f>'13'!AD19</f>
        <v>0.25</v>
      </c>
      <c r="O16" s="77">
        <f>'14'!AD20</f>
        <v>0.75</v>
      </c>
      <c r="P16" s="77">
        <f>'15'!AD19</f>
        <v>1</v>
      </c>
      <c r="Q16" s="77">
        <f>'16'!AD20</f>
        <v>1</v>
      </c>
      <c r="R16" s="77">
        <f>'17'!AD19</f>
        <v>1</v>
      </c>
      <c r="S16" s="77"/>
      <c r="T16" s="77">
        <f>'19'!AD19</f>
        <v>0.875</v>
      </c>
      <c r="U16" s="77">
        <f>'20'!AD20</f>
        <v>0.5</v>
      </c>
      <c r="V16" s="77">
        <f>'21'!AD20</f>
        <v>0.16666666666666666</v>
      </c>
      <c r="W16" s="77">
        <f>'22'!AD19</f>
        <v>0.45833333333333331</v>
      </c>
      <c r="X16" s="77">
        <f>'23'!AD19</f>
        <v>0.91666666666666663</v>
      </c>
      <c r="Y16" s="77">
        <f>'24'!AD20</f>
        <v>1</v>
      </c>
      <c r="Z16" s="77"/>
      <c r="AA16" s="77">
        <f>'26'!AD21</f>
        <v>0.875</v>
      </c>
      <c r="AB16" s="77">
        <f>'27'!AD19</f>
        <v>0.875</v>
      </c>
      <c r="AC16" s="77">
        <f>'28'!AD19</f>
        <v>0.25</v>
      </c>
      <c r="AD16" s="77">
        <f>'29'!AD19</f>
        <v>0</v>
      </c>
      <c r="AE16" s="77">
        <f>'30'!AD19</f>
        <v>0.5</v>
      </c>
      <c r="AF16" s="78"/>
      <c r="AG16" s="79">
        <f t="shared" si="0"/>
        <v>0.56527777777777788</v>
      </c>
    </row>
    <row r="17" spans="1:33" ht="21.75" customHeight="1">
      <c r="A17" s="101" t="s">
        <v>118</v>
      </c>
      <c r="B17" s="98">
        <f>'01'!AD20</f>
        <v>0.75</v>
      </c>
      <c r="C17" s="98">
        <f>'02'!AD20</f>
        <v>1</v>
      </c>
      <c r="D17" s="77">
        <f>'03'!AD20</f>
        <v>0.95833333333333337</v>
      </c>
      <c r="E17" s="77"/>
      <c r="F17" s="77">
        <f>'05'!AD21</f>
        <v>1</v>
      </c>
      <c r="G17" s="77">
        <f>'06'!AD20</f>
        <v>0.91666666666666663</v>
      </c>
      <c r="H17" s="77">
        <f>'07'!AD21</f>
        <v>0.95833333333333337</v>
      </c>
      <c r="I17" s="77">
        <f>'08'!AD21</f>
        <v>0.75</v>
      </c>
      <c r="J17" s="77">
        <f>'09'!AD25</f>
        <v>1</v>
      </c>
      <c r="K17" s="77">
        <f>'10'!AD20</f>
        <v>1</v>
      </c>
      <c r="L17" s="77"/>
      <c r="M17" s="77">
        <f>'12'!AD20</f>
        <v>0.58333333333333337</v>
      </c>
      <c r="N17" s="77">
        <f>'13'!AD20</f>
        <v>1</v>
      </c>
      <c r="O17" s="77">
        <f>'14'!AD21</f>
        <v>0.98677498583034196</v>
      </c>
      <c r="P17" s="77">
        <f>'15'!AD20</f>
        <v>0.79166666666666663</v>
      </c>
      <c r="Q17" s="77">
        <f>'16'!AD21</f>
        <v>1</v>
      </c>
      <c r="R17" s="77">
        <f>'17'!AD20</f>
        <v>1</v>
      </c>
      <c r="S17" s="77"/>
      <c r="T17" s="77">
        <f>'19'!AD20</f>
        <v>1</v>
      </c>
      <c r="U17" s="77">
        <f>'20'!AD21</f>
        <v>0.83333333333333337</v>
      </c>
      <c r="V17" s="77">
        <f>'21'!AD21</f>
        <v>0.16666666666666666</v>
      </c>
      <c r="W17" s="77">
        <f>'22'!AD20</f>
        <v>0.79166666666666663</v>
      </c>
      <c r="X17" s="77">
        <f>'23'!AD20</f>
        <v>1</v>
      </c>
      <c r="Y17" s="77">
        <f>'24'!AD21</f>
        <v>0.875</v>
      </c>
      <c r="Z17" s="77"/>
      <c r="AA17" s="77">
        <f>'26'!AD22</f>
        <v>0.875</v>
      </c>
      <c r="AB17" s="77">
        <f>'27'!AD20</f>
        <v>1</v>
      </c>
      <c r="AC17" s="77">
        <f>'28'!AD20</f>
        <v>1</v>
      </c>
      <c r="AD17" s="77">
        <f>'29'!AD20</f>
        <v>0.45833333333333331</v>
      </c>
      <c r="AE17" s="77">
        <f>'30'!AD20</f>
        <v>0.83333333333333337</v>
      </c>
      <c r="AF17" s="78"/>
      <c r="AG17" s="79">
        <f t="shared" si="0"/>
        <v>0.75094805508323348</v>
      </c>
    </row>
    <row r="18" spans="1:33" ht="21.75" customHeight="1">
      <c r="A18" s="101" t="s">
        <v>119</v>
      </c>
      <c r="B18" s="98">
        <f>'01'!AD21</f>
        <v>0</v>
      </c>
      <c r="C18" s="98">
        <f>'02'!AD21</f>
        <v>0</v>
      </c>
      <c r="D18" s="77">
        <f>'03'!AD21</f>
        <v>0</v>
      </c>
      <c r="E18" s="77"/>
      <c r="F18" s="77">
        <f>'05'!AD22</f>
        <v>0</v>
      </c>
      <c r="G18" s="77">
        <f>'06'!AD21</f>
        <v>0</v>
      </c>
      <c r="H18" s="77">
        <f>'07'!AD22</f>
        <v>0</v>
      </c>
      <c r="I18" s="77">
        <f>'08'!AD22</f>
        <v>0</v>
      </c>
      <c r="J18" s="77">
        <f>'09'!AD26</f>
        <v>0</v>
      </c>
      <c r="K18" s="77">
        <f>'10'!AD21</f>
        <v>0</v>
      </c>
      <c r="L18" s="77"/>
      <c r="M18" s="77">
        <f>'12'!AD21</f>
        <v>0</v>
      </c>
      <c r="N18" s="77">
        <f>'13'!AD21</f>
        <v>0.66666666666666663</v>
      </c>
      <c r="O18" s="77">
        <f>'14'!AD22</f>
        <v>1</v>
      </c>
      <c r="P18" s="77">
        <f>'15'!AD21</f>
        <v>0.91666666666666663</v>
      </c>
      <c r="Q18" s="77">
        <f>'16'!AD22</f>
        <v>1</v>
      </c>
      <c r="R18" s="77">
        <f>'17'!AD21</f>
        <v>1</v>
      </c>
      <c r="S18" s="77"/>
      <c r="T18" s="77">
        <f>'19'!AD21</f>
        <v>1</v>
      </c>
      <c r="U18" s="77">
        <f>'20'!AD22</f>
        <v>1</v>
      </c>
      <c r="V18" s="77">
        <f>'21'!AD22</f>
        <v>1</v>
      </c>
      <c r="W18" s="77">
        <f>'22'!AD21</f>
        <v>1</v>
      </c>
      <c r="X18" s="77">
        <f>'23'!AD21</f>
        <v>1</v>
      </c>
      <c r="Y18" s="77">
        <f>'24'!AD22</f>
        <v>1</v>
      </c>
      <c r="Z18" s="77"/>
      <c r="AA18" s="77">
        <f>'26'!AD23</f>
        <v>0.91666666666666663</v>
      </c>
      <c r="AB18" s="77">
        <f>'27'!AD21</f>
        <v>1</v>
      </c>
      <c r="AC18" s="77">
        <f>'28'!AD21</f>
        <v>1</v>
      </c>
      <c r="AD18" s="77">
        <f>'29'!AD21</f>
        <v>1</v>
      </c>
      <c r="AE18" s="77">
        <f>'30'!AD21</f>
        <v>1</v>
      </c>
      <c r="AF18" s="78"/>
      <c r="AG18" s="79">
        <f t="shared" si="0"/>
        <v>0.51666666666666661</v>
      </c>
    </row>
    <row r="19" spans="1:33" ht="21.75" customHeight="1">
      <c r="A19" s="101" t="s">
        <v>181</v>
      </c>
      <c r="B19" s="98">
        <f>'01'!AD22</f>
        <v>0</v>
      </c>
      <c r="C19" s="98">
        <f>'02'!AD22</f>
        <v>0</v>
      </c>
      <c r="D19" s="77">
        <f>'03'!AD22</f>
        <v>0</v>
      </c>
      <c r="E19" s="77"/>
      <c r="F19" s="77">
        <f>'05'!AD23</f>
        <v>0</v>
      </c>
      <c r="G19" s="77">
        <f>'06'!AD22</f>
        <v>0</v>
      </c>
      <c r="H19" s="77">
        <f>'07'!AD23</f>
        <v>0</v>
      </c>
      <c r="I19" s="77">
        <f>'08'!AD23</f>
        <v>0</v>
      </c>
      <c r="J19" s="77">
        <f>'09'!AD27</f>
        <v>0</v>
      </c>
      <c r="K19" s="77">
        <f>'10'!AD22</f>
        <v>0</v>
      </c>
      <c r="L19" s="77"/>
      <c r="M19" s="77">
        <f>'12'!AD22</f>
        <v>0</v>
      </c>
      <c r="N19" s="77">
        <f>'13'!AD22</f>
        <v>0</v>
      </c>
      <c r="O19" s="77">
        <f>'14'!AD23</f>
        <v>0</v>
      </c>
      <c r="P19" s="77">
        <f>'15'!AD22</f>
        <v>0</v>
      </c>
      <c r="Q19" s="77">
        <f>'16'!AD23</f>
        <v>0</v>
      </c>
      <c r="R19" s="77">
        <f>'17'!AD22</f>
        <v>0</v>
      </c>
      <c r="S19" s="77"/>
      <c r="T19" s="77">
        <f>'19'!AD22</f>
        <v>0</v>
      </c>
      <c r="U19" s="77">
        <f>'20'!AD23</f>
        <v>0</v>
      </c>
      <c r="V19" s="77">
        <f>'21'!AD23</f>
        <v>0</v>
      </c>
      <c r="W19" s="77">
        <f>'22'!AD22</f>
        <v>0</v>
      </c>
      <c r="X19" s="77">
        <f>'23'!AD22</f>
        <v>0</v>
      </c>
      <c r="Y19" s="77">
        <f>'24'!AD23</f>
        <v>0</v>
      </c>
      <c r="Z19" s="77"/>
      <c r="AA19" s="77">
        <f>'26'!AD24</f>
        <v>0</v>
      </c>
      <c r="AB19" s="77">
        <f>'27'!AD22</f>
        <v>0</v>
      </c>
      <c r="AC19" s="77">
        <f>'28'!AD22</f>
        <v>0</v>
      </c>
      <c r="AD19" s="77">
        <f>'29'!AD22</f>
        <v>0</v>
      </c>
      <c r="AE19" s="77">
        <f>'30'!AD22</f>
        <v>0</v>
      </c>
      <c r="AF19" s="78"/>
      <c r="AG19" s="79">
        <f t="shared" si="0"/>
        <v>0</v>
      </c>
    </row>
    <row r="20" spans="1:33" ht="21.75" customHeight="1">
      <c r="A20" s="101" t="s">
        <v>182</v>
      </c>
      <c r="B20" s="98">
        <f>'01'!AD23</f>
        <v>0</v>
      </c>
      <c r="C20" s="98">
        <f>'02'!AD23</f>
        <v>0</v>
      </c>
      <c r="D20" s="77">
        <f>'03'!AD23</f>
        <v>0</v>
      </c>
      <c r="E20" s="77"/>
      <c r="F20" s="77">
        <f>'05'!AD24</f>
        <v>0</v>
      </c>
      <c r="G20" s="77">
        <f>'06'!AD23</f>
        <v>0</v>
      </c>
      <c r="H20" s="77">
        <f>'07'!AD24</f>
        <v>0</v>
      </c>
      <c r="I20" s="77">
        <f>'08'!AD24</f>
        <v>0</v>
      </c>
      <c r="J20" s="77">
        <f>'09'!AD28</f>
        <v>0</v>
      </c>
      <c r="K20" s="77">
        <f>'10'!AD23</f>
        <v>0</v>
      </c>
      <c r="L20" s="77"/>
      <c r="M20" s="77">
        <f>'12'!AD23</f>
        <v>0</v>
      </c>
      <c r="N20" s="77">
        <f>'13'!AD23</f>
        <v>0</v>
      </c>
      <c r="O20" s="77">
        <f>'14'!AD24</f>
        <v>0</v>
      </c>
      <c r="P20" s="77">
        <f>'15'!AD23</f>
        <v>0</v>
      </c>
      <c r="Q20" s="77">
        <f>'16'!AD24</f>
        <v>0</v>
      </c>
      <c r="R20" s="77">
        <f>'17'!AD23</f>
        <v>0</v>
      </c>
      <c r="S20" s="77"/>
      <c r="T20" s="77">
        <f>'19'!AD23</f>
        <v>0</v>
      </c>
      <c r="U20" s="77">
        <f>'20'!AD24</f>
        <v>0</v>
      </c>
      <c r="V20" s="77">
        <f>'21'!AD24</f>
        <v>0</v>
      </c>
      <c r="W20" s="77">
        <f>'22'!AD23</f>
        <v>0</v>
      </c>
      <c r="X20" s="77">
        <f>'23'!AD23</f>
        <v>0</v>
      </c>
      <c r="Y20" s="77">
        <f>'24'!AD24</f>
        <v>0</v>
      </c>
      <c r="Z20" s="77"/>
      <c r="AA20" s="77">
        <f>'26'!AD25</f>
        <v>0</v>
      </c>
      <c r="AB20" s="77">
        <f>'27'!AD23</f>
        <v>0</v>
      </c>
      <c r="AC20" s="77">
        <f>'28'!AD23</f>
        <v>0</v>
      </c>
      <c r="AD20" s="77">
        <f>'29'!AD23</f>
        <v>0</v>
      </c>
      <c r="AE20" s="77">
        <f>'30'!AD23</f>
        <v>0</v>
      </c>
      <c r="AF20" s="78"/>
      <c r="AG20" s="79">
        <f t="shared" si="0"/>
        <v>0</v>
      </c>
    </row>
    <row r="21" spans="1:33" ht="21.75" customHeight="1">
      <c r="A21" s="101" t="s">
        <v>183</v>
      </c>
      <c r="B21" s="98">
        <f>'01'!AD24</f>
        <v>1.0050736295012994</v>
      </c>
      <c r="C21" s="98">
        <f>'02'!AD24</f>
        <v>1</v>
      </c>
      <c r="D21" s="77">
        <f>'03'!AD24</f>
        <v>0</v>
      </c>
      <c r="E21" s="77"/>
      <c r="F21" s="77">
        <f>'05'!AD25</f>
        <v>0.95833333333333337</v>
      </c>
      <c r="G21" s="77">
        <f>'06'!AD24</f>
        <v>1</v>
      </c>
      <c r="H21" s="77">
        <f>'07'!AD25</f>
        <v>0.79166666666666663</v>
      </c>
      <c r="I21" s="77">
        <f>'08'!AD25</f>
        <v>0</v>
      </c>
      <c r="J21" s="77">
        <f>'09'!AD29</f>
        <v>0.79166666666666663</v>
      </c>
      <c r="K21" s="77">
        <f>'10'!AD24</f>
        <v>1</v>
      </c>
      <c r="L21" s="77"/>
      <c r="M21" s="77">
        <f>'12'!AD24</f>
        <v>0.875</v>
      </c>
      <c r="N21" s="77">
        <f>'13'!AD24</f>
        <v>1</v>
      </c>
      <c r="O21" s="77">
        <f>'14'!AD25</f>
        <v>1</v>
      </c>
      <c r="P21" s="77">
        <f>'15'!AD24</f>
        <v>1</v>
      </c>
      <c r="Q21" s="77">
        <f>'16'!AD25</f>
        <v>1</v>
      </c>
      <c r="R21" s="77">
        <f>'17'!AD24</f>
        <v>0.41666666666666669</v>
      </c>
      <c r="S21" s="77"/>
      <c r="T21" s="77">
        <f>'19'!AD24</f>
        <v>0.95833333333333337</v>
      </c>
      <c r="U21" s="77">
        <f>'20'!AD25</f>
        <v>1</v>
      </c>
      <c r="V21" s="77">
        <f>'21'!AD25</f>
        <v>1</v>
      </c>
      <c r="W21" s="77">
        <f>'22'!AD24</f>
        <v>0.99472408384428923</v>
      </c>
      <c r="X21" s="77">
        <f>'23'!AD24</f>
        <v>1</v>
      </c>
      <c r="Y21" s="77">
        <f>'24'!AD25</f>
        <v>0.41666666666666669</v>
      </c>
      <c r="Z21" s="77"/>
      <c r="AA21" s="77">
        <f>'26'!AD26</f>
        <v>0.91666666666666663</v>
      </c>
      <c r="AB21" s="77">
        <f>'27'!AD24</f>
        <v>1</v>
      </c>
      <c r="AC21" s="77">
        <f>'28'!AD24</f>
        <v>1</v>
      </c>
      <c r="AD21" s="77">
        <f>'29'!AD24</f>
        <v>1</v>
      </c>
      <c r="AE21" s="77">
        <f>'30'!AD24</f>
        <v>0.60657820440429133</v>
      </c>
      <c r="AF21" s="78"/>
      <c r="AG21" s="79">
        <f t="shared" si="0"/>
        <v>0.72437919725832944</v>
      </c>
    </row>
    <row r="22" spans="1:33" ht="21.75" customHeight="1">
      <c r="A22" s="101" t="s">
        <v>184</v>
      </c>
      <c r="B22" s="98">
        <f>'01'!AD25</f>
        <v>1.0263085399449037</v>
      </c>
      <c r="C22" s="98">
        <f>'02'!AD25</f>
        <v>1</v>
      </c>
      <c r="D22" s="77">
        <f>'03'!AD25</f>
        <v>0.20833333333333334</v>
      </c>
      <c r="E22" s="77"/>
      <c r="F22" s="77">
        <f>'05'!AD26</f>
        <v>0.95833333333333337</v>
      </c>
      <c r="G22" s="77">
        <f>'06'!AD25</f>
        <v>1</v>
      </c>
      <c r="H22" s="77">
        <f>'07'!AD26</f>
        <v>1</v>
      </c>
      <c r="I22" s="77">
        <f>'08'!AD26</f>
        <v>1</v>
      </c>
      <c r="J22" s="77">
        <f>'09'!AD30</f>
        <v>0.29166666666666669</v>
      </c>
      <c r="K22" s="77">
        <f>'10'!AD25</f>
        <v>0</v>
      </c>
      <c r="L22" s="77"/>
      <c r="M22" s="77">
        <f>'12'!AD25</f>
        <v>0</v>
      </c>
      <c r="N22" s="77">
        <f>'13'!AD25</f>
        <v>0</v>
      </c>
      <c r="O22" s="77">
        <f>'14'!AD26</f>
        <v>0</v>
      </c>
      <c r="P22" s="77">
        <f>'15'!AD25</f>
        <v>0</v>
      </c>
      <c r="Q22" s="77">
        <f>'16'!AD26</f>
        <v>0</v>
      </c>
      <c r="R22" s="77">
        <f>'17'!AD25</f>
        <v>0</v>
      </c>
      <c r="S22" s="77"/>
      <c r="T22" s="77">
        <f>'19'!AD25</f>
        <v>0</v>
      </c>
      <c r="U22" s="77">
        <f>'20'!AD26</f>
        <v>0</v>
      </c>
      <c r="V22" s="77">
        <f>'21'!AD26</f>
        <v>0</v>
      </c>
      <c r="W22" s="77">
        <f>'22'!AD25</f>
        <v>0</v>
      </c>
      <c r="X22" s="77">
        <f>'23'!AD25</f>
        <v>0</v>
      </c>
      <c r="Y22" s="77">
        <f>'24'!AD26</f>
        <v>0</v>
      </c>
      <c r="Z22" s="77"/>
      <c r="AA22" s="77">
        <f>'26'!AD27</f>
        <v>0</v>
      </c>
      <c r="AB22" s="77">
        <f>'27'!AD25</f>
        <v>0</v>
      </c>
      <c r="AC22" s="77">
        <f>'28'!AD25</f>
        <v>0</v>
      </c>
      <c r="AD22" s="77">
        <f>'29'!AD25</f>
        <v>0</v>
      </c>
      <c r="AE22" s="77">
        <f>'30'!AD25</f>
        <v>0</v>
      </c>
      <c r="AF22" s="78"/>
      <c r="AG22" s="79">
        <f t="shared" si="0"/>
        <v>0.21615472910927461</v>
      </c>
    </row>
    <row r="23" spans="1:33" ht="21.75" customHeight="1">
      <c r="A23" s="101" t="s">
        <v>185</v>
      </c>
      <c r="B23" s="98">
        <f>'01'!AD26</f>
        <v>0.93167545842753074</v>
      </c>
      <c r="C23" s="98">
        <f>'02'!AD26</f>
        <v>1</v>
      </c>
      <c r="D23" s="77">
        <f>'03'!AD26</f>
        <v>0</v>
      </c>
      <c r="E23" s="77"/>
      <c r="F23" s="77">
        <f>'05'!AD27</f>
        <v>0.95833333333333337</v>
      </c>
      <c r="G23" s="77">
        <f>'06'!AD26</f>
        <v>1</v>
      </c>
      <c r="H23" s="77">
        <f>'07'!AD27</f>
        <v>1</v>
      </c>
      <c r="I23" s="77">
        <f>'08'!AD27</f>
        <v>1</v>
      </c>
      <c r="J23" s="77">
        <f>'09'!AD31</f>
        <v>0.375</v>
      </c>
      <c r="K23" s="77">
        <f>'10'!AD26</f>
        <v>0</v>
      </c>
      <c r="L23" s="77"/>
      <c r="M23" s="77">
        <f>'12'!AD26</f>
        <v>0</v>
      </c>
      <c r="N23" s="77">
        <f>'13'!AD26</f>
        <v>0</v>
      </c>
      <c r="O23" s="77">
        <f>'14'!AD27</f>
        <v>0</v>
      </c>
      <c r="P23" s="77">
        <f>'15'!AD26</f>
        <v>0</v>
      </c>
      <c r="Q23" s="77">
        <f>'16'!AD27</f>
        <v>0</v>
      </c>
      <c r="R23" s="77">
        <f>'17'!AD26</f>
        <v>0</v>
      </c>
      <c r="S23" s="77"/>
      <c r="T23" s="77">
        <f>'19'!AD26</f>
        <v>0</v>
      </c>
      <c r="U23" s="77">
        <f>'20'!AD27</f>
        <v>0</v>
      </c>
      <c r="V23" s="77">
        <f>'21'!AD27</f>
        <v>0</v>
      </c>
      <c r="W23" s="77">
        <f>'22'!AD26</f>
        <v>0</v>
      </c>
      <c r="X23" s="77">
        <f>'23'!AD26</f>
        <v>0</v>
      </c>
      <c r="Y23" s="77">
        <f>'24'!AD27</f>
        <v>0</v>
      </c>
      <c r="Z23" s="77"/>
      <c r="AA23" s="77">
        <f>'26'!AD28</f>
        <v>0</v>
      </c>
      <c r="AB23" s="77">
        <f>'27'!AD26</f>
        <v>0</v>
      </c>
      <c r="AC23" s="77">
        <f>'28'!AD26</f>
        <v>0</v>
      </c>
      <c r="AD23" s="77">
        <f>'29'!AD26</f>
        <v>0</v>
      </c>
      <c r="AE23" s="77">
        <f>'30'!AD26</f>
        <v>0</v>
      </c>
      <c r="AF23" s="78"/>
      <c r="AG23" s="79">
        <f t="shared" si="0"/>
        <v>0.20883362639202882</v>
      </c>
    </row>
    <row r="24" spans="1:33" ht="21.75" customHeight="1" thickBot="1">
      <c r="A24" s="102" t="s">
        <v>186</v>
      </c>
      <c r="B24" s="99">
        <f>'01'!AD27</f>
        <v>1.2794426417255202</v>
      </c>
      <c r="C24" s="99">
        <f>'02'!AD27</f>
        <v>1</v>
      </c>
      <c r="D24" s="80">
        <f>'03'!AD27</f>
        <v>0.29166666666666669</v>
      </c>
      <c r="E24" s="80"/>
      <c r="F24" s="80">
        <f>'05'!AD28</f>
        <v>0.95833333333333337</v>
      </c>
      <c r="G24" s="80">
        <f>'06'!AD27</f>
        <v>0.875</v>
      </c>
      <c r="H24" s="80">
        <f>'07'!AD28</f>
        <v>1</v>
      </c>
      <c r="I24" s="80">
        <f>'08'!AD28</f>
        <v>0.83333333333333337</v>
      </c>
      <c r="J24" s="80">
        <f>'09'!AD32</f>
        <v>0.91666666666666663</v>
      </c>
      <c r="K24" s="80">
        <f>'10'!AD27</f>
        <v>0.875</v>
      </c>
      <c r="L24" s="80"/>
      <c r="M24" s="80">
        <f>'12'!AD27</f>
        <v>1</v>
      </c>
      <c r="N24" s="80">
        <f>'13'!AD27</f>
        <v>0.79166666666666663</v>
      </c>
      <c r="O24" s="80">
        <f>'14'!AD28</f>
        <v>1</v>
      </c>
      <c r="P24" s="80">
        <f>'15'!AD27</f>
        <v>0.25</v>
      </c>
      <c r="Q24" s="80">
        <f>'16'!AD28</f>
        <v>0</v>
      </c>
      <c r="R24" s="80">
        <f>'17'!AD27</f>
        <v>0</v>
      </c>
      <c r="S24" s="80"/>
      <c r="T24" s="80">
        <f>'19'!AD27</f>
        <v>0</v>
      </c>
      <c r="U24" s="80">
        <f>'20'!AD28</f>
        <v>0</v>
      </c>
      <c r="V24" s="80">
        <f>'21'!AD28</f>
        <v>0</v>
      </c>
      <c r="W24" s="80">
        <f>'22'!AD27</f>
        <v>0</v>
      </c>
      <c r="X24" s="80">
        <f>'23'!AD27</f>
        <v>0</v>
      </c>
      <c r="Y24" s="80">
        <f>'24'!AD28</f>
        <v>0</v>
      </c>
      <c r="Z24" s="80"/>
      <c r="AA24" s="80">
        <f>'26'!AD29</f>
        <v>0</v>
      </c>
      <c r="AB24" s="80">
        <f>'27'!AD27</f>
        <v>0</v>
      </c>
      <c r="AC24" s="80">
        <f>'28'!AD27</f>
        <v>0</v>
      </c>
      <c r="AD24" s="80">
        <f>'29'!AD27</f>
        <v>0</v>
      </c>
      <c r="AE24" s="80">
        <f>'30'!AD27</f>
        <v>0</v>
      </c>
      <c r="AF24" s="81"/>
      <c r="AG24" s="82">
        <f t="shared" si="0"/>
        <v>0.36903697694640619</v>
      </c>
    </row>
    <row r="25" spans="1:33" s="83" customFormat="1" ht="21.75" customHeight="1">
      <c r="A25" s="87" t="s">
        <v>104</v>
      </c>
      <c r="B25" s="91">
        <f>'01'!AD28</f>
        <v>0.68147728498178428</v>
      </c>
      <c r="C25" s="91">
        <f>'02'!AD28</f>
        <v>0.64962121212121204</v>
      </c>
      <c r="D25" s="92">
        <f>'03'!AD28</f>
        <v>0.37121212121212116</v>
      </c>
      <c r="E25" s="92"/>
      <c r="F25" s="92">
        <f>'05'!AD29</f>
        <v>0.47282608695652184</v>
      </c>
      <c r="G25" s="92">
        <f>'06'!AD28</f>
        <v>0.55303030303030298</v>
      </c>
      <c r="H25" s="92">
        <f>'07'!AD29</f>
        <v>0.45833333333333331</v>
      </c>
      <c r="I25" s="92">
        <f>'08'!AD29</f>
        <v>0.47282608695652173</v>
      </c>
      <c r="J25" s="92">
        <f>'09'!AD33</f>
        <v>0.34567901234567905</v>
      </c>
      <c r="K25" s="92">
        <f>'10'!AD28</f>
        <v>0.41098484848484856</v>
      </c>
      <c r="L25" s="92"/>
      <c r="M25" s="92">
        <f>'12'!AD28</f>
        <v>0.36742424242424243</v>
      </c>
      <c r="N25" s="92">
        <f>'13'!AD28</f>
        <v>0.48863636363636354</v>
      </c>
      <c r="O25" s="92">
        <f>'14'!AD29</f>
        <v>0.59000470952885553</v>
      </c>
      <c r="P25" s="92">
        <f>'15'!AD28</f>
        <v>0.58712121212121204</v>
      </c>
      <c r="Q25" s="92">
        <f>'16'!AD29</f>
        <v>0.53462982364239564</v>
      </c>
      <c r="R25" s="92">
        <f>'17'!AD28</f>
        <v>0.45075757575757575</v>
      </c>
      <c r="S25" s="92"/>
      <c r="T25" s="92">
        <f>'19'!AD28</f>
        <v>0.54356060606060608</v>
      </c>
      <c r="U25" s="92">
        <f>'20'!AD29</f>
        <v>0.39855072463768115</v>
      </c>
      <c r="V25" s="92">
        <f>'21'!AD29</f>
        <v>0.29347826086956524</v>
      </c>
      <c r="W25" s="92">
        <f>'22'!AD28</f>
        <v>0.45619957956867979</v>
      </c>
      <c r="X25" s="92">
        <f>'23'!AD28</f>
        <v>0.56060606060606066</v>
      </c>
      <c r="Y25" s="92">
        <f>'24'!AD29</f>
        <v>0.45108695652173914</v>
      </c>
      <c r="Z25" s="92"/>
      <c r="AA25" s="92">
        <f>'26'!AD30</f>
        <v>0.41493055555555552</v>
      </c>
      <c r="AB25" s="92">
        <f>'27'!AD28</f>
        <v>0.53598484848484851</v>
      </c>
      <c r="AC25" s="92">
        <f>'28'!AD28</f>
        <v>0.43560606060606055</v>
      </c>
      <c r="AD25" s="92">
        <f>'29'!AD28</f>
        <v>0.42234848484848481</v>
      </c>
      <c r="AE25" s="92">
        <f>'30'!AD28</f>
        <v>0.42529900929110415</v>
      </c>
      <c r="AF25" s="93"/>
      <c r="AG25" s="94">
        <f t="shared" si="0"/>
        <v>0.41240717878611177</v>
      </c>
    </row>
    <row r="26" spans="1:33" ht="21.75" customHeight="1" thickBot="1">
      <c r="A26" s="69" t="s">
        <v>108</v>
      </c>
      <c r="B26" s="70">
        <v>0.62</v>
      </c>
      <c r="C26" s="71">
        <v>0.62</v>
      </c>
      <c r="D26" s="71">
        <v>0.62</v>
      </c>
      <c r="E26" s="71">
        <v>0.62</v>
      </c>
      <c r="F26" s="71">
        <v>0.62</v>
      </c>
      <c r="G26" s="71">
        <v>0.62</v>
      </c>
      <c r="H26" s="71">
        <v>0.62</v>
      </c>
      <c r="I26" s="71">
        <v>0.62</v>
      </c>
      <c r="J26" s="71">
        <v>0.62</v>
      </c>
      <c r="K26" s="71">
        <v>0.62</v>
      </c>
      <c r="L26" s="71">
        <v>0.62</v>
      </c>
      <c r="M26" s="71">
        <v>0.62</v>
      </c>
      <c r="N26" s="71">
        <v>0.62</v>
      </c>
      <c r="O26" s="71">
        <v>0.62</v>
      </c>
      <c r="P26" s="71">
        <v>0.62</v>
      </c>
      <c r="Q26" s="71">
        <v>0.62</v>
      </c>
      <c r="R26" s="71">
        <v>0.62</v>
      </c>
      <c r="S26" s="71">
        <v>0.62</v>
      </c>
      <c r="T26" s="71">
        <v>0.62</v>
      </c>
      <c r="U26" s="71">
        <v>0.62</v>
      </c>
      <c r="V26" s="71">
        <v>0.62</v>
      </c>
      <c r="W26" s="71">
        <v>0.62</v>
      </c>
      <c r="X26" s="71">
        <v>0.62</v>
      </c>
      <c r="Y26" s="71">
        <v>0.62</v>
      </c>
      <c r="Z26" s="71">
        <v>0.62</v>
      </c>
      <c r="AA26" s="71">
        <v>0.62</v>
      </c>
      <c r="AB26" s="71">
        <v>0.62</v>
      </c>
      <c r="AC26" s="71">
        <v>0.62</v>
      </c>
      <c r="AD26" s="71">
        <v>0.62</v>
      </c>
      <c r="AE26" s="71">
        <v>0.62</v>
      </c>
      <c r="AF26" s="72">
        <v>0.62</v>
      </c>
      <c r="AG26" s="73">
        <v>0.62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 지정된 범위</vt:lpstr>
      </vt:variant>
      <vt:variant>
        <vt:i4>52</vt:i4>
      </vt:variant>
    </vt:vector>
  </HeadingPairs>
  <TitlesOfParts>
    <vt:vector size="79" baseType="lpstr">
      <vt:lpstr>01</vt:lpstr>
      <vt:lpstr>02</vt:lpstr>
      <vt:lpstr>03</vt:lpstr>
      <vt:lpstr>05</vt:lpstr>
      <vt:lpstr>06</vt:lpstr>
      <vt:lpstr>07</vt:lpstr>
      <vt:lpstr>08</vt:lpstr>
      <vt:lpstr>09</vt:lpstr>
      <vt:lpstr>10</vt:lpstr>
      <vt:lpstr>12</vt:lpstr>
      <vt:lpstr>13</vt:lpstr>
      <vt:lpstr>14</vt:lpstr>
      <vt:lpstr>15</vt:lpstr>
      <vt:lpstr>16</vt:lpstr>
      <vt:lpstr>17</vt:lpstr>
      <vt:lpstr>19</vt:lpstr>
      <vt:lpstr>20</vt:lpstr>
      <vt:lpstr>21</vt:lpstr>
      <vt:lpstr>22</vt:lpstr>
      <vt:lpstr>23</vt:lpstr>
      <vt:lpstr>24</vt:lpstr>
      <vt:lpstr>26</vt:lpstr>
      <vt:lpstr>27</vt:lpstr>
      <vt:lpstr>28</vt:lpstr>
      <vt:lpstr>29</vt:lpstr>
      <vt:lpstr>30</vt:lpstr>
      <vt:lpstr>총괄</vt:lpstr>
      <vt:lpstr>'01'!Print_Area</vt:lpstr>
      <vt:lpstr>'02'!Print_Area</vt:lpstr>
      <vt:lpstr>'03'!Print_Area</vt:lpstr>
      <vt:lpstr>'05'!Print_Area</vt:lpstr>
      <vt:lpstr>'06'!Print_Area</vt:lpstr>
      <vt:lpstr>'07'!Print_Area</vt:lpstr>
      <vt:lpstr>'08'!Print_Area</vt:lpstr>
      <vt:lpstr>'09'!Print_Area</vt:lpstr>
      <vt:lpstr>'10'!Print_Area</vt:lpstr>
      <vt:lpstr>'12'!Print_Area</vt:lpstr>
      <vt:lpstr>'13'!Print_Area</vt:lpstr>
      <vt:lpstr>'14'!Print_Area</vt:lpstr>
      <vt:lpstr>'15'!Print_Area</vt:lpstr>
      <vt:lpstr>'16'!Print_Area</vt:lpstr>
      <vt:lpstr>'17'!Print_Area</vt:lpstr>
      <vt:lpstr>'19'!Print_Area</vt:lpstr>
      <vt:lpstr>'20'!Print_Area</vt:lpstr>
      <vt:lpstr>'21'!Print_Area</vt:lpstr>
      <vt:lpstr>'22'!Print_Area</vt:lpstr>
      <vt:lpstr>'23'!Print_Area</vt:lpstr>
      <vt:lpstr>'24'!Print_Area</vt:lpstr>
      <vt:lpstr>'26'!Print_Area</vt:lpstr>
      <vt:lpstr>'27'!Print_Area</vt:lpstr>
      <vt:lpstr>'28'!Print_Area</vt:lpstr>
      <vt:lpstr>'29'!Print_Area</vt:lpstr>
      <vt:lpstr>'30'!Print_Area</vt:lpstr>
      <vt:lpstr>'01'!ㅁ1</vt:lpstr>
      <vt:lpstr>'02'!ㅁ1</vt:lpstr>
      <vt:lpstr>'03'!ㅁ1</vt:lpstr>
      <vt:lpstr>'05'!ㅁ1</vt:lpstr>
      <vt:lpstr>'06'!ㅁ1</vt:lpstr>
      <vt:lpstr>'07'!ㅁ1</vt:lpstr>
      <vt:lpstr>'08'!ㅁ1</vt:lpstr>
      <vt:lpstr>'09'!ㅁ1</vt:lpstr>
      <vt:lpstr>'10'!ㅁ1</vt:lpstr>
      <vt:lpstr>'12'!ㅁ1</vt:lpstr>
      <vt:lpstr>'13'!ㅁ1</vt:lpstr>
      <vt:lpstr>'14'!ㅁ1</vt:lpstr>
      <vt:lpstr>'15'!ㅁ1</vt:lpstr>
      <vt:lpstr>'16'!ㅁ1</vt:lpstr>
      <vt:lpstr>'17'!ㅁ1</vt:lpstr>
      <vt:lpstr>'19'!ㅁ1</vt:lpstr>
      <vt:lpstr>'20'!ㅁ1</vt:lpstr>
      <vt:lpstr>'21'!ㅁ1</vt:lpstr>
      <vt:lpstr>'22'!ㅁ1</vt:lpstr>
      <vt:lpstr>'23'!ㅁ1</vt:lpstr>
      <vt:lpstr>'24'!ㅁ1</vt:lpstr>
      <vt:lpstr>'26'!ㅁ1</vt:lpstr>
      <vt:lpstr>'27'!ㅁ1</vt:lpstr>
      <vt:lpstr>'28'!ㅁ1</vt:lpstr>
      <vt:lpstr>'29'!ㅁ1</vt:lpstr>
      <vt:lpstr>'30'!ㅁ1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2021-04-01T07:55:30Z</cp:lastPrinted>
  <dcterms:created xsi:type="dcterms:W3CDTF">2014-05-16T00:06:55Z</dcterms:created>
  <dcterms:modified xsi:type="dcterms:W3CDTF">2021-05-01T06:17:03Z</dcterms:modified>
</cp:coreProperties>
</file>